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https://revenuewatchinstitute-my.sharepoint.com/personal/box_resourcegovernance_org/Documents/FrankBox/NRGI Cloud Server/Global Shared/Programs (Shared)/L&amp;E (Shared)/Projects/TZA 50-50 sharing/Analysis/"/>
    </mc:Choice>
  </mc:AlternateContent>
  <xr:revisionPtr revIDLastSave="714" documentId="14_{B232D943-A6C4-43DF-90F8-314C5E0D54B0}" xr6:coauthVersionLast="47" xr6:coauthVersionMax="47" xr10:uidLastSave="{599BBAF1-11C3-4C1D-AE06-BA0B0B963665}"/>
  <bookViews>
    <workbookView xWindow="-110" yWindow="-110" windowWidth="19420" windowHeight="10300" tabRatio="599" xr2:uid="{00000000-000D-0000-FFFF-FFFF00000000}"/>
  </bookViews>
  <sheets>
    <sheet name="Front" sheetId="11" r:id="rId1"/>
    <sheet name="Results" sheetId="18" r:id="rId2"/>
    <sheet name="Inputs" sheetId="13" r:id="rId3"/>
    <sheet name="Model" sheetId="2" r:id="rId4"/>
    <sheet name="Lists" sheetId="28" state="hidden" r:id="rId5"/>
  </sheets>
  <definedNames>
    <definedName name="_xlnm._FilterDatabase" localSheetId="3" hidden="1">Model!#REF!</definedName>
    <definedName name="_xlnm._FilterDatabase" localSheetId="1" hidden="1">Results!$F$167:$G$178</definedName>
    <definedName name="AETR_sort_criterion">Results!$F$168:$F$178</definedName>
    <definedName name="AETR_sort_criterion3">#REF!</definedName>
    <definedName name="AETR_sort_criterion4">#REF!</definedName>
    <definedName name="AETR_table_raw">Results!$B$168:$C$178</definedName>
    <definedName name="AETR_table_reorder">Results!$E$168:$F$178</definedName>
    <definedName name="AETR_table_reorder3">#REF!</definedName>
    <definedName name="AETR_table_reorder4">#REF!</definedName>
    <definedName name="AETR_table_reordered_full">Results!$E$167:$F$178</definedName>
    <definedName name="AETR_table_reordered_full3">#REF!</definedName>
    <definedName name="AETR_table_reordered_full4">#REF!</definedName>
    <definedName name="Benefit_sharing">Model!$G$773:$BD$777</definedName>
    <definedName name="Breakeven_price">Model!$F$1249</definedName>
    <definedName name="Breakeven_price_row1">Model!$G$1261</definedName>
    <definedName name="Breakeven_sort_criterion">Results!$C$183:$C$193</definedName>
    <definedName name="Coeff_sort_criterion">Results!$C$222:$C$232</definedName>
    <definedName name="Coeff_table_raw">Model!$D$1151:$E$1162</definedName>
    <definedName name="Coeff_table_results">Results!$B$221:$C$232</definedName>
    <definedName name="Goal_seek_price">Model!$F$1249</definedName>
    <definedName name="Input_prod_taxes">Model!$C$870:$C$875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IRR_for_metr_calc">Model!$F$1248</definedName>
    <definedName name="METR">Model!$F$1257</definedName>
    <definedName name="METR_and_Break_even_price_results_table">Results!$B$182:$D$193</definedName>
    <definedName name="METR_and_breakeven_results_table">Results!$B$183:$D$193</definedName>
    <definedName name="METR_and_breakeven_whole_range">Model!$F$1261:$H$1271</definedName>
    <definedName name="Mineral_price">Inputs!$E$206</definedName>
    <definedName name="Minus_20_sort_criterion">Results!$C$236:$C$246</definedName>
    <definedName name="NPV_sensitivity_table_raw">Model!$G$1151:$I$1162</definedName>
    <definedName name="NPV_sensitivity_table_results">Results!$B$235:$D$246</definedName>
    <definedName name="Orignal_mineral_price_value">Model!$E$1281</definedName>
    <definedName name="Price_change" localSheetId="3">Model!$G$1114:$AI$1115</definedName>
    <definedName name="Price_change_AETR">Model!$G$1166:$AI$1176</definedName>
    <definedName name="Price_change_govbenefit" localSheetId="3">Model!$G$1194:$AI$1204</definedName>
    <definedName name="_xlnm.Print_Area" localSheetId="1">Results!$A$1:$M$150</definedName>
    <definedName name="Project_list">Lists!$D$3:$D$14</definedName>
    <definedName name="Project_selector">Inputs!$E$217</definedName>
    <definedName name="Regime_list">Model!$D$1180:$D$1190</definedName>
    <definedName name="Tax_avoidance_costs">Inputs!$E$278</definedName>
    <definedName name="Tax_base">Model!$G$1229:$Q$1233</definedName>
    <definedName name="Tax_regime_selector">Inputs!$E$14</definedName>
    <definedName name="Total_govtrevenue">Model!$C$889</definedName>
    <definedName name="TZAsharing_pretrig_rev">Model!$G$1242:$G$1245</definedName>
  </definedNames>
  <calcPr calcId="191028"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92" i="2" l="1"/>
  <c r="E1277" i="2"/>
  <c r="E1278" i="2"/>
  <c r="BC249" i="13" l="1"/>
  <c r="H249" i="13"/>
  <c r="I249" i="13"/>
  <c r="J249" i="13"/>
  <c r="K249" i="13"/>
  <c r="L249" i="13"/>
  <c r="M249" i="13"/>
  <c r="N249" i="13"/>
  <c r="O249" i="13"/>
  <c r="P249" i="13"/>
  <c r="Q249" i="13"/>
  <c r="R249" i="13"/>
  <c r="S249" i="13"/>
  <c r="T249" i="13"/>
  <c r="U249" i="13"/>
  <c r="V249" i="13"/>
  <c r="W249" i="13"/>
  <c r="X249" i="13"/>
  <c r="Y249" i="13"/>
  <c r="Z249" i="13"/>
  <c r="AA249" i="13"/>
  <c r="AB249" i="13"/>
  <c r="AC249" i="13"/>
  <c r="AD249" i="13"/>
  <c r="AE249" i="13"/>
  <c r="AF249" i="13"/>
  <c r="AG249" i="13"/>
  <c r="AH249" i="13"/>
  <c r="AI249" i="13"/>
  <c r="AJ249" i="13"/>
  <c r="AK249" i="13"/>
  <c r="AL249" i="13"/>
  <c r="AM249" i="13"/>
  <c r="AN249" i="13"/>
  <c r="AO249" i="13"/>
  <c r="AP249" i="13"/>
  <c r="AQ249" i="13"/>
  <c r="AR249" i="13"/>
  <c r="AS249" i="13"/>
  <c r="AT249" i="13"/>
  <c r="AU249" i="13"/>
  <c r="AV249" i="13"/>
  <c r="AW249" i="13"/>
  <c r="AX249" i="13"/>
  <c r="AY249" i="13"/>
  <c r="AZ249" i="13"/>
  <c r="BA249" i="13"/>
  <c r="BB249" i="13"/>
  <c r="G249" i="13"/>
  <c r="F249" i="13"/>
  <c r="W248" i="13"/>
  <c r="X248" i="13"/>
  <c r="Z248" i="13"/>
  <c r="Y248" i="13"/>
  <c r="AL237" i="13"/>
  <c r="AM237" i="13"/>
  <c r="AN237" i="13"/>
  <c r="AO237" i="13"/>
  <c r="AP237" i="13"/>
  <c r="AQ237" i="13"/>
  <c r="V1114" i="2" l="1"/>
  <c r="V1122" i="2" s="1"/>
  <c r="V1165" i="2" l="1"/>
  <c r="V1193" i="2"/>
  <c r="V1136" i="2"/>
  <c r="W1113" i="2" l="1"/>
  <c r="U1113" i="2"/>
  <c r="F1186" i="2"/>
  <c r="F1187" i="2" s="1"/>
  <c r="F1181" i="2"/>
  <c r="F1182" i="2" s="1"/>
  <c r="F1183" i="2" s="1"/>
  <c r="D1180" i="2" a="1"/>
  <c r="D1185" i="2" s="1"/>
  <c r="T1113" i="2" l="1"/>
  <c r="U1114" i="2"/>
  <c r="X1113" i="2"/>
  <c r="W1114" i="2"/>
  <c r="D1187" i="2"/>
  <c r="D1180" i="2"/>
  <c r="D1188" i="2"/>
  <c r="D1181" i="2"/>
  <c r="D1189" i="2"/>
  <c r="D1182" i="2"/>
  <c r="D1190" i="2"/>
  <c r="D1183" i="2"/>
  <c r="D1186" i="2"/>
  <c r="D1184" i="2"/>
  <c r="W1193" i="2" l="1"/>
  <c r="W1136" i="2"/>
  <c r="W1165" i="2"/>
  <c r="W1122" i="2"/>
  <c r="U1122" i="2"/>
  <c r="U1193" i="2"/>
  <c r="U1165" i="2"/>
  <c r="U1136" i="2"/>
  <c r="Y1113" i="2"/>
  <c r="X1114" i="2"/>
  <c r="S1113" i="2"/>
  <c r="T1114" i="2"/>
  <c r="X1136" i="2" l="1"/>
  <c r="X1193" i="2"/>
  <c r="X1165" i="2"/>
  <c r="X1122" i="2"/>
  <c r="T1165" i="2"/>
  <c r="T1122" i="2"/>
  <c r="T1193" i="2"/>
  <c r="T1136" i="2"/>
  <c r="R1113" i="2"/>
  <c r="S1114" i="2"/>
  <c r="Z1113" i="2"/>
  <c r="Y1114" i="2"/>
  <c r="Y1136" i="2" l="1"/>
  <c r="Y1193" i="2"/>
  <c r="Y1165" i="2"/>
  <c r="Y1122" i="2"/>
  <c r="S1165" i="2"/>
  <c r="S1136" i="2"/>
  <c r="S1122" i="2"/>
  <c r="S1193" i="2"/>
  <c r="AA1113" i="2"/>
  <c r="Z1114" i="2"/>
  <c r="Q1113" i="2"/>
  <c r="R1114" i="2"/>
  <c r="Q1226" i="2"/>
  <c r="P1226" i="2"/>
  <c r="O1226" i="2"/>
  <c r="N1226" i="2"/>
  <c r="M1226" i="2"/>
  <c r="L1226" i="2"/>
  <c r="K1226" i="2"/>
  <c r="J1226" i="2"/>
  <c r="I1226" i="2"/>
  <c r="H1226" i="2"/>
  <c r="G1226" i="2"/>
  <c r="D977" i="2"/>
  <c r="D1001" i="2" s="1"/>
  <c r="D878" i="2"/>
  <c r="D844" i="2"/>
  <c r="D62" i="2"/>
  <c r="D28" i="2"/>
  <c r="Z1165" i="2" l="1"/>
  <c r="Z1122" i="2"/>
  <c r="Z1193" i="2"/>
  <c r="Z1136" i="2"/>
  <c r="R1165" i="2"/>
  <c r="R1136" i="2"/>
  <c r="R1122" i="2"/>
  <c r="R1193" i="2"/>
  <c r="P1113" i="2"/>
  <c r="Q1114" i="2"/>
  <c r="AB1113" i="2"/>
  <c r="AA1114" i="2"/>
  <c r="D17" i="18"/>
  <c r="AA1165" i="2" l="1"/>
  <c r="AA1122" i="2"/>
  <c r="AA1193" i="2"/>
  <c r="AA1136" i="2"/>
  <c r="Q1136" i="2"/>
  <c r="Q1165" i="2"/>
  <c r="Q1122" i="2"/>
  <c r="Q1193" i="2"/>
  <c r="AC1113" i="2"/>
  <c r="AB1114" i="2"/>
  <c r="O1113" i="2"/>
  <c r="P1114" i="2"/>
  <c r="P1136" i="2" l="1"/>
  <c r="P1122" i="2"/>
  <c r="P1165" i="2"/>
  <c r="P1193" i="2"/>
  <c r="AB1165" i="2"/>
  <c r="AB1122" i="2"/>
  <c r="AB1193" i="2"/>
  <c r="AB1136" i="2"/>
  <c r="N1113" i="2"/>
  <c r="O1114" i="2"/>
  <c r="AD1113" i="2"/>
  <c r="AC1114" i="2"/>
  <c r="O1122" i="2" l="1"/>
  <c r="O1193" i="2"/>
  <c r="O1136" i="2"/>
  <c r="O1165" i="2"/>
  <c r="AC1122" i="2"/>
  <c r="AC1193" i="2"/>
  <c r="AC1136" i="2"/>
  <c r="AC1165" i="2"/>
  <c r="AE1113" i="2"/>
  <c r="AD1114" i="2"/>
  <c r="M1113" i="2"/>
  <c r="N1114" i="2"/>
  <c r="AD1122" i="2" l="1"/>
  <c r="AD1193" i="2"/>
  <c r="AD1136" i="2"/>
  <c r="AD1165" i="2"/>
  <c r="N1122" i="2"/>
  <c r="N1193" i="2"/>
  <c r="N1136" i="2"/>
  <c r="N1165" i="2"/>
  <c r="L1113" i="2"/>
  <c r="M1114" i="2"/>
  <c r="AF1113" i="2"/>
  <c r="AE1114" i="2"/>
  <c r="I44" i="2"/>
  <c r="J44" i="2"/>
  <c r="K44" i="2"/>
  <c r="L44" i="2"/>
  <c r="M44" i="2"/>
  <c r="N44" i="2"/>
  <c r="O44" i="2"/>
  <c r="P44" i="2"/>
  <c r="Q44" i="2"/>
  <c r="R44" i="2"/>
  <c r="S44" i="2"/>
  <c r="T44" i="2"/>
  <c r="U44" i="2"/>
  <c r="V44" i="2"/>
  <c r="W44" i="2"/>
  <c r="X44" i="2"/>
  <c r="Y44" i="2"/>
  <c r="Z44" i="2"/>
  <c r="AA44" i="2"/>
  <c r="BC261" i="13"/>
  <c r="BB261" i="13"/>
  <c r="BA261" i="13"/>
  <c r="AZ261" i="13"/>
  <c r="AY261" i="13"/>
  <c r="AX261" i="13"/>
  <c r="AW261" i="13"/>
  <c r="AV261" i="13"/>
  <c r="AU261" i="13"/>
  <c r="AT261" i="13"/>
  <c r="AS261" i="13"/>
  <c r="AR261" i="13"/>
  <c r="AQ261" i="13"/>
  <c r="AP261" i="13"/>
  <c r="AO261" i="13"/>
  <c r="AN261" i="13"/>
  <c r="AM261" i="13"/>
  <c r="AL261" i="13"/>
  <c r="AK261" i="13"/>
  <c r="AJ261" i="13"/>
  <c r="AI261" i="13"/>
  <c r="AH261" i="13"/>
  <c r="AG261" i="13"/>
  <c r="AF261" i="13"/>
  <c r="AE261" i="13"/>
  <c r="AD261" i="13"/>
  <c r="AC261" i="13"/>
  <c r="AB261" i="13"/>
  <c r="AA261" i="13"/>
  <c r="Z261" i="13"/>
  <c r="Y261" i="13"/>
  <c r="X261" i="13"/>
  <c r="W261" i="13"/>
  <c r="V261" i="13"/>
  <c r="U261" i="13"/>
  <c r="T261" i="13"/>
  <c r="S261" i="13"/>
  <c r="R261" i="13"/>
  <c r="Q261" i="13"/>
  <c r="P261" i="13"/>
  <c r="O261" i="13"/>
  <c r="N261" i="13"/>
  <c r="M261" i="13"/>
  <c r="L261" i="13"/>
  <c r="K261" i="13"/>
  <c r="J261" i="13"/>
  <c r="I261" i="13"/>
  <c r="H261" i="13"/>
  <c r="G261" i="13"/>
  <c r="F261" i="13"/>
  <c r="AE1193" i="2" l="1"/>
  <c r="AE1136" i="2"/>
  <c r="AE1122" i="2"/>
  <c r="AE1165" i="2"/>
  <c r="M1122" i="2"/>
  <c r="M1193" i="2"/>
  <c r="M1136" i="2"/>
  <c r="M1165" i="2"/>
  <c r="AG1113" i="2"/>
  <c r="AF1114" i="2"/>
  <c r="K1113" i="2"/>
  <c r="L1114" i="2"/>
  <c r="G237" i="13"/>
  <c r="H237" i="13"/>
  <c r="I237" i="13"/>
  <c r="J237" i="13"/>
  <c r="K237" i="13"/>
  <c r="L237" i="13"/>
  <c r="M237" i="13"/>
  <c r="N237" i="13"/>
  <c r="O237" i="13"/>
  <c r="P237" i="13"/>
  <c r="Q237" i="13"/>
  <c r="R237" i="13"/>
  <c r="S237" i="13"/>
  <c r="T237" i="13"/>
  <c r="U237" i="13"/>
  <c r="V237" i="13"/>
  <c r="W237" i="13"/>
  <c r="X237" i="13"/>
  <c r="Y237" i="13"/>
  <c r="Z237" i="13"/>
  <c r="AA237" i="13"/>
  <c r="AB237" i="13"/>
  <c r="AC237" i="13"/>
  <c r="AD237" i="13"/>
  <c r="AE237" i="13"/>
  <c r="AF237" i="13"/>
  <c r="AG237" i="13"/>
  <c r="AH237" i="13"/>
  <c r="AI237" i="13"/>
  <c r="AJ237" i="13"/>
  <c r="AK237" i="13"/>
  <c r="AR237" i="13"/>
  <c r="AS237" i="13"/>
  <c r="AT237" i="13"/>
  <c r="AU237" i="13"/>
  <c r="AV237" i="13"/>
  <c r="AW237" i="13"/>
  <c r="AX237" i="13"/>
  <c r="AY237" i="13"/>
  <c r="AZ237" i="13"/>
  <c r="BA237" i="13"/>
  <c r="BB237" i="13"/>
  <c r="BC237" i="13"/>
  <c r="F237" i="13"/>
  <c r="AF1136" i="2" l="1"/>
  <c r="AF1122" i="2"/>
  <c r="AF1165" i="2"/>
  <c r="AF1193" i="2"/>
  <c r="L1165" i="2"/>
  <c r="L1122" i="2"/>
  <c r="L1193" i="2"/>
  <c r="L1136" i="2"/>
  <c r="J1113" i="2"/>
  <c r="K1114" i="2"/>
  <c r="AH1113" i="2"/>
  <c r="AG1114" i="2"/>
  <c r="M211" i="13"/>
  <c r="F211" i="13"/>
  <c r="AG1136" i="2" l="1"/>
  <c r="AG1165" i="2"/>
  <c r="AG1122" i="2"/>
  <c r="AG1193" i="2"/>
  <c r="K1165" i="2"/>
  <c r="K1122" i="2"/>
  <c r="K1193" i="2"/>
  <c r="K1136" i="2"/>
  <c r="AI1113" i="2"/>
  <c r="AI1114" i="2" s="1"/>
  <c r="AH1114" i="2"/>
  <c r="I1113" i="2"/>
  <c r="J1114" i="2"/>
  <c r="AI211" i="13"/>
  <c r="AZ211" i="13"/>
  <c r="AR211" i="13"/>
  <c r="AJ211" i="13"/>
  <c r="AB211" i="13"/>
  <c r="T211" i="13"/>
  <c r="L211" i="13"/>
  <c r="AX211" i="13"/>
  <c r="AP211" i="13"/>
  <c r="AH211" i="13"/>
  <c r="Z211" i="13"/>
  <c r="R211" i="13"/>
  <c r="J211" i="13"/>
  <c r="S211" i="13"/>
  <c r="AW211" i="13"/>
  <c r="AO211" i="13"/>
  <c r="AG211" i="13"/>
  <c r="Y211" i="13"/>
  <c r="I211" i="13"/>
  <c r="K211" i="13"/>
  <c r="AV211" i="13"/>
  <c r="AN211" i="13"/>
  <c r="AF211" i="13"/>
  <c r="X211" i="13"/>
  <c r="H211" i="13"/>
  <c r="AQ211" i="13"/>
  <c r="BC211" i="13"/>
  <c r="AU211" i="13"/>
  <c r="AM211" i="13"/>
  <c r="AE211" i="13"/>
  <c r="W211" i="13"/>
  <c r="G211" i="13"/>
  <c r="AA211" i="13"/>
  <c r="BB211" i="13"/>
  <c r="AT211" i="13"/>
  <c r="AL211" i="13"/>
  <c r="AD211" i="13"/>
  <c r="V211" i="13"/>
  <c r="AY211" i="13"/>
  <c r="BA211" i="13"/>
  <c r="AS211" i="13"/>
  <c r="AK211" i="13"/>
  <c r="AC211" i="13"/>
  <c r="U211" i="13"/>
  <c r="G93" i="2"/>
  <c r="J1165" i="2" l="1"/>
  <c r="J1136" i="2"/>
  <c r="J1122" i="2"/>
  <c r="J1193" i="2"/>
  <c r="AH1165" i="2"/>
  <c r="AH1136" i="2"/>
  <c r="AH1122" i="2"/>
  <c r="AH1193" i="2"/>
  <c r="AI1165" i="2"/>
  <c r="AI1136" i="2"/>
  <c r="AI1122" i="2"/>
  <c r="AI1193" i="2"/>
  <c r="H1113" i="2"/>
  <c r="I1114" i="2"/>
  <c r="A652" i="2"/>
  <c r="I1136" i="2" l="1"/>
  <c r="I1193" i="2"/>
  <c r="I1165" i="2"/>
  <c r="I1122" i="2"/>
  <c r="G1113" i="2"/>
  <c r="G1114" i="2" s="1"/>
  <c r="H1114" i="2"/>
  <c r="G77" i="2"/>
  <c r="I248" i="13"/>
  <c r="J248" i="13"/>
  <c r="K248" i="13"/>
  <c r="L248" i="13"/>
  <c r="M248" i="13"/>
  <c r="N248" i="13"/>
  <c r="O248" i="13"/>
  <c r="P248" i="13"/>
  <c r="Q248" i="13"/>
  <c r="R248" i="13"/>
  <c r="S248" i="13"/>
  <c r="T248" i="13"/>
  <c r="U248" i="13"/>
  <c r="V248" i="13"/>
  <c r="H248" i="13"/>
  <c r="H1136" i="2" l="1"/>
  <c r="H1193" i="2"/>
  <c r="H1165" i="2"/>
  <c r="H1122" i="2"/>
  <c r="G1193" i="2"/>
  <c r="G1136" i="2"/>
  <c r="G1122" i="2"/>
  <c r="G1165" i="2"/>
  <c r="G248" i="13"/>
  <c r="F248" i="13"/>
  <c r="D904" i="2" l="1"/>
  <c r="D905" i="2"/>
  <c r="D906" i="2"/>
  <c r="D907" i="2"/>
  <c r="D908" i="2"/>
  <c r="D909" i="2"/>
  <c r="D910" i="2"/>
  <c r="D903" i="2"/>
  <c r="D818" i="2"/>
  <c r="D819" i="2"/>
  <c r="D820" i="2"/>
  <c r="D821" i="2"/>
  <c r="D822" i="2"/>
  <c r="D823" i="2"/>
  <c r="D824" i="2"/>
  <c r="D825" i="2"/>
  <c r="D826" i="2"/>
  <c r="D827" i="2"/>
  <c r="D828" i="2"/>
  <c r="D829" i="2"/>
  <c r="D834" i="2"/>
  <c r="D817" i="2"/>
  <c r="D871" i="2"/>
  <c r="D872" i="2"/>
  <c r="D873" i="2"/>
  <c r="D874" i="2"/>
  <c r="D875" i="2"/>
  <c r="D876" i="2"/>
  <c r="D877" i="2"/>
  <c r="D879" i="2"/>
  <c r="D880" i="2"/>
  <c r="D881" i="2"/>
  <c r="D882" i="2"/>
  <c r="D883" i="2"/>
  <c r="D884" i="2"/>
  <c r="D885" i="2"/>
  <c r="D886" i="2"/>
  <c r="D887" i="2"/>
  <c r="D870" i="2"/>
  <c r="D986" i="2" l="1"/>
  <c r="B214" i="18" s="1"/>
  <c r="D982" i="2"/>
  <c r="B210" i="18" s="1"/>
  <c r="D1010" i="2" l="1"/>
  <c r="G667" i="2"/>
  <c r="H1224" i="2" l="1"/>
  <c r="I1224" i="2"/>
  <c r="J1224" i="2"/>
  <c r="K1224" i="2"/>
  <c r="L1224" i="2"/>
  <c r="M1224" i="2"/>
  <c r="N1224" i="2"/>
  <c r="O1224" i="2"/>
  <c r="P1224" i="2"/>
  <c r="Q1224" i="2"/>
  <c r="G1224" i="2"/>
  <c r="G454" i="2"/>
  <c r="AA248" i="13" l="1"/>
  <c r="AB248" i="13"/>
  <c r="AC248" i="13"/>
  <c r="AD248" i="13"/>
  <c r="AE248" i="13"/>
  <c r="AF248" i="13"/>
  <c r="AG248" i="13"/>
  <c r="AH248" i="13"/>
  <c r="AI248" i="13"/>
  <c r="AJ248" i="13"/>
  <c r="AK248" i="13"/>
  <c r="AL248" i="13"/>
  <c r="AM248" i="13"/>
  <c r="AN248" i="13"/>
  <c r="AO248" i="13"/>
  <c r="AP248" i="13"/>
  <c r="AQ248" i="13"/>
  <c r="AR248" i="13"/>
  <c r="AS248" i="13"/>
  <c r="AT248" i="13"/>
  <c r="AU248" i="13"/>
  <c r="AV248" i="13"/>
  <c r="AW248" i="13"/>
  <c r="AX248" i="13"/>
  <c r="AY248" i="13"/>
  <c r="AZ248" i="13"/>
  <c r="BA248" i="13"/>
  <c r="BB248" i="13"/>
  <c r="BC248" i="13"/>
  <c r="G217" i="13" l="1"/>
  <c r="G540" i="2" l="1"/>
  <c r="G556" i="2" l="1"/>
  <c r="G558" i="2" s="1"/>
  <c r="G83" i="2" l="1"/>
  <c r="G266" i="2" l="1"/>
  <c r="G268" i="2" s="1"/>
  <c r="C1040" i="2" l="1"/>
  <c r="U145" i="13" l="1"/>
  <c r="S145" i="13"/>
  <c r="V181" i="13"/>
  <c r="U181" i="13"/>
  <c r="T181" i="13"/>
  <c r="S181" i="13"/>
  <c r="V180" i="13"/>
  <c r="U180" i="13"/>
  <c r="T180" i="13"/>
  <c r="S180" i="13"/>
  <c r="V179" i="13"/>
  <c r="U179" i="13"/>
  <c r="T179" i="13"/>
  <c r="S179" i="13"/>
  <c r="V178" i="13"/>
  <c r="U178" i="13"/>
  <c r="T178" i="13"/>
  <c r="S178" i="13"/>
  <c r="V177" i="13"/>
  <c r="U177" i="13"/>
  <c r="T177" i="13"/>
  <c r="S177" i="13"/>
  <c r="V176" i="13"/>
  <c r="U176" i="13"/>
  <c r="T176" i="13"/>
  <c r="S176" i="13"/>
  <c r="V175" i="13"/>
  <c r="U175" i="13"/>
  <c r="T175" i="13"/>
  <c r="S175" i="13"/>
  <c r="V174" i="13"/>
  <c r="U174" i="13"/>
  <c r="T174" i="13"/>
  <c r="S174" i="13"/>
  <c r="V173" i="13"/>
  <c r="U173" i="13"/>
  <c r="T173" i="13"/>
  <c r="S173" i="13"/>
  <c r="V172" i="13"/>
  <c r="U172" i="13"/>
  <c r="T172" i="13"/>
  <c r="S172" i="13"/>
  <c r="V171" i="13"/>
  <c r="U171" i="13"/>
  <c r="T171" i="13"/>
  <c r="S171" i="13"/>
  <c r="V170" i="13"/>
  <c r="U170" i="13"/>
  <c r="T170" i="13"/>
  <c r="S170" i="13"/>
  <c r="V169" i="13"/>
  <c r="U169" i="13"/>
  <c r="T169" i="13"/>
  <c r="S169" i="13"/>
  <c r="V168" i="13"/>
  <c r="U168" i="13"/>
  <c r="T168" i="13"/>
  <c r="S168" i="13"/>
  <c r="V167" i="13"/>
  <c r="U167" i="13"/>
  <c r="T167" i="13"/>
  <c r="S167" i="13"/>
  <c r="V166" i="13"/>
  <c r="U166" i="13"/>
  <c r="T166" i="13"/>
  <c r="S166" i="13"/>
  <c r="V165" i="13"/>
  <c r="U165" i="13"/>
  <c r="T165" i="13"/>
  <c r="S165" i="13"/>
  <c r="U163" i="13"/>
  <c r="S163" i="13"/>
  <c r="V160" i="13"/>
  <c r="U160" i="13"/>
  <c r="T160" i="13"/>
  <c r="S160" i="13"/>
  <c r="V159" i="13"/>
  <c r="U159" i="13"/>
  <c r="T159" i="13"/>
  <c r="S159" i="13"/>
  <c r="V158" i="13"/>
  <c r="U158" i="13"/>
  <c r="T158" i="13"/>
  <c r="S158" i="13"/>
  <c r="V157" i="13"/>
  <c r="U157" i="13"/>
  <c r="T157" i="13"/>
  <c r="S157" i="13"/>
  <c r="V156" i="13"/>
  <c r="U156" i="13"/>
  <c r="T156" i="13"/>
  <c r="S156" i="13"/>
  <c r="V155" i="13"/>
  <c r="U155" i="13"/>
  <c r="T155" i="13"/>
  <c r="S155" i="13"/>
  <c r="V154" i="13"/>
  <c r="U154" i="13"/>
  <c r="T154" i="13"/>
  <c r="S154" i="13"/>
  <c r="V153" i="13"/>
  <c r="U153" i="13"/>
  <c r="T153" i="13"/>
  <c r="S153" i="13"/>
  <c r="V152" i="13"/>
  <c r="U152" i="13"/>
  <c r="T152" i="13"/>
  <c r="S152" i="13"/>
  <c r="V151" i="13"/>
  <c r="U151" i="13"/>
  <c r="T151" i="13"/>
  <c r="S151" i="13"/>
  <c r="V150" i="13"/>
  <c r="U150" i="13"/>
  <c r="T150" i="13"/>
  <c r="S150" i="13"/>
  <c r="V149" i="13"/>
  <c r="U149" i="13"/>
  <c r="T149" i="13"/>
  <c r="S149" i="13"/>
  <c r="V148" i="13"/>
  <c r="U148" i="13"/>
  <c r="T148" i="13"/>
  <c r="S148" i="13"/>
  <c r="V147" i="13"/>
  <c r="U147" i="13"/>
  <c r="T147" i="13"/>
  <c r="S147" i="13"/>
  <c r="V142" i="13"/>
  <c r="U142" i="13"/>
  <c r="T142" i="13"/>
  <c r="S142" i="13"/>
  <c r="V141" i="13"/>
  <c r="U141" i="13"/>
  <c r="T141" i="13"/>
  <c r="S141" i="13"/>
  <c r="V140" i="13"/>
  <c r="U140" i="13"/>
  <c r="T140" i="13"/>
  <c r="S140" i="13"/>
  <c r="V139" i="13"/>
  <c r="U139" i="13"/>
  <c r="T139" i="13"/>
  <c r="S139" i="13"/>
  <c r="V138" i="13"/>
  <c r="U138" i="13"/>
  <c r="T138" i="13"/>
  <c r="S138" i="13"/>
  <c r="V137" i="13"/>
  <c r="U137" i="13"/>
  <c r="T137" i="13"/>
  <c r="S137" i="13"/>
  <c r="V136" i="13"/>
  <c r="U136" i="13"/>
  <c r="T136" i="13"/>
  <c r="S136" i="13"/>
  <c r="V135" i="13"/>
  <c r="U135" i="13"/>
  <c r="T135" i="13"/>
  <c r="S135" i="13"/>
  <c r="V134" i="13"/>
  <c r="U134" i="13"/>
  <c r="T134" i="13"/>
  <c r="S134" i="13"/>
  <c r="V133" i="13"/>
  <c r="U133" i="13"/>
  <c r="T133" i="13"/>
  <c r="S133" i="13"/>
  <c r="U131" i="13"/>
  <c r="S131" i="13"/>
  <c r="P149" i="13" l="1"/>
  <c r="G446" i="2" l="1"/>
  <c r="H1225" i="2" l="1"/>
  <c r="I1225" i="2"/>
  <c r="J1225" i="2"/>
  <c r="K1225" i="2"/>
  <c r="L1225" i="2"/>
  <c r="M1225" i="2"/>
  <c r="N1225" i="2"/>
  <c r="O1225" i="2"/>
  <c r="P1225" i="2"/>
  <c r="Q1225" i="2"/>
  <c r="G1225" i="2"/>
  <c r="D981" i="2" l="1"/>
  <c r="G505" i="2"/>
  <c r="G498" i="2"/>
  <c r="G489" i="2"/>
  <c r="D1005" i="2" l="1"/>
  <c r="B209" i="18"/>
  <c r="E1279" i="2"/>
  <c r="E88" i="13" s="1"/>
  <c r="F210" i="13" l="1"/>
  <c r="G316" i="2" l="1"/>
  <c r="I163" i="13"/>
  <c r="K163" i="13"/>
  <c r="M163" i="13"/>
  <c r="O163" i="13"/>
  <c r="Q163" i="13"/>
  <c r="G163" i="13"/>
  <c r="I145" i="13"/>
  <c r="K145" i="13"/>
  <c r="M145" i="13"/>
  <c r="O145" i="13"/>
  <c r="Q145" i="13"/>
  <c r="G145" i="13"/>
  <c r="I131" i="13"/>
  <c r="K131" i="13"/>
  <c r="M131" i="13"/>
  <c r="O131" i="13"/>
  <c r="Q131" i="13"/>
  <c r="G131" i="13"/>
  <c r="F185" i="13" l="1"/>
  <c r="G185" i="13"/>
  <c r="F186" i="13"/>
  <c r="G186" i="13"/>
  <c r="F187" i="13"/>
  <c r="G187" i="13"/>
  <c r="E186" i="13"/>
  <c r="E187" i="13"/>
  <c r="E185" i="13"/>
  <c r="H165" i="13"/>
  <c r="I165" i="13"/>
  <c r="J165" i="13"/>
  <c r="K165" i="13"/>
  <c r="L165" i="13"/>
  <c r="M165" i="13"/>
  <c r="N165" i="13"/>
  <c r="O165" i="13"/>
  <c r="P165" i="13"/>
  <c r="Q165" i="13"/>
  <c r="R165" i="13"/>
  <c r="H166" i="13"/>
  <c r="I166" i="13"/>
  <c r="J166" i="13"/>
  <c r="K166" i="13"/>
  <c r="L166" i="13"/>
  <c r="M166" i="13"/>
  <c r="N166" i="13"/>
  <c r="O166" i="13"/>
  <c r="P166" i="13"/>
  <c r="Q166" i="13"/>
  <c r="R166" i="13"/>
  <c r="H167" i="13"/>
  <c r="I167" i="13"/>
  <c r="J167" i="13"/>
  <c r="K167" i="13"/>
  <c r="L167" i="13"/>
  <c r="M167" i="13"/>
  <c r="N167" i="13"/>
  <c r="O167" i="13"/>
  <c r="P167" i="13"/>
  <c r="Q167" i="13"/>
  <c r="R167" i="13"/>
  <c r="H168" i="13"/>
  <c r="I168" i="13"/>
  <c r="J168" i="13"/>
  <c r="K168" i="13"/>
  <c r="L168" i="13"/>
  <c r="M168" i="13"/>
  <c r="N168" i="13"/>
  <c r="O168" i="13"/>
  <c r="P168" i="13"/>
  <c r="Q168" i="13"/>
  <c r="R168" i="13"/>
  <c r="H169" i="13"/>
  <c r="I169" i="13"/>
  <c r="J169" i="13"/>
  <c r="K169" i="13"/>
  <c r="L169" i="13"/>
  <c r="M169" i="13"/>
  <c r="N169" i="13"/>
  <c r="O169" i="13"/>
  <c r="P169" i="13"/>
  <c r="Q169" i="13"/>
  <c r="R169" i="13"/>
  <c r="H170" i="13"/>
  <c r="I170" i="13"/>
  <c r="J170" i="13"/>
  <c r="K170" i="13"/>
  <c r="L170" i="13"/>
  <c r="M170" i="13"/>
  <c r="N170" i="13"/>
  <c r="O170" i="13"/>
  <c r="P170" i="13"/>
  <c r="Q170" i="13"/>
  <c r="R170" i="13"/>
  <c r="H171" i="13"/>
  <c r="I171" i="13"/>
  <c r="J171" i="13"/>
  <c r="K171" i="13"/>
  <c r="L171" i="13"/>
  <c r="M171" i="13"/>
  <c r="N171" i="13"/>
  <c r="O171" i="13"/>
  <c r="P171" i="13"/>
  <c r="Q171" i="13"/>
  <c r="R171" i="13"/>
  <c r="H172" i="13"/>
  <c r="I172" i="13"/>
  <c r="J172" i="13"/>
  <c r="K172" i="13"/>
  <c r="L172" i="13"/>
  <c r="M172" i="13"/>
  <c r="N172" i="13"/>
  <c r="O172" i="13"/>
  <c r="P172" i="13"/>
  <c r="Q172" i="13"/>
  <c r="R172" i="13"/>
  <c r="H173" i="13"/>
  <c r="I173" i="13"/>
  <c r="J173" i="13"/>
  <c r="K173" i="13"/>
  <c r="L173" i="13"/>
  <c r="M173" i="13"/>
  <c r="N173" i="13"/>
  <c r="O173" i="13"/>
  <c r="P173" i="13"/>
  <c r="Q173" i="13"/>
  <c r="R173" i="13"/>
  <c r="H174" i="13"/>
  <c r="I174" i="13"/>
  <c r="J174" i="13"/>
  <c r="K174" i="13"/>
  <c r="L174" i="13"/>
  <c r="M174" i="13"/>
  <c r="N174" i="13"/>
  <c r="O174" i="13"/>
  <c r="P174" i="13"/>
  <c r="Q174" i="13"/>
  <c r="R174" i="13"/>
  <c r="H175" i="13"/>
  <c r="I175" i="13"/>
  <c r="J175" i="13"/>
  <c r="K175" i="13"/>
  <c r="L175" i="13"/>
  <c r="M175" i="13"/>
  <c r="N175" i="13"/>
  <c r="O175" i="13"/>
  <c r="P175" i="13"/>
  <c r="Q175" i="13"/>
  <c r="R175" i="13"/>
  <c r="H176" i="13"/>
  <c r="I176" i="13"/>
  <c r="J176" i="13"/>
  <c r="K176" i="13"/>
  <c r="L176" i="13"/>
  <c r="M176" i="13"/>
  <c r="N176" i="13"/>
  <c r="O176" i="13"/>
  <c r="P176" i="13"/>
  <c r="Q176" i="13"/>
  <c r="R176" i="13"/>
  <c r="H177" i="13"/>
  <c r="I177" i="13"/>
  <c r="J177" i="13"/>
  <c r="K177" i="13"/>
  <c r="L177" i="13"/>
  <c r="M177" i="13"/>
  <c r="N177" i="13"/>
  <c r="O177" i="13"/>
  <c r="P177" i="13"/>
  <c r="Q177" i="13"/>
  <c r="R177" i="13"/>
  <c r="H178" i="13"/>
  <c r="I178" i="13"/>
  <c r="J178" i="13"/>
  <c r="K178" i="13"/>
  <c r="L178" i="13"/>
  <c r="M178" i="13"/>
  <c r="N178" i="13"/>
  <c r="O178" i="13"/>
  <c r="P178" i="13"/>
  <c r="Q178" i="13"/>
  <c r="R178" i="13"/>
  <c r="H179" i="13"/>
  <c r="I179" i="13"/>
  <c r="J179" i="13"/>
  <c r="K179" i="13"/>
  <c r="L179" i="13"/>
  <c r="M179" i="13"/>
  <c r="N179" i="13"/>
  <c r="O179" i="13"/>
  <c r="P179" i="13"/>
  <c r="Q179" i="13"/>
  <c r="R179" i="13"/>
  <c r="H180" i="13"/>
  <c r="I180" i="13"/>
  <c r="J180" i="13"/>
  <c r="K180" i="13"/>
  <c r="L180" i="13"/>
  <c r="M180" i="13"/>
  <c r="N180" i="13"/>
  <c r="O180" i="13"/>
  <c r="P180" i="13"/>
  <c r="Q180" i="13"/>
  <c r="R180" i="13"/>
  <c r="H181" i="13"/>
  <c r="I181" i="13"/>
  <c r="J181" i="13"/>
  <c r="K181" i="13"/>
  <c r="L181" i="13"/>
  <c r="M181" i="13"/>
  <c r="N181" i="13"/>
  <c r="O181" i="13"/>
  <c r="P181" i="13"/>
  <c r="Q181" i="13"/>
  <c r="R181" i="13"/>
  <c r="G166" i="13"/>
  <c r="G167" i="13"/>
  <c r="G168" i="13"/>
  <c r="G169" i="13"/>
  <c r="G170" i="13"/>
  <c r="G171" i="13"/>
  <c r="G172" i="13"/>
  <c r="G173" i="13"/>
  <c r="G174" i="13"/>
  <c r="G175" i="13"/>
  <c r="G176" i="13"/>
  <c r="G177" i="13"/>
  <c r="G178" i="13"/>
  <c r="G179" i="13"/>
  <c r="G180" i="13"/>
  <c r="G181" i="13"/>
  <c r="G165" i="13"/>
  <c r="H147" i="13"/>
  <c r="I147" i="13"/>
  <c r="J147" i="13"/>
  <c r="K147" i="13"/>
  <c r="L147" i="13"/>
  <c r="M147" i="13"/>
  <c r="N147" i="13"/>
  <c r="O147" i="13"/>
  <c r="P147" i="13"/>
  <c r="Q147" i="13"/>
  <c r="R147" i="13"/>
  <c r="H148" i="13"/>
  <c r="I148" i="13"/>
  <c r="J148" i="13"/>
  <c r="K148" i="13"/>
  <c r="L148" i="13"/>
  <c r="M148" i="13"/>
  <c r="N148" i="13"/>
  <c r="O148" i="13"/>
  <c r="P148" i="13"/>
  <c r="Q148" i="13"/>
  <c r="R148" i="13"/>
  <c r="H149" i="13"/>
  <c r="I149" i="13"/>
  <c r="J149" i="13"/>
  <c r="K149" i="13"/>
  <c r="L149" i="13"/>
  <c r="M149" i="13"/>
  <c r="N149" i="13"/>
  <c r="O149" i="13"/>
  <c r="Q149" i="13"/>
  <c r="R149" i="13"/>
  <c r="H150" i="13"/>
  <c r="I150" i="13"/>
  <c r="J150" i="13"/>
  <c r="K150" i="13"/>
  <c r="L150" i="13"/>
  <c r="M150" i="13"/>
  <c r="N150" i="13"/>
  <c r="O150" i="13"/>
  <c r="P150" i="13"/>
  <c r="Q150" i="13"/>
  <c r="R150" i="13"/>
  <c r="H151" i="13"/>
  <c r="I151" i="13"/>
  <c r="J151" i="13"/>
  <c r="K151" i="13"/>
  <c r="L151" i="13"/>
  <c r="M151" i="13"/>
  <c r="N151" i="13"/>
  <c r="O151" i="13"/>
  <c r="P151" i="13"/>
  <c r="Q151" i="13"/>
  <c r="R151" i="13"/>
  <c r="H152" i="13"/>
  <c r="I152" i="13"/>
  <c r="J152" i="13"/>
  <c r="K152" i="13"/>
  <c r="L152" i="13"/>
  <c r="M152" i="13"/>
  <c r="N152" i="13"/>
  <c r="O152" i="13"/>
  <c r="P152" i="13"/>
  <c r="Q152" i="13"/>
  <c r="R152" i="13"/>
  <c r="H153" i="13"/>
  <c r="I153" i="13"/>
  <c r="J153" i="13"/>
  <c r="K153" i="13"/>
  <c r="L153" i="13"/>
  <c r="M153" i="13"/>
  <c r="N153" i="13"/>
  <c r="O153" i="13"/>
  <c r="P153" i="13"/>
  <c r="Q153" i="13"/>
  <c r="R153" i="13"/>
  <c r="H154" i="13"/>
  <c r="I154" i="13"/>
  <c r="J154" i="13"/>
  <c r="K154" i="13"/>
  <c r="L154" i="13"/>
  <c r="M154" i="13"/>
  <c r="N154" i="13"/>
  <c r="O154" i="13"/>
  <c r="P154" i="13"/>
  <c r="Q154" i="13"/>
  <c r="R154" i="13"/>
  <c r="H155" i="13"/>
  <c r="I155" i="13"/>
  <c r="J155" i="13"/>
  <c r="K155" i="13"/>
  <c r="L155" i="13"/>
  <c r="M155" i="13"/>
  <c r="N155" i="13"/>
  <c r="O155" i="13"/>
  <c r="P155" i="13"/>
  <c r="Q155" i="13"/>
  <c r="R155" i="13"/>
  <c r="H156" i="13"/>
  <c r="I156" i="13"/>
  <c r="J156" i="13"/>
  <c r="K156" i="13"/>
  <c r="L156" i="13"/>
  <c r="M156" i="13"/>
  <c r="N156" i="13"/>
  <c r="O156" i="13"/>
  <c r="P156" i="13"/>
  <c r="Q156" i="13"/>
  <c r="R156" i="13"/>
  <c r="H157" i="13"/>
  <c r="I157" i="13"/>
  <c r="J157" i="13"/>
  <c r="K157" i="13"/>
  <c r="L157" i="13"/>
  <c r="M157" i="13"/>
  <c r="N157" i="13"/>
  <c r="O157" i="13"/>
  <c r="P157" i="13"/>
  <c r="Q157" i="13"/>
  <c r="R157" i="13"/>
  <c r="H158" i="13"/>
  <c r="I158" i="13"/>
  <c r="J158" i="13"/>
  <c r="K158" i="13"/>
  <c r="L158" i="13"/>
  <c r="M158" i="13"/>
  <c r="N158" i="13"/>
  <c r="O158" i="13"/>
  <c r="P158" i="13"/>
  <c r="Q158" i="13"/>
  <c r="R158" i="13"/>
  <c r="H159" i="13"/>
  <c r="I159" i="13"/>
  <c r="J159" i="13"/>
  <c r="K159" i="13"/>
  <c r="L159" i="13"/>
  <c r="M159" i="13"/>
  <c r="N159" i="13"/>
  <c r="O159" i="13"/>
  <c r="P159" i="13"/>
  <c r="Q159" i="13"/>
  <c r="R159" i="13"/>
  <c r="H160" i="13"/>
  <c r="I160" i="13"/>
  <c r="J160" i="13"/>
  <c r="K160" i="13"/>
  <c r="L160" i="13"/>
  <c r="M160" i="13"/>
  <c r="N160" i="13"/>
  <c r="O160" i="13"/>
  <c r="P160" i="13"/>
  <c r="Q160" i="13"/>
  <c r="R160" i="13"/>
  <c r="G148" i="13"/>
  <c r="G149" i="13"/>
  <c r="G150" i="13"/>
  <c r="G151" i="13"/>
  <c r="G152" i="13"/>
  <c r="G153" i="13"/>
  <c r="G154" i="13"/>
  <c r="G155" i="13"/>
  <c r="G156" i="13"/>
  <c r="G157" i="13"/>
  <c r="G158" i="13"/>
  <c r="G159" i="13"/>
  <c r="G160" i="13"/>
  <c r="G147" i="13"/>
  <c r="H133" i="13"/>
  <c r="J133" i="13"/>
  <c r="K133" i="13"/>
  <c r="L133" i="13"/>
  <c r="M133" i="13"/>
  <c r="N133" i="13"/>
  <c r="O133" i="13"/>
  <c r="P133" i="13"/>
  <c r="Q133" i="13"/>
  <c r="R133" i="13"/>
  <c r="H134" i="13"/>
  <c r="J134" i="13"/>
  <c r="K134" i="13"/>
  <c r="L134" i="13"/>
  <c r="M134" i="13"/>
  <c r="N134" i="13"/>
  <c r="O134" i="13"/>
  <c r="P134" i="13"/>
  <c r="Q134" i="13"/>
  <c r="R134" i="13"/>
  <c r="H135" i="13"/>
  <c r="J135" i="13"/>
  <c r="K135" i="13"/>
  <c r="L135" i="13"/>
  <c r="M135" i="13"/>
  <c r="N135" i="13"/>
  <c r="O135" i="13"/>
  <c r="P135" i="13"/>
  <c r="Q135" i="13"/>
  <c r="R135" i="13"/>
  <c r="H136" i="13"/>
  <c r="J136" i="13"/>
  <c r="K136" i="13"/>
  <c r="L136" i="13"/>
  <c r="M136" i="13"/>
  <c r="N136" i="13"/>
  <c r="O136" i="13"/>
  <c r="P136" i="13"/>
  <c r="Q136" i="13"/>
  <c r="R136" i="13"/>
  <c r="H137" i="13"/>
  <c r="J137" i="13"/>
  <c r="K137" i="13"/>
  <c r="L137" i="13"/>
  <c r="M137" i="13"/>
  <c r="N137" i="13"/>
  <c r="O137" i="13"/>
  <c r="P137" i="13"/>
  <c r="Q137" i="13"/>
  <c r="R137" i="13"/>
  <c r="H138" i="13"/>
  <c r="J138" i="13"/>
  <c r="K138" i="13"/>
  <c r="L138" i="13"/>
  <c r="M138" i="13"/>
  <c r="N138" i="13"/>
  <c r="O138" i="13"/>
  <c r="P138" i="13"/>
  <c r="Q138" i="13"/>
  <c r="R138" i="13"/>
  <c r="H139" i="13"/>
  <c r="J139" i="13"/>
  <c r="K139" i="13"/>
  <c r="L139" i="13"/>
  <c r="M139" i="13"/>
  <c r="N139" i="13"/>
  <c r="O139" i="13"/>
  <c r="P139" i="13"/>
  <c r="Q139" i="13"/>
  <c r="R139" i="13"/>
  <c r="H140" i="13"/>
  <c r="I140" i="13"/>
  <c r="J140" i="13"/>
  <c r="K140" i="13"/>
  <c r="L140" i="13"/>
  <c r="M140" i="13"/>
  <c r="N140" i="13"/>
  <c r="O140" i="13"/>
  <c r="P140" i="13"/>
  <c r="Q140" i="13"/>
  <c r="R140" i="13"/>
  <c r="H141" i="13"/>
  <c r="I141" i="13"/>
  <c r="J141" i="13"/>
  <c r="K141" i="13"/>
  <c r="L141" i="13"/>
  <c r="M141" i="13"/>
  <c r="N141" i="13"/>
  <c r="O141" i="13"/>
  <c r="P141" i="13"/>
  <c r="Q141" i="13"/>
  <c r="R141" i="13"/>
  <c r="H142" i="13"/>
  <c r="I142" i="13"/>
  <c r="J142" i="13"/>
  <c r="K142" i="13"/>
  <c r="L142" i="13"/>
  <c r="M142" i="13"/>
  <c r="N142" i="13"/>
  <c r="O142" i="13"/>
  <c r="P142" i="13"/>
  <c r="Q142" i="13"/>
  <c r="R142" i="13"/>
  <c r="G134" i="13"/>
  <c r="G135" i="13"/>
  <c r="G136" i="13"/>
  <c r="G137" i="13"/>
  <c r="G138" i="13"/>
  <c r="G139" i="13"/>
  <c r="G140" i="13"/>
  <c r="G141" i="13"/>
  <c r="G142" i="13"/>
  <c r="G133" i="13"/>
  <c r="AA139" i="13"/>
  <c r="I139" i="13" s="1"/>
  <c r="AA138" i="13"/>
  <c r="I138" i="13" s="1"/>
  <c r="AA137" i="13"/>
  <c r="I137" i="13" s="1"/>
  <c r="AA136" i="13"/>
  <c r="I136" i="13" s="1"/>
  <c r="AA135" i="13"/>
  <c r="I135" i="13" s="1"/>
  <c r="AA134" i="13"/>
  <c r="I134" i="13" s="1"/>
  <c r="AA133" i="13"/>
  <c r="I133" i="13" s="1"/>
  <c r="H16" i="13" l="1"/>
  <c r="I16" i="13"/>
  <c r="J16" i="13"/>
  <c r="K16" i="13"/>
  <c r="L16" i="13"/>
  <c r="M16" i="13"/>
  <c r="N16" i="13"/>
  <c r="O16" i="13"/>
  <c r="P16" i="13"/>
  <c r="P76" i="13" s="1"/>
  <c r="Q16" i="13"/>
  <c r="Q76" i="13" s="1"/>
  <c r="G16" i="13"/>
  <c r="G76" i="13" s="1"/>
  <c r="E266" i="13"/>
  <c r="E265" i="13"/>
  <c r="E264" i="13"/>
  <c r="E263" i="13"/>
  <c r="E262" i="13"/>
  <c r="E259" i="13"/>
  <c r="E254" i="13"/>
  <c r="E253" i="13"/>
  <c r="E252" i="13"/>
  <c r="E251" i="13"/>
  <c r="E250" i="13"/>
  <c r="E247" i="13"/>
  <c r="E242" i="13"/>
  <c r="E241" i="13"/>
  <c r="E239" i="13"/>
  <c r="E238" i="13"/>
  <c r="E235" i="13"/>
  <c r="O75" i="13" l="1"/>
  <c r="O76" i="13"/>
  <c r="O77" i="13"/>
  <c r="N76" i="13"/>
  <c r="N77" i="13"/>
  <c r="N75" i="13"/>
  <c r="M76" i="13"/>
  <c r="M77" i="13"/>
  <c r="M75" i="13"/>
  <c r="L75" i="13"/>
  <c r="L76" i="13"/>
  <c r="L77" i="13"/>
  <c r="K76" i="13"/>
  <c r="K77" i="13"/>
  <c r="K75" i="13"/>
  <c r="J76" i="13"/>
  <c r="J77" i="13"/>
  <c r="J75" i="13"/>
  <c r="J58" i="13"/>
  <c r="J59" i="13"/>
  <c r="J44" i="13"/>
  <c r="J73" i="13"/>
  <c r="J18" i="13"/>
  <c r="I75" i="13"/>
  <c r="I76" i="13"/>
  <c r="I77" i="13"/>
  <c r="H75" i="13"/>
  <c r="H76" i="13"/>
  <c r="E76" i="13" s="1"/>
  <c r="E399" i="2" s="1"/>
  <c r="H77" i="13"/>
  <c r="H86" i="13"/>
  <c r="M94" i="13"/>
  <c r="M93" i="13"/>
  <c r="L93" i="13"/>
  <c r="L94" i="13"/>
  <c r="O94" i="13"/>
  <c r="O93" i="13"/>
  <c r="K93" i="13"/>
  <c r="K94" i="13"/>
  <c r="N94" i="13"/>
  <c r="N93" i="13"/>
  <c r="G94" i="13"/>
  <c r="G93" i="13"/>
  <c r="J93" i="13"/>
  <c r="J94" i="13"/>
  <c r="Q93" i="13"/>
  <c r="Q94" i="13"/>
  <c r="I93" i="13"/>
  <c r="I94" i="13"/>
  <c r="P93" i="13"/>
  <c r="P94" i="13"/>
  <c r="H94" i="13"/>
  <c r="H93" i="13"/>
  <c r="E93" i="13" s="1"/>
  <c r="K89" i="13"/>
  <c r="G75" i="13"/>
  <c r="G77" i="13"/>
  <c r="J89" i="13"/>
  <c r="Q75" i="13"/>
  <c r="Q77" i="13"/>
  <c r="P77" i="13"/>
  <c r="P75" i="13"/>
  <c r="M55" i="13"/>
  <c r="M52" i="13"/>
  <c r="L55" i="13"/>
  <c r="L52" i="13"/>
  <c r="K55" i="13"/>
  <c r="K52" i="13"/>
  <c r="G55" i="13"/>
  <c r="G52" i="13"/>
  <c r="J55" i="13"/>
  <c r="J52" i="13"/>
  <c r="I55" i="13"/>
  <c r="I52" i="13"/>
  <c r="H55" i="13"/>
  <c r="H52" i="13"/>
  <c r="Q55" i="13"/>
  <c r="Q52" i="13"/>
  <c r="O55" i="13"/>
  <c r="O52" i="13"/>
  <c r="N55" i="13"/>
  <c r="N52" i="13"/>
  <c r="P55" i="13"/>
  <c r="P52" i="13"/>
  <c r="K90" i="13"/>
  <c r="K40" i="13"/>
  <c r="N90" i="13"/>
  <c r="N40" i="13"/>
  <c r="M90" i="13"/>
  <c r="M40" i="13"/>
  <c r="O90" i="13"/>
  <c r="O40" i="13"/>
  <c r="L90" i="13"/>
  <c r="L40" i="13"/>
  <c r="G90" i="13"/>
  <c r="G40" i="13"/>
  <c r="Q90" i="13"/>
  <c r="Q40" i="13"/>
  <c r="I90" i="13"/>
  <c r="I57" i="13"/>
  <c r="I18" i="13"/>
  <c r="I40" i="13"/>
  <c r="J90" i="13"/>
  <c r="J40" i="13"/>
  <c r="P90" i="13"/>
  <c r="P40" i="13"/>
  <c r="H90" i="13"/>
  <c r="H57" i="13"/>
  <c r="H44" i="13"/>
  <c r="H79" i="13"/>
  <c r="H26" i="13"/>
  <c r="H87" i="13"/>
  <c r="H40" i="13"/>
  <c r="O83" i="13"/>
  <c r="O86" i="13"/>
  <c r="N83" i="13"/>
  <c r="N86" i="13"/>
  <c r="H83" i="13"/>
  <c r="M83" i="13"/>
  <c r="M86" i="13"/>
  <c r="L83" i="13"/>
  <c r="L86" i="13"/>
  <c r="P83" i="13"/>
  <c r="P86" i="13"/>
  <c r="K83" i="13"/>
  <c r="K86" i="13"/>
  <c r="G83" i="13"/>
  <c r="G86" i="13"/>
  <c r="J83" i="13"/>
  <c r="J86" i="13"/>
  <c r="Q83" i="13"/>
  <c r="Q86" i="13"/>
  <c r="I83" i="13"/>
  <c r="I86" i="13"/>
  <c r="E86" i="13" s="1"/>
  <c r="O92" i="13"/>
  <c r="O57" i="13"/>
  <c r="N92" i="13"/>
  <c r="N57" i="13"/>
  <c r="L92" i="13"/>
  <c r="L57" i="13"/>
  <c r="K92" i="13"/>
  <c r="K57" i="13"/>
  <c r="M92" i="13"/>
  <c r="M57" i="13"/>
  <c r="G92" i="13"/>
  <c r="G57" i="13"/>
  <c r="J92" i="13"/>
  <c r="J57" i="13"/>
  <c r="Q92" i="13"/>
  <c r="Q57" i="13"/>
  <c r="I92" i="13"/>
  <c r="P92" i="13"/>
  <c r="P57" i="13"/>
  <c r="H92" i="13"/>
  <c r="O91" i="13"/>
  <c r="O85" i="13"/>
  <c r="O89" i="13"/>
  <c r="O87" i="13"/>
  <c r="N91" i="13"/>
  <c r="N85" i="13"/>
  <c r="N89" i="13"/>
  <c r="N87" i="13"/>
  <c r="M91" i="13"/>
  <c r="M89" i="13"/>
  <c r="M87" i="13"/>
  <c r="M85" i="13"/>
  <c r="L91" i="13"/>
  <c r="L85" i="13"/>
  <c r="L89" i="13"/>
  <c r="L87" i="13"/>
  <c r="K91" i="13"/>
  <c r="K87" i="13"/>
  <c r="K85" i="13"/>
  <c r="G91" i="13"/>
  <c r="G85" i="13"/>
  <c r="G87" i="13"/>
  <c r="G89" i="13"/>
  <c r="J91" i="13"/>
  <c r="J85" i="13"/>
  <c r="J87" i="13"/>
  <c r="Q91" i="13"/>
  <c r="Q87" i="13"/>
  <c r="Q85" i="13"/>
  <c r="Q89" i="13"/>
  <c r="I91" i="13"/>
  <c r="I89" i="13"/>
  <c r="I85" i="13"/>
  <c r="I87" i="13"/>
  <c r="P91" i="13"/>
  <c r="P85" i="13"/>
  <c r="P89" i="13"/>
  <c r="P87" i="13"/>
  <c r="H91" i="13"/>
  <c r="H85" i="13"/>
  <c r="H89" i="13"/>
  <c r="O54" i="13"/>
  <c r="O53" i="13"/>
  <c r="N54" i="13"/>
  <c r="N53" i="13"/>
  <c r="M54" i="13"/>
  <c r="M53" i="13"/>
  <c r="L54" i="13"/>
  <c r="L53" i="13"/>
  <c r="K53" i="13"/>
  <c r="K54" i="13"/>
  <c r="G54" i="13"/>
  <c r="G53" i="13"/>
  <c r="J53" i="13"/>
  <c r="J54" i="13"/>
  <c r="Q54" i="13"/>
  <c r="Q53" i="13"/>
  <c r="I54" i="13"/>
  <c r="I53" i="13"/>
  <c r="P53" i="13"/>
  <c r="P54" i="13"/>
  <c r="H53" i="13"/>
  <c r="H54" i="13"/>
  <c r="Q82" i="13"/>
  <c r="P82" i="13"/>
  <c r="J82" i="13"/>
  <c r="I82" i="13"/>
  <c r="O82" i="13"/>
  <c r="O79" i="13"/>
  <c r="N82" i="13"/>
  <c r="N79" i="13"/>
  <c r="G82" i="13"/>
  <c r="G79" i="13"/>
  <c r="M82" i="13"/>
  <c r="M79" i="13"/>
  <c r="L82" i="13"/>
  <c r="L79" i="13"/>
  <c r="K82" i="13"/>
  <c r="K79" i="13"/>
  <c r="H82" i="13"/>
  <c r="O37" i="13"/>
  <c r="O80" i="13"/>
  <c r="N37" i="13"/>
  <c r="N80" i="13"/>
  <c r="M37" i="13"/>
  <c r="M80" i="13"/>
  <c r="L37" i="13"/>
  <c r="L80" i="13"/>
  <c r="K37" i="13"/>
  <c r="K80" i="13"/>
  <c r="G37" i="13"/>
  <c r="G80" i="13"/>
  <c r="J37" i="13"/>
  <c r="J80" i="13"/>
  <c r="Q37" i="13"/>
  <c r="Q80" i="13"/>
  <c r="I37" i="13"/>
  <c r="I80" i="13"/>
  <c r="P37" i="13"/>
  <c r="P80" i="13"/>
  <c r="H37" i="13"/>
  <c r="H80" i="13"/>
  <c r="O112" i="13"/>
  <c r="O120" i="13"/>
  <c r="O115" i="13"/>
  <c r="O106" i="13"/>
  <c r="O122" i="13"/>
  <c r="O125" i="13"/>
  <c r="O107" i="13"/>
  <c r="O123" i="13"/>
  <c r="O110" i="13"/>
  <c r="O118" i="13"/>
  <c r="O108" i="13"/>
  <c r="O116" i="13"/>
  <c r="O124" i="13"/>
  <c r="O113" i="13"/>
  <c r="O121" i="13"/>
  <c r="O114" i="13"/>
  <c r="O109" i="13"/>
  <c r="O111" i="13"/>
  <c r="O119" i="13"/>
  <c r="O117" i="13"/>
  <c r="N107" i="13"/>
  <c r="N115" i="13"/>
  <c r="N123" i="13"/>
  <c r="N106" i="13"/>
  <c r="N110" i="13"/>
  <c r="N118" i="13"/>
  <c r="N117" i="13"/>
  <c r="N113" i="13"/>
  <c r="N121" i="13"/>
  <c r="N109" i="13"/>
  <c r="N112" i="13"/>
  <c r="N108" i="13"/>
  <c r="N116" i="13"/>
  <c r="N124" i="13"/>
  <c r="N119" i="13"/>
  <c r="N120" i="13"/>
  <c r="N111" i="13"/>
  <c r="N125" i="13"/>
  <c r="N114" i="13"/>
  <c r="N122" i="13"/>
  <c r="Q114" i="13"/>
  <c r="Q122" i="13"/>
  <c r="Q109" i="13"/>
  <c r="Q117" i="13"/>
  <c r="Q119" i="13"/>
  <c r="Q125" i="13"/>
  <c r="Q124" i="13"/>
  <c r="Q112" i="13"/>
  <c r="Q120" i="13"/>
  <c r="Q107" i="13"/>
  <c r="Q115" i="13"/>
  <c r="Q123" i="13"/>
  <c r="Q106" i="13"/>
  <c r="Q110" i="13"/>
  <c r="Q108" i="13"/>
  <c r="Q111" i="13"/>
  <c r="Q118" i="13"/>
  <c r="Q113" i="13"/>
  <c r="Q121" i="13"/>
  <c r="Q116" i="13"/>
  <c r="M110" i="13"/>
  <c r="M118" i="13"/>
  <c r="M113" i="13"/>
  <c r="M121" i="13"/>
  <c r="M115" i="13"/>
  <c r="M108" i="13"/>
  <c r="M116" i="13"/>
  <c r="M124" i="13"/>
  <c r="M122" i="13"/>
  <c r="M120" i="13"/>
  <c r="M107" i="13"/>
  <c r="M111" i="13"/>
  <c r="M119" i="13"/>
  <c r="M114" i="13"/>
  <c r="M123" i="13"/>
  <c r="M106" i="13"/>
  <c r="M112" i="13"/>
  <c r="M109" i="13"/>
  <c r="M117" i="13"/>
  <c r="M125" i="13"/>
  <c r="L113" i="13"/>
  <c r="L121" i="13"/>
  <c r="L108" i="13"/>
  <c r="L116" i="13"/>
  <c r="L124" i="13"/>
  <c r="L110" i="13"/>
  <c r="L118" i="13"/>
  <c r="L111" i="13"/>
  <c r="L119" i="13"/>
  <c r="L115" i="13"/>
  <c r="L114" i="13"/>
  <c r="L122" i="13"/>
  <c r="L117" i="13"/>
  <c r="L123" i="13"/>
  <c r="L109" i="13"/>
  <c r="L125" i="13"/>
  <c r="L112" i="13"/>
  <c r="L120" i="13"/>
  <c r="L107" i="13"/>
  <c r="L106" i="13"/>
  <c r="K108" i="13"/>
  <c r="K116" i="13"/>
  <c r="K124" i="13"/>
  <c r="K111" i="13"/>
  <c r="K119" i="13"/>
  <c r="K118" i="13"/>
  <c r="K121" i="13"/>
  <c r="K114" i="13"/>
  <c r="K122" i="13"/>
  <c r="K112" i="13"/>
  <c r="K120" i="13"/>
  <c r="K109" i="13"/>
  <c r="K117" i="13"/>
  <c r="K125" i="13"/>
  <c r="K113" i="13"/>
  <c r="K107" i="13"/>
  <c r="K115" i="13"/>
  <c r="K123" i="13"/>
  <c r="K106" i="13"/>
  <c r="K110" i="13"/>
  <c r="G112" i="13"/>
  <c r="G120" i="13"/>
  <c r="G107" i="13"/>
  <c r="G115" i="13"/>
  <c r="G123" i="13"/>
  <c r="G109" i="13"/>
  <c r="G125" i="13"/>
  <c r="G110" i="13"/>
  <c r="G118" i="13"/>
  <c r="G106" i="13"/>
  <c r="G117" i="13"/>
  <c r="G113" i="13"/>
  <c r="G121" i="13"/>
  <c r="G108" i="13"/>
  <c r="G116" i="13"/>
  <c r="G124" i="13"/>
  <c r="G122" i="13"/>
  <c r="G111" i="13"/>
  <c r="G119" i="13"/>
  <c r="G114" i="13"/>
  <c r="J111" i="13"/>
  <c r="J119" i="13"/>
  <c r="J114" i="13"/>
  <c r="J122" i="13"/>
  <c r="J109" i="13"/>
  <c r="J117" i="13"/>
  <c r="J125" i="13"/>
  <c r="J112" i="13"/>
  <c r="J120" i="13"/>
  <c r="J106" i="13"/>
  <c r="J108" i="13"/>
  <c r="J116" i="13"/>
  <c r="J107" i="13"/>
  <c r="J115" i="13"/>
  <c r="J123" i="13"/>
  <c r="J124" i="13"/>
  <c r="J110" i="13"/>
  <c r="J118" i="13"/>
  <c r="J113" i="13"/>
  <c r="J121" i="13"/>
  <c r="I114" i="13"/>
  <c r="I122" i="13"/>
  <c r="I109" i="13"/>
  <c r="I125" i="13"/>
  <c r="I117" i="13"/>
  <c r="I112" i="13"/>
  <c r="I120" i="13"/>
  <c r="I110" i="13"/>
  <c r="I118" i="13"/>
  <c r="I124" i="13"/>
  <c r="I107" i="13"/>
  <c r="I115" i="13"/>
  <c r="I123" i="13"/>
  <c r="I106" i="13"/>
  <c r="I108" i="13"/>
  <c r="I116" i="13"/>
  <c r="I119" i="13"/>
  <c r="I113" i="13"/>
  <c r="I121" i="13"/>
  <c r="I111" i="13"/>
  <c r="P109" i="13"/>
  <c r="P117" i="13"/>
  <c r="P125" i="13"/>
  <c r="P112" i="13"/>
  <c r="P120" i="13"/>
  <c r="P107" i="13"/>
  <c r="P115" i="13"/>
  <c r="P123" i="13"/>
  <c r="P106" i="13"/>
  <c r="P113" i="13"/>
  <c r="P122" i="13"/>
  <c r="P110" i="13"/>
  <c r="P118" i="13"/>
  <c r="P121" i="13"/>
  <c r="P119" i="13"/>
  <c r="P108" i="13"/>
  <c r="P116" i="13"/>
  <c r="P124" i="13"/>
  <c r="P111" i="13"/>
  <c r="P114" i="13"/>
  <c r="H109" i="13"/>
  <c r="H117" i="13"/>
  <c r="H125" i="13"/>
  <c r="H112" i="13"/>
  <c r="H120" i="13"/>
  <c r="H114" i="13"/>
  <c r="H107" i="13"/>
  <c r="H115" i="13"/>
  <c r="H123" i="13"/>
  <c r="H106" i="13"/>
  <c r="H110" i="13"/>
  <c r="H118" i="13"/>
  <c r="H113" i="13"/>
  <c r="H121" i="13"/>
  <c r="H119" i="13"/>
  <c r="H108" i="13"/>
  <c r="H116" i="13"/>
  <c r="H124" i="13"/>
  <c r="H111" i="13"/>
  <c r="H122" i="13"/>
  <c r="I50" i="13"/>
  <c r="I51" i="13"/>
  <c r="G21" i="13"/>
  <c r="G67" i="13"/>
  <c r="G71" i="13"/>
  <c r="G68" i="13"/>
  <c r="G69" i="13"/>
  <c r="G70" i="13"/>
  <c r="J67" i="13"/>
  <c r="J69" i="13"/>
  <c r="J71" i="13"/>
  <c r="J68" i="13"/>
  <c r="J70" i="13"/>
  <c r="I68" i="13"/>
  <c r="I70" i="13"/>
  <c r="I67" i="13"/>
  <c r="I69" i="13"/>
  <c r="I71" i="13"/>
  <c r="O67" i="13"/>
  <c r="O69" i="13"/>
  <c r="O71" i="13"/>
  <c r="O68" i="13"/>
  <c r="O70" i="13"/>
  <c r="K67" i="13"/>
  <c r="K69" i="13"/>
  <c r="K71" i="13"/>
  <c r="K68" i="13"/>
  <c r="K70" i="13"/>
  <c r="N67" i="13"/>
  <c r="N69" i="13"/>
  <c r="N71" i="13"/>
  <c r="N68" i="13"/>
  <c r="N70" i="13"/>
  <c r="Q68" i="13"/>
  <c r="Q70" i="13"/>
  <c r="Q67" i="13"/>
  <c r="Q69" i="13"/>
  <c r="Q71" i="13"/>
  <c r="M68" i="13"/>
  <c r="M70" i="13"/>
  <c r="M67" i="13"/>
  <c r="M69" i="13"/>
  <c r="M71" i="13"/>
  <c r="P68" i="13"/>
  <c r="P70" i="13"/>
  <c r="P67" i="13"/>
  <c r="P69" i="13"/>
  <c r="P71" i="13"/>
  <c r="L68" i="13"/>
  <c r="L70" i="13"/>
  <c r="L67" i="13"/>
  <c r="L69" i="13"/>
  <c r="L71" i="13"/>
  <c r="H68" i="13"/>
  <c r="H70" i="13"/>
  <c r="H67" i="13"/>
  <c r="H69" i="13"/>
  <c r="H71" i="13"/>
  <c r="Q19" i="13"/>
  <c r="Q96" i="13"/>
  <c r="M35" i="13"/>
  <c r="M96" i="13"/>
  <c r="I31" i="13"/>
  <c r="I96" i="13"/>
  <c r="P30" i="13"/>
  <c r="P96" i="13"/>
  <c r="L26" i="13"/>
  <c r="L96" i="13"/>
  <c r="H18" i="13"/>
  <c r="H96" i="13"/>
  <c r="O33" i="13"/>
  <c r="O96" i="13"/>
  <c r="K21" i="13"/>
  <c r="K96" i="13"/>
  <c r="G96" i="13"/>
  <c r="N28" i="13"/>
  <c r="N96" i="13"/>
  <c r="J65" i="13"/>
  <c r="J96" i="13"/>
  <c r="L97" i="13"/>
  <c r="H60" i="13"/>
  <c r="H50" i="13"/>
  <c r="I79" i="13"/>
  <c r="Q64" i="13"/>
  <c r="H49" i="13"/>
  <c r="P74" i="13"/>
  <c r="L59" i="13"/>
  <c r="P41" i="13"/>
  <c r="P97" i="13"/>
  <c r="M61" i="13"/>
  <c r="H59" i="13"/>
  <c r="I27" i="13"/>
  <c r="N81" i="13"/>
  <c r="G73" i="13"/>
  <c r="G56" i="13"/>
  <c r="G33" i="13"/>
  <c r="J81" i="13"/>
  <c r="N62" i="13"/>
  <c r="I61" i="13"/>
  <c r="G66" i="13"/>
  <c r="M64" i="13"/>
  <c r="M51" i="13"/>
  <c r="M31" i="13"/>
  <c r="J23" i="13"/>
  <c r="H97" i="13"/>
  <c r="Q79" i="13"/>
  <c r="L74" i="13"/>
  <c r="J62" i="13"/>
  <c r="P60" i="13"/>
  <c r="N65" i="13"/>
  <c r="I64" i="13"/>
  <c r="G58" i="13"/>
  <c r="G51" i="13"/>
  <c r="N47" i="13"/>
  <c r="Q35" i="13"/>
  <c r="H30" i="13"/>
  <c r="J20" i="13"/>
  <c r="H74" i="13"/>
  <c r="Q61" i="13"/>
  <c r="L60" i="13"/>
  <c r="P59" i="13"/>
  <c r="L56" i="13"/>
  <c r="M50" i="13"/>
  <c r="I46" i="13"/>
  <c r="L34" i="13"/>
  <c r="P18" i="13"/>
  <c r="O44" i="13"/>
  <c r="O24" i="13"/>
  <c r="G19" i="13"/>
  <c r="G27" i="13"/>
  <c r="G31" i="13"/>
  <c r="G35" i="13"/>
  <c r="G42" i="13"/>
  <c r="G46" i="13"/>
  <c r="G50" i="13"/>
  <c r="G18" i="13"/>
  <c r="G22" i="13"/>
  <c r="G26" i="13"/>
  <c r="G30" i="13"/>
  <c r="G34" i="13"/>
  <c r="G41" i="13"/>
  <c r="G45" i="13"/>
  <c r="G49" i="13"/>
  <c r="G20" i="13"/>
  <c r="G23" i="13"/>
  <c r="G28" i="13"/>
  <c r="G32" i="13"/>
  <c r="G36" i="13"/>
  <c r="G47" i="13"/>
  <c r="N18" i="13"/>
  <c r="N26" i="13"/>
  <c r="N30" i="13"/>
  <c r="N34" i="13"/>
  <c r="N41" i="13"/>
  <c r="N45" i="13"/>
  <c r="N49" i="13"/>
  <c r="N21" i="13"/>
  <c r="N24" i="13"/>
  <c r="N29" i="13"/>
  <c r="N33" i="13"/>
  <c r="N39" i="13"/>
  <c r="N44" i="13"/>
  <c r="N48" i="13"/>
  <c r="N19" i="13"/>
  <c r="N22" i="13"/>
  <c r="N27" i="13"/>
  <c r="N31" i="13"/>
  <c r="N35" i="13"/>
  <c r="N42" i="13"/>
  <c r="N46" i="13"/>
  <c r="J26" i="13"/>
  <c r="J30" i="13"/>
  <c r="J34" i="13"/>
  <c r="J41" i="13"/>
  <c r="J45" i="13"/>
  <c r="J49" i="13"/>
  <c r="J21" i="13"/>
  <c r="J24" i="13"/>
  <c r="J29" i="13"/>
  <c r="J33" i="13"/>
  <c r="J39" i="13"/>
  <c r="J48" i="13"/>
  <c r="J19" i="13"/>
  <c r="J22" i="13"/>
  <c r="J27" i="13"/>
  <c r="J31" i="13"/>
  <c r="J35" i="13"/>
  <c r="J42" i="13"/>
  <c r="J46" i="13"/>
  <c r="O97" i="13"/>
  <c r="K97" i="13"/>
  <c r="G97" i="13"/>
  <c r="Q81" i="13"/>
  <c r="M81" i="13"/>
  <c r="I81" i="13"/>
  <c r="P79" i="13"/>
  <c r="O74" i="13"/>
  <c r="K74" i="13"/>
  <c r="G74" i="13"/>
  <c r="N73" i="13"/>
  <c r="Q62" i="13"/>
  <c r="M62" i="13"/>
  <c r="I62" i="13"/>
  <c r="P61" i="13"/>
  <c r="L61" i="13"/>
  <c r="H61" i="13"/>
  <c r="O60" i="13"/>
  <c r="K60" i="13"/>
  <c r="G60" i="13"/>
  <c r="N66" i="13"/>
  <c r="J66" i="13"/>
  <c r="Q65" i="13"/>
  <c r="M65" i="13"/>
  <c r="I65" i="13"/>
  <c r="P64" i="13"/>
  <c r="L64" i="13"/>
  <c r="H64" i="13"/>
  <c r="O59" i="13"/>
  <c r="K59" i="13"/>
  <c r="G59" i="13"/>
  <c r="N58" i="13"/>
  <c r="P56" i="13"/>
  <c r="K56" i="13"/>
  <c r="Q51" i="13"/>
  <c r="K51" i="13"/>
  <c r="Q50" i="13"/>
  <c r="L50" i="13"/>
  <c r="Q49" i="13"/>
  <c r="O48" i="13"/>
  <c r="J47" i="13"/>
  <c r="P45" i="13"/>
  <c r="K44" i="13"/>
  <c r="Q42" i="13"/>
  <c r="L41" i="13"/>
  <c r="G39" i="13"/>
  <c r="H34" i="13"/>
  <c r="N32" i="13"/>
  <c r="O29" i="13"/>
  <c r="J28" i="13"/>
  <c r="P26" i="13"/>
  <c r="K24" i="13"/>
  <c r="Q22" i="13"/>
  <c r="L18" i="13"/>
  <c r="K19" i="13"/>
  <c r="K22" i="13"/>
  <c r="K27" i="13"/>
  <c r="K31" i="13"/>
  <c r="K35" i="13"/>
  <c r="K42" i="13"/>
  <c r="K46" i="13"/>
  <c r="K50" i="13"/>
  <c r="K18" i="13"/>
  <c r="K26" i="13"/>
  <c r="K30" i="13"/>
  <c r="K34" i="13"/>
  <c r="K41" i="13"/>
  <c r="K45" i="13"/>
  <c r="K49" i="13"/>
  <c r="K20" i="13"/>
  <c r="K23" i="13"/>
  <c r="K28" i="13"/>
  <c r="K32" i="13"/>
  <c r="K36" i="13"/>
  <c r="K47" i="13"/>
  <c r="K73" i="13"/>
  <c r="O66" i="13"/>
  <c r="K66" i="13"/>
  <c r="K39" i="13"/>
  <c r="O21" i="13"/>
  <c r="Q21" i="13"/>
  <c r="Q24" i="13"/>
  <c r="Q29" i="13"/>
  <c r="Q33" i="13"/>
  <c r="Q39" i="13"/>
  <c r="Q44" i="13"/>
  <c r="Q48" i="13"/>
  <c r="Q56" i="13"/>
  <c r="Q20" i="13"/>
  <c r="Q23" i="13"/>
  <c r="Q28" i="13"/>
  <c r="Q32" i="13"/>
  <c r="Q36" i="13"/>
  <c r="Q47" i="13"/>
  <c r="Q18" i="13"/>
  <c r="Q26" i="13"/>
  <c r="Q30" i="13"/>
  <c r="Q34" i="13"/>
  <c r="Q41" i="13"/>
  <c r="Q45" i="13"/>
  <c r="M21" i="13"/>
  <c r="M24" i="13"/>
  <c r="M29" i="13"/>
  <c r="M33" i="13"/>
  <c r="M39" i="13"/>
  <c r="M44" i="13"/>
  <c r="M48" i="13"/>
  <c r="M56" i="13"/>
  <c r="M20" i="13"/>
  <c r="M23" i="13"/>
  <c r="M28" i="13"/>
  <c r="M32" i="13"/>
  <c r="M36" i="13"/>
  <c r="M47" i="13"/>
  <c r="M18" i="13"/>
  <c r="M26" i="13"/>
  <c r="M30" i="13"/>
  <c r="M34" i="13"/>
  <c r="M41" i="13"/>
  <c r="M45" i="13"/>
  <c r="M49" i="13"/>
  <c r="I21" i="13"/>
  <c r="I24" i="13"/>
  <c r="I29" i="13"/>
  <c r="I33" i="13"/>
  <c r="I39" i="13"/>
  <c r="I44" i="13"/>
  <c r="I48" i="13"/>
  <c r="I56" i="13"/>
  <c r="I20" i="13"/>
  <c r="I23" i="13"/>
  <c r="I28" i="13"/>
  <c r="I32" i="13"/>
  <c r="I36" i="13"/>
  <c r="I47" i="13"/>
  <c r="I26" i="13"/>
  <c r="I30" i="13"/>
  <c r="I34" i="13"/>
  <c r="I41" i="13"/>
  <c r="I45" i="13"/>
  <c r="I49" i="13"/>
  <c r="N97" i="13"/>
  <c r="J97" i="13"/>
  <c r="P81" i="13"/>
  <c r="L81" i="13"/>
  <c r="H81" i="13"/>
  <c r="N74" i="13"/>
  <c r="J74" i="13"/>
  <c r="Q73" i="13"/>
  <c r="M73" i="13"/>
  <c r="I73" i="13"/>
  <c r="P62" i="13"/>
  <c r="L62" i="13"/>
  <c r="H62" i="13"/>
  <c r="O61" i="13"/>
  <c r="K61" i="13"/>
  <c r="G61" i="13"/>
  <c r="N60" i="13"/>
  <c r="J60" i="13"/>
  <c r="Q66" i="13"/>
  <c r="M66" i="13"/>
  <c r="I66" i="13"/>
  <c r="P65" i="13"/>
  <c r="L65" i="13"/>
  <c r="H65" i="13"/>
  <c r="O64" i="13"/>
  <c r="K64" i="13"/>
  <c r="G64" i="13"/>
  <c r="N59" i="13"/>
  <c r="Q58" i="13"/>
  <c r="M58" i="13"/>
  <c r="I58" i="13"/>
  <c r="O56" i="13"/>
  <c r="J56" i="13"/>
  <c r="O51" i="13"/>
  <c r="J51" i="13"/>
  <c r="P50" i="13"/>
  <c r="J50" i="13"/>
  <c r="P49" i="13"/>
  <c r="K48" i="13"/>
  <c r="Q46" i="13"/>
  <c r="L45" i="13"/>
  <c r="G44" i="13"/>
  <c r="M42" i="13"/>
  <c r="H41" i="13"/>
  <c r="N36" i="13"/>
  <c r="I35" i="13"/>
  <c r="J32" i="13"/>
  <c r="K29" i="13"/>
  <c r="Q27" i="13"/>
  <c r="G24" i="13"/>
  <c r="M22" i="13"/>
  <c r="M19" i="13"/>
  <c r="O19" i="13"/>
  <c r="O22" i="13"/>
  <c r="O27" i="13"/>
  <c r="O31" i="13"/>
  <c r="O35" i="13"/>
  <c r="O42" i="13"/>
  <c r="O46" i="13"/>
  <c r="O50" i="13"/>
  <c r="O18" i="13"/>
  <c r="O26" i="13"/>
  <c r="O30" i="13"/>
  <c r="O34" i="13"/>
  <c r="O41" i="13"/>
  <c r="O45" i="13"/>
  <c r="O49" i="13"/>
  <c r="O20" i="13"/>
  <c r="O23" i="13"/>
  <c r="O28" i="13"/>
  <c r="O32" i="13"/>
  <c r="O36" i="13"/>
  <c r="O47" i="13"/>
  <c r="O73" i="13"/>
  <c r="O58" i="13"/>
  <c r="K58" i="13"/>
  <c r="P20" i="13"/>
  <c r="P23" i="13"/>
  <c r="P28" i="13"/>
  <c r="P32" i="13"/>
  <c r="P36" i="13"/>
  <c r="P47" i="13"/>
  <c r="P51" i="13"/>
  <c r="P19" i="13"/>
  <c r="P22" i="13"/>
  <c r="P27" i="13"/>
  <c r="P31" i="13"/>
  <c r="P35" i="13"/>
  <c r="P42" i="13"/>
  <c r="P46" i="13"/>
  <c r="P21" i="13"/>
  <c r="P24" i="13"/>
  <c r="P29" i="13"/>
  <c r="P33" i="13"/>
  <c r="P39" i="13"/>
  <c r="P44" i="13"/>
  <c r="P48" i="13"/>
  <c r="L20" i="13"/>
  <c r="L23" i="13"/>
  <c r="L28" i="13"/>
  <c r="L32" i="13"/>
  <c r="L36" i="13"/>
  <c r="L47" i="13"/>
  <c r="L51" i="13"/>
  <c r="L19" i="13"/>
  <c r="L22" i="13"/>
  <c r="L27" i="13"/>
  <c r="L31" i="13"/>
  <c r="L35" i="13"/>
  <c r="L42" i="13"/>
  <c r="L46" i="13"/>
  <c r="L21" i="13"/>
  <c r="L24" i="13"/>
  <c r="L29" i="13"/>
  <c r="L33" i="13"/>
  <c r="L39" i="13"/>
  <c r="L44" i="13"/>
  <c r="L48" i="13"/>
  <c r="H22" i="13"/>
  <c r="H20" i="13"/>
  <c r="H23" i="13"/>
  <c r="H28" i="13"/>
  <c r="H32" i="13"/>
  <c r="H36" i="13"/>
  <c r="H47" i="13"/>
  <c r="H51" i="13"/>
  <c r="H19" i="13"/>
  <c r="H27" i="13"/>
  <c r="H31" i="13"/>
  <c r="H35" i="13"/>
  <c r="H42" i="13"/>
  <c r="H46" i="13"/>
  <c r="H21" i="13"/>
  <c r="H24" i="13"/>
  <c r="H29" i="13"/>
  <c r="H33" i="13"/>
  <c r="H39" i="13"/>
  <c r="H48" i="13"/>
  <c r="Q97" i="13"/>
  <c r="M97" i="13"/>
  <c r="I97" i="13"/>
  <c r="O81" i="13"/>
  <c r="K81" i="13"/>
  <c r="G81" i="13"/>
  <c r="J79" i="13"/>
  <c r="Q74" i="13"/>
  <c r="M74" i="13"/>
  <c r="I74" i="13"/>
  <c r="P73" i="13"/>
  <c r="L73" i="13"/>
  <c r="H73" i="13"/>
  <c r="O62" i="13"/>
  <c r="K62" i="13"/>
  <c r="G62" i="13"/>
  <c r="N61" i="13"/>
  <c r="J61" i="13"/>
  <c r="Q60" i="13"/>
  <c r="M60" i="13"/>
  <c r="I60" i="13"/>
  <c r="P66" i="13"/>
  <c r="L66" i="13"/>
  <c r="H66" i="13"/>
  <c r="O65" i="13"/>
  <c r="K65" i="13"/>
  <c r="G65" i="13"/>
  <c r="N64" i="13"/>
  <c r="J64" i="13"/>
  <c r="Q59" i="13"/>
  <c r="M59" i="13"/>
  <c r="I59" i="13"/>
  <c r="P58" i="13"/>
  <c r="L58" i="13"/>
  <c r="H58" i="13"/>
  <c r="N56" i="13"/>
  <c r="H56" i="13"/>
  <c r="N51" i="13"/>
  <c r="N50" i="13"/>
  <c r="L49" i="13"/>
  <c r="G48" i="13"/>
  <c r="M46" i="13"/>
  <c r="H45" i="13"/>
  <c r="I42" i="13"/>
  <c r="O39" i="13"/>
  <c r="J36" i="13"/>
  <c r="P34" i="13"/>
  <c r="K33" i="13"/>
  <c r="Q31" i="13"/>
  <c r="L30" i="13"/>
  <c r="G29" i="13"/>
  <c r="M27" i="13"/>
  <c r="N23" i="13"/>
  <c r="I22" i="13"/>
  <c r="N20" i="13"/>
  <c r="I19" i="13"/>
  <c r="E248" i="13"/>
  <c r="E261" i="13"/>
  <c r="E236" i="13"/>
  <c r="E237" i="13"/>
  <c r="E249" i="13"/>
  <c r="E260" i="13"/>
  <c r="E75" i="13" l="1"/>
  <c r="E94" i="13"/>
  <c r="E77" i="13"/>
  <c r="E52" i="13"/>
  <c r="E55" i="13"/>
  <c r="E89" i="13"/>
  <c r="E324" i="2" s="1"/>
  <c r="D711" i="2"/>
  <c r="E40" i="13"/>
  <c r="E83" i="13"/>
  <c r="E517" i="2" s="1"/>
  <c r="E90" i="13"/>
  <c r="E57" i="13"/>
  <c r="E91" i="13"/>
  <c r="E87" i="13"/>
  <c r="E85" i="13"/>
  <c r="E92" i="13"/>
  <c r="E53" i="13"/>
  <c r="E54" i="13"/>
  <c r="E79" i="13"/>
  <c r="E81" i="13"/>
  <c r="E789" i="2" s="1"/>
  <c r="E82" i="13"/>
  <c r="E106" i="13"/>
  <c r="E122" i="13"/>
  <c r="E118" i="13"/>
  <c r="E112" i="13"/>
  <c r="E109" i="13"/>
  <c r="E114" i="13"/>
  <c r="E110" i="13"/>
  <c r="E80" i="13"/>
  <c r="E37" i="13"/>
  <c r="E117" i="13"/>
  <c r="E124" i="13"/>
  <c r="E108" i="13"/>
  <c r="E111" i="13"/>
  <c r="E120" i="13"/>
  <c r="E116" i="13"/>
  <c r="E125" i="13"/>
  <c r="E121" i="13"/>
  <c r="E123" i="13"/>
  <c r="E113" i="13"/>
  <c r="E115" i="13"/>
  <c r="E119" i="13"/>
  <c r="E107" i="13"/>
  <c r="E29" i="13"/>
  <c r="E96" i="13"/>
  <c r="E71" i="13"/>
  <c r="E60" i="13"/>
  <c r="E62" i="13"/>
  <c r="E41" i="13"/>
  <c r="E19" i="13"/>
  <c r="E56" i="13"/>
  <c r="E69" i="13"/>
  <c r="E47" i="13"/>
  <c r="E48" i="13"/>
  <c r="E70" i="13"/>
  <c r="G506" i="2" s="1"/>
  <c r="E67" i="13"/>
  <c r="E23" i="13"/>
  <c r="E24" i="13"/>
  <c r="E44" i="13"/>
  <c r="E28" i="13"/>
  <c r="E68" i="13"/>
  <c r="G499" i="2" s="1"/>
  <c r="E59" i="13"/>
  <c r="E20" i="13"/>
  <c r="E18" i="13"/>
  <c r="E73" i="13"/>
  <c r="E39" i="13"/>
  <c r="E22" i="13"/>
  <c r="E42" i="13"/>
  <c r="E34" i="13"/>
  <c r="E65" i="13"/>
  <c r="G490" i="2" s="1"/>
  <c r="E61" i="13"/>
  <c r="E32" i="13"/>
  <c r="E49" i="13"/>
  <c r="E30" i="13"/>
  <c r="E50" i="13"/>
  <c r="E31" i="13"/>
  <c r="E51" i="13"/>
  <c r="E97" i="13"/>
  <c r="E21" i="13"/>
  <c r="E36" i="13"/>
  <c r="E35" i="13"/>
  <c r="E64" i="13"/>
  <c r="E74" i="13"/>
  <c r="E45" i="13"/>
  <c r="E26" i="13"/>
  <c r="E46" i="13"/>
  <c r="E27" i="13"/>
  <c r="E58" i="13"/>
  <c r="G444" i="2" s="1"/>
  <c r="E66" i="13"/>
  <c r="E33" i="13"/>
  <c r="E793" i="2" l="1"/>
  <c r="E233" i="2"/>
  <c r="E617" i="2"/>
  <c r="E473" i="2"/>
  <c r="E425" i="2"/>
  <c r="E285" i="2"/>
  <c r="E621" i="2"/>
  <c r="E397" i="2"/>
  <c r="D765" i="2"/>
  <c r="E393" i="2"/>
  <c r="E395" i="2" s="1"/>
  <c r="E790" i="2"/>
  <c r="E394" i="2"/>
  <c r="E607" i="2"/>
  <c r="E791" i="2"/>
  <c r="E423" i="2"/>
  <c r="E622" i="2"/>
  <c r="B334" i="2"/>
  <c r="B335" i="2" s="1"/>
  <c r="E600" i="2"/>
  <c r="E786" i="2"/>
  <c r="E787" i="2" s="1"/>
  <c r="B358" i="2"/>
  <c r="B359" i="2" s="1"/>
  <c r="D357" i="2"/>
  <c r="D333" i="2"/>
  <c r="E470" i="2"/>
  <c r="E420" i="2"/>
  <c r="E528" i="2"/>
  <c r="E251" i="2"/>
  <c r="E526" i="2"/>
  <c r="E788" i="2"/>
  <c r="E469" i="2"/>
  <c r="E471" i="2" s="1"/>
  <c r="E249" i="2"/>
  <c r="E419" i="2"/>
  <c r="E421" i="2" s="1"/>
  <c r="E527" i="2"/>
  <c r="E524" i="2"/>
  <c r="E282" i="2"/>
  <c r="E283" i="2" s="1"/>
  <c r="E274" i="2"/>
  <c r="E275" i="2" s="1"/>
  <c r="D146" i="13"/>
  <c r="E149" i="13"/>
  <c r="E153" i="13"/>
  <c r="E157" i="13"/>
  <c r="E160" i="13"/>
  <c r="D150" i="13"/>
  <c r="D154" i="13"/>
  <c r="D158" i="13"/>
  <c r="D160" i="13"/>
  <c r="E150" i="13"/>
  <c r="E154" i="13"/>
  <c r="E158" i="13"/>
  <c r="E147" i="13"/>
  <c r="D151" i="13"/>
  <c r="D155" i="13"/>
  <c r="D159" i="13"/>
  <c r="D147" i="13"/>
  <c r="E151" i="13"/>
  <c r="E155" i="13"/>
  <c r="D152" i="13"/>
  <c r="E148" i="13"/>
  <c r="E156" i="13"/>
  <c r="D153" i="13"/>
  <c r="E159" i="13"/>
  <c r="D148" i="13"/>
  <c r="D156" i="13"/>
  <c r="E152" i="13"/>
  <c r="D149" i="13"/>
  <c r="D157" i="13"/>
  <c r="E134" i="13"/>
  <c r="E138" i="13"/>
  <c r="D133" i="13"/>
  <c r="D135" i="13"/>
  <c r="D139" i="13"/>
  <c r="E135" i="13"/>
  <c r="E139" i="13"/>
  <c r="D136" i="13"/>
  <c r="D140" i="13"/>
  <c r="E136" i="13"/>
  <c r="E140" i="13"/>
  <c r="E142" i="13"/>
  <c r="D141" i="13"/>
  <c r="E137" i="13"/>
  <c r="E141" i="13"/>
  <c r="D134" i="13"/>
  <c r="D137" i="13"/>
  <c r="D142" i="13"/>
  <c r="D138" i="13"/>
  <c r="E133" i="13"/>
  <c r="D166" i="13"/>
  <c r="D170" i="13"/>
  <c r="D174" i="13"/>
  <c r="D178" i="13"/>
  <c r="D165" i="13"/>
  <c r="E170" i="13"/>
  <c r="E174" i="13"/>
  <c r="E178" i="13"/>
  <c r="D167" i="13"/>
  <c r="D171" i="13"/>
  <c r="D175" i="13"/>
  <c r="D179" i="13"/>
  <c r="E171" i="13"/>
  <c r="E175" i="13"/>
  <c r="E179" i="13"/>
  <c r="D168" i="13"/>
  <c r="D172" i="13"/>
  <c r="D176" i="13"/>
  <c r="D180" i="13"/>
  <c r="E176" i="13"/>
  <c r="E180" i="13"/>
  <c r="D169" i="13"/>
  <c r="D177" i="13"/>
  <c r="D181" i="13"/>
  <c r="E177" i="13"/>
  <c r="E166" i="13"/>
  <c r="E167" i="13"/>
  <c r="E172" i="13"/>
  <c r="D173" i="13"/>
  <c r="E181" i="13"/>
  <c r="E169" i="13"/>
  <c r="E173" i="13"/>
  <c r="E165" i="13"/>
  <c r="E168" i="13"/>
  <c r="H1152" i="2"/>
  <c r="G146" i="2" l="1"/>
  <c r="G158" i="2"/>
  <c r="G157" i="2"/>
  <c r="G156" i="2"/>
  <c r="G151" i="2"/>
  <c r="G153" i="2"/>
  <c r="G152" i="2"/>
  <c r="G149" i="2"/>
  <c r="G148" i="2"/>
  <c r="G155" i="2"/>
  <c r="G154" i="2"/>
  <c r="G147" i="2"/>
  <c r="G150" i="2"/>
  <c r="G175" i="2"/>
  <c r="G172" i="2"/>
  <c r="G174" i="2"/>
  <c r="G173" i="2"/>
  <c r="G167" i="2"/>
  <c r="G166" i="2"/>
  <c r="G145" i="2"/>
  <c r="G179" i="2"/>
  <c r="G178" i="2"/>
  <c r="G177" i="2"/>
  <c r="G170" i="2"/>
  <c r="G169" i="2"/>
  <c r="G176" i="2"/>
  <c r="G168" i="2"/>
  <c r="G171" i="2"/>
  <c r="H899" i="2"/>
  <c r="P899" i="2"/>
  <c r="X899" i="2"/>
  <c r="AF899" i="2"/>
  <c r="AN899" i="2"/>
  <c r="AV899" i="2"/>
  <c r="BD899" i="2"/>
  <c r="I899" i="2"/>
  <c r="Q899" i="2"/>
  <c r="Y899" i="2"/>
  <c r="AG899" i="2"/>
  <c r="AO899" i="2"/>
  <c r="AW899" i="2"/>
  <c r="N899" i="2"/>
  <c r="BB899" i="2"/>
  <c r="W899" i="2"/>
  <c r="AU899" i="2"/>
  <c r="J899" i="2"/>
  <c r="R899" i="2"/>
  <c r="Z899" i="2"/>
  <c r="AH899" i="2"/>
  <c r="AP899" i="2"/>
  <c r="AX899" i="2"/>
  <c r="L899" i="2"/>
  <c r="AB899" i="2"/>
  <c r="AR899" i="2"/>
  <c r="M899" i="2"/>
  <c r="AC899" i="2"/>
  <c r="AS899" i="2"/>
  <c r="AD899" i="2"/>
  <c r="AT899" i="2"/>
  <c r="O899" i="2"/>
  <c r="AE899" i="2"/>
  <c r="AM899" i="2"/>
  <c r="BC899" i="2"/>
  <c r="K899" i="2"/>
  <c r="S899" i="2"/>
  <c r="AA899" i="2"/>
  <c r="AI899" i="2"/>
  <c r="AQ899" i="2"/>
  <c r="AY899" i="2"/>
  <c r="T899" i="2"/>
  <c r="AJ899" i="2"/>
  <c r="AZ899" i="2"/>
  <c r="U899" i="2"/>
  <c r="AK899" i="2"/>
  <c r="BA899" i="2"/>
  <c r="G899" i="2"/>
  <c r="V899" i="2"/>
  <c r="AL899" i="2"/>
  <c r="B360" i="2"/>
  <c r="B361" i="2" s="1"/>
  <c r="BD897" i="2"/>
  <c r="AV897" i="2"/>
  <c r="AN897" i="2"/>
  <c r="AF897" i="2"/>
  <c r="X897" i="2"/>
  <c r="P897" i="2"/>
  <c r="H897" i="2"/>
  <c r="AJ897" i="2"/>
  <c r="T897" i="2"/>
  <c r="AP897" i="2"/>
  <c r="Z897" i="2"/>
  <c r="J897" i="2"/>
  <c r="I897" i="2"/>
  <c r="BC897" i="2"/>
  <c r="AU897" i="2"/>
  <c r="AM897" i="2"/>
  <c r="AE897" i="2"/>
  <c r="W897" i="2"/>
  <c r="O897" i="2"/>
  <c r="G897" i="2"/>
  <c r="BA897" i="2"/>
  <c r="AS897" i="2"/>
  <c r="AK897" i="2"/>
  <c r="AC897" i="2"/>
  <c r="U897" i="2"/>
  <c r="M897" i="2"/>
  <c r="BB897" i="2"/>
  <c r="AT897" i="2"/>
  <c r="AL897" i="2"/>
  <c r="AD897" i="2"/>
  <c r="V897" i="2"/>
  <c r="N897" i="2"/>
  <c r="AR897" i="2"/>
  <c r="AB897" i="2"/>
  <c r="L897" i="2"/>
  <c r="AY897" i="2"/>
  <c r="AQ897" i="2"/>
  <c r="AI897" i="2"/>
  <c r="AA897" i="2"/>
  <c r="S897" i="2"/>
  <c r="AW897" i="2"/>
  <c r="AG897" i="2"/>
  <c r="Q897" i="2"/>
  <c r="AZ897" i="2"/>
  <c r="K897" i="2"/>
  <c r="AX897" i="2"/>
  <c r="AH897" i="2"/>
  <c r="R897" i="2"/>
  <c r="AO897" i="2"/>
  <c r="Y897" i="2"/>
  <c r="E250" i="2"/>
  <c r="E525" i="2"/>
  <c r="C899" i="2" l="1"/>
  <c r="B362" i="2"/>
  <c r="B336" i="2"/>
  <c r="F1261" i="2" a="1"/>
  <c r="F1270" i="2" s="1"/>
  <c r="G1248" i="2"/>
  <c r="F1209" i="2"/>
  <c r="F1210" i="2" s="1"/>
  <c r="F1211" i="2" s="1"/>
  <c r="F1212" i="2" s="1"/>
  <c r="F1213" i="2" s="1"/>
  <c r="F1214" i="2" s="1"/>
  <c r="F1215" i="2" s="1"/>
  <c r="F1216" i="2" s="1"/>
  <c r="F1217" i="2" s="1"/>
  <c r="F1218" i="2" s="1"/>
  <c r="D1208" i="2" a="1"/>
  <c r="D1216" i="2" s="1"/>
  <c r="F1195" i="2"/>
  <c r="F1196" i="2" s="1"/>
  <c r="F1197" i="2" s="1"/>
  <c r="F1198" i="2" s="1"/>
  <c r="F1199" i="2" s="1"/>
  <c r="F1200" i="2" s="1"/>
  <c r="F1201" i="2" s="1"/>
  <c r="F1202" i="2" s="1"/>
  <c r="F1203" i="2" s="1"/>
  <c r="F1204" i="2" s="1"/>
  <c r="D1194" i="2" a="1"/>
  <c r="D1203" i="2" s="1"/>
  <c r="D1023" i="2"/>
  <c r="Q1022" i="2"/>
  <c r="P1022" i="2"/>
  <c r="O1022" i="2"/>
  <c r="N1022" i="2"/>
  <c r="M1022" i="2"/>
  <c r="L1022" i="2"/>
  <c r="K1022" i="2"/>
  <c r="J1022" i="2"/>
  <c r="I1022" i="2"/>
  <c r="H1022" i="2"/>
  <c r="G1022" i="2"/>
  <c r="Q1021" i="2"/>
  <c r="P1021" i="2"/>
  <c r="O1021" i="2"/>
  <c r="N1021" i="2"/>
  <c r="M1021" i="2"/>
  <c r="L1021" i="2"/>
  <c r="K1021" i="2"/>
  <c r="J1021" i="2"/>
  <c r="I1021" i="2"/>
  <c r="H1021" i="2"/>
  <c r="G1021" i="2"/>
  <c r="I1162" i="2"/>
  <c r="H1162" i="2"/>
  <c r="E1162" i="2"/>
  <c r="I1161" i="2"/>
  <c r="H1161" i="2"/>
  <c r="E1161" i="2"/>
  <c r="I1160" i="2"/>
  <c r="H1160" i="2"/>
  <c r="E1160" i="2"/>
  <c r="I1159" i="2"/>
  <c r="H1159" i="2"/>
  <c r="E1159" i="2"/>
  <c r="I1158" i="2"/>
  <c r="H1158" i="2"/>
  <c r="E1158" i="2"/>
  <c r="I1157" i="2"/>
  <c r="H1157" i="2"/>
  <c r="E1157" i="2"/>
  <c r="I1156" i="2"/>
  <c r="H1156" i="2"/>
  <c r="E1156" i="2"/>
  <c r="I1155" i="2"/>
  <c r="H1155" i="2"/>
  <c r="E1155" i="2"/>
  <c r="I1154" i="2"/>
  <c r="H1154" i="2"/>
  <c r="E1154" i="2"/>
  <c r="I1153" i="2"/>
  <c r="H1153" i="2"/>
  <c r="E1153" i="2"/>
  <c r="I1152" i="2"/>
  <c r="E1152" i="2"/>
  <c r="AI1147" i="2"/>
  <c r="AH1147" i="2"/>
  <c r="AG1147" i="2"/>
  <c r="AF1147" i="2"/>
  <c r="AE1147" i="2"/>
  <c r="AD1147" i="2"/>
  <c r="AC1147" i="2"/>
  <c r="AB1147" i="2"/>
  <c r="AA1147" i="2"/>
  <c r="Z1147" i="2"/>
  <c r="Y1147" i="2"/>
  <c r="X1147" i="2"/>
  <c r="W1147" i="2"/>
  <c r="V1147" i="2"/>
  <c r="U1147" i="2"/>
  <c r="T1147" i="2"/>
  <c r="S1147" i="2"/>
  <c r="R1147" i="2"/>
  <c r="Q1147" i="2"/>
  <c r="P1147" i="2"/>
  <c r="O1147" i="2"/>
  <c r="N1147" i="2"/>
  <c r="M1147" i="2"/>
  <c r="L1147" i="2"/>
  <c r="K1147" i="2"/>
  <c r="J1147" i="2"/>
  <c r="I1147" i="2"/>
  <c r="H1147" i="2"/>
  <c r="G1147" i="2"/>
  <c r="AI1146" i="2"/>
  <c r="AH1146" i="2"/>
  <c r="AG1146" i="2"/>
  <c r="AF1146" i="2"/>
  <c r="AE1146" i="2"/>
  <c r="AD1146" i="2"/>
  <c r="AC1146" i="2"/>
  <c r="AB1146" i="2"/>
  <c r="AA1146" i="2"/>
  <c r="Z1146" i="2"/>
  <c r="Y1146" i="2"/>
  <c r="X1146" i="2"/>
  <c r="W1146" i="2"/>
  <c r="V1146" i="2"/>
  <c r="U1146" i="2"/>
  <c r="T1146" i="2"/>
  <c r="S1146" i="2"/>
  <c r="R1146" i="2"/>
  <c r="Q1146" i="2"/>
  <c r="P1146" i="2"/>
  <c r="O1146" i="2"/>
  <c r="N1146" i="2"/>
  <c r="M1146" i="2"/>
  <c r="L1146" i="2"/>
  <c r="K1146" i="2"/>
  <c r="J1146" i="2"/>
  <c r="I1146" i="2"/>
  <c r="H1146" i="2"/>
  <c r="G1146" i="2"/>
  <c r="AI1145" i="2"/>
  <c r="AH1145" i="2"/>
  <c r="AG1145" i="2"/>
  <c r="AF1145" i="2"/>
  <c r="AE1145" i="2"/>
  <c r="AD1145" i="2"/>
  <c r="AC1145" i="2"/>
  <c r="AB1145" i="2"/>
  <c r="AA1145" i="2"/>
  <c r="Z1145" i="2"/>
  <c r="Y1145" i="2"/>
  <c r="X1145" i="2"/>
  <c r="W1145" i="2"/>
  <c r="V1145" i="2"/>
  <c r="U1145" i="2"/>
  <c r="T1145" i="2"/>
  <c r="S1145" i="2"/>
  <c r="R1145" i="2"/>
  <c r="Q1145" i="2"/>
  <c r="P1145" i="2"/>
  <c r="O1145" i="2"/>
  <c r="N1145" i="2"/>
  <c r="M1145" i="2"/>
  <c r="L1145" i="2"/>
  <c r="K1145" i="2"/>
  <c r="J1145" i="2"/>
  <c r="I1145" i="2"/>
  <c r="H1145" i="2"/>
  <c r="G1145" i="2"/>
  <c r="AI1144" i="2"/>
  <c r="AH1144" i="2"/>
  <c r="AG1144" i="2"/>
  <c r="AF1144" i="2"/>
  <c r="AE1144" i="2"/>
  <c r="AD1144" i="2"/>
  <c r="AC1144" i="2"/>
  <c r="AB1144" i="2"/>
  <c r="AA1144" i="2"/>
  <c r="Z1144" i="2"/>
  <c r="Y1144" i="2"/>
  <c r="X1144" i="2"/>
  <c r="W1144" i="2"/>
  <c r="V1144" i="2"/>
  <c r="U1144" i="2"/>
  <c r="T1144" i="2"/>
  <c r="S1144" i="2"/>
  <c r="R1144" i="2"/>
  <c r="Q1144" i="2"/>
  <c r="P1144" i="2"/>
  <c r="O1144" i="2"/>
  <c r="N1144" i="2"/>
  <c r="M1144" i="2"/>
  <c r="L1144" i="2"/>
  <c r="K1144" i="2"/>
  <c r="J1144" i="2"/>
  <c r="I1144" i="2"/>
  <c r="H1144" i="2"/>
  <c r="G1144" i="2"/>
  <c r="AI1143" i="2"/>
  <c r="AH1143" i="2"/>
  <c r="AG1143" i="2"/>
  <c r="AF1143" i="2"/>
  <c r="AE1143" i="2"/>
  <c r="AD1143" i="2"/>
  <c r="AC1143" i="2"/>
  <c r="AB1143" i="2"/>
  <c r="AA1143" i="2"/>
  <c r="Z1143" i="2"/>
  <c r="Y1143" i="2"/>
  <c r="X1143" i="2"/>
  <c r="W1143" i="2"/>
  <c r="V1143" i="2"/>
  <c r="U1143" i="2"/>
  <c r="T1143" i="2"/>
  <c r="S1143" i="2"/>
  <c r="R1143" i="2"/>
  <c r="Q1143" i="2"/>
  <c r="P1143" i="2"/>
  <c r="O1143" i="2"/>
  <c r="N1143" i="2"/>
  <c r="M1143" i="2"/>
  <c r="L1143" i="2"/>
  <c r="K1143" i="2"/>
  <c r="J1143" i="2"/>
  <c r="I1143" i="2"/>
  <c r="H1143" i="2"/>
  <c r="G1143" i="2"/>
  <c r="AI1142" i="2"/>
  <c r="AH1142" i="2"/>
  <c r="AG1142" i="2"/>
  <c r="AF1142" i="2"/>
  <c r="AE1142" i="2"/>
  <c r="AD1142" i="2"/>
  <c r="AC1142" i="2"/>
  <c r="AB1142" i="2"/>
  <c r="AA1142" i="2"/>
  <c r="Z1142" i="2"/>
  <c r="Y1142" i="2"/>
  <c r="X1142" i="2"/>
  <c r="W1142" i="2"/>
  <c r="V1142" i="2"/>
  <c r="U1142" i="2"/>
  <c r="T1142" i="2"/>
  <c r="S1142" i="2"/>
  <c r="R1142" i="2"/>
  <c r="Q1142" i="2"/>
  <c r="P1142" i="2"/>
  <c r="O1142" i="2"/>
  <c r="N1142" i="2"/>
  <c r="M1142" i="2"/>
  <c r="L1142" i="2"/>
  <c r="K1142" i="2"/>
  <c r="J1142" i="2"/>
  <c r="I1142" i="2"/>
  <c r="H1142" i="2"/>
  <c r="G1142" i="2"/>
  <c r="AI1141" i="2"/>
  <c r="AH1141" i="2"/>
  <c r="AG1141" i="2"/>
  <c r="AF1141" i="2"/>
  <c r="AE1141" i="2"/>
  <c r="AD1141" i="2"/>
  <c r="AC1141" i="2"/>
  <c r="AB1141" i="2"/>
  <c r="AA1141" i="2"/>
  <c r="Z1141" i="2"/>
  <c r="Y1141" i="2"/>
  <c r="X1141" i="2"/>
  <c r="W1141" i="2"/>
  <c r="V1141" i="2"/>
  <c r="U1141" i="2"/>
  <c r="T1141" i="2"/>
  <c r="S1141" i="2"/>
  <c r="R1141" i="2"/>
  <c r="Q1141" i="2"/>
  <c r="P1141" i="2"/>
  <c r="O1141" i="2"/>
  <c r="N1141" i="2"/>
  <c r="M1141" i="2"/>
  <c r="L1141" i="2"/>
  <c r="K1141" i="2"/>
  <c r="J1141" i="2"/>
  <c r="I1141" i="2"/>
  <c r="H1141" i="2"/>
  <c r="G1141" i="2"/>
  <c r="AI1140" i="2"/>
  <c r="AH1140" i="2"/>
  <c r="AG1140" i="2"/>
  <c r="AF1140" i="2"/>
  <c r="AE1140" i="2"/>
  <c r="AD1140" i="2"/>
  <c r="AC1140" i="2"/>
  <c r="AB1140" i="2"/>
  <c r="AA1140" i="2"/>
  <c r="Z1140" i="2"/>
  <c r="Y1140" i="2"/>
  <c r="X1140" i="2"/>
  <c r="W1140" i="2"/>
  <c r="V1140" i="2"/>
  <c r="U1140" i="2"/>
  <c r="T1140" i="2"/>
  <c r="S1140" i="2"/>
  <c r="R1140" i="2"/>
  <c r="Q1140" i="2"/>
  <c r="P1140" i="2"/>
  <c r="O1140" i="2"/>
  <c r="N1140" i="2"/>
  <c r="M1140" i="2"/>
  <c r="L1140" i="2"/>
  <c r="K1140" i="2"/>
  <c r="J1140" i="2"/>
  <c r="I1140" i="2"/>
  <c r="H1140" i="2"/>
  <c r="G1140" i="2"/>
  <c r="AI1139" i="2"/>
  <c r="AH1139" i="2"/>
  <c r="AG1139" i="2"/>
  <c r="AF1139" i="2"/>
  <c r="AE1139" i="2"/>
  <c r="AD1139" i="2"/>
  <c r="AC1139" i="2"/>
  <c r="AB1139" i="2"/>
  <c r="AA1139" i="2"/>
  <c r="Z1139" i="2"/>
  <c r="Y1139" i="2"/>
  <c r="X1139" i="2"/>
  <c r="W1139" i="2"/>
  <c r="V1139" i="2"/>
  <c r="U1139" i="2"/>
  <c r="T1139" i="2"/>
  <c r="S1139" i="2"/>
  <c r="R1139" i="2"/>
  <c r="Q1139" i="2"/>
  <c r="P1139" i="2"/>
  <c r="O1139" i="2"/>
  <c r="N1139" i="2"/>
  <c r="M1139" i="2"/>
  <c r="L1139" i="2"/>
  <c r="K1139" i="2"/>
  <c r="J1139" i="2"/>
  <c r="I1139" i="2"/>
  <c r="H1139" i="2"/>
  <c r="G1139" i="2"/>
  <c r="AI1138" i="2"/>
  <c r="AH1138" i="2"/>
  <c r="AG1138" i="2"/>
  <c r="AF1138" i="2"/>
  <c r="AE1138" i="2"/>
  <c r="AD1138" i="2"/>
  <c r="AC1138" i="2"/>
  <c r="AB1138" i="2"/>
  <c r="AA1138" i="2"/>
  <c r="Z1138" i="2"/>
  <c r="Y1138" i="2"/>
  <c r="X1138" i="2"/>
  <c r="W1138" i="2"/>
  <c r="V1138" i="2"/>
  <c r="U1138" i="2"/>
  <c r="T1138" i="2"/>
  <c r="S1138" i="2"/>
  <c r="R1138" i="2"/>
  <c r="Q1138" i="2"/>
  <c r="P1138" i="2"/>
  <c r="O1138" i="2"/>
  <c r="N1138" i="2"/>
  <c r="M1138" i="2"/>
  <c r="L1138" i="2"/>
  <c r="K1138" i="2"/>
  <c r="J1138" i="2"/>
  <c r="I1138" i="2"/>
  <c r="H1138" i="2"/>
  <c r="G1138" i="2"/>
  <c r="AI1137" i="2"/>
  <c r="AH1137" i="2"/>
  <c r="AG1137" i="2"/>
  <c r="AF1137" i="2"/>
  <c r="AE1137" i="2"/>
  <c r="AD1137" i="2"/>
  <c r="AC1137" i="2"/>
  <c r="AB1137" i="2"/>
  <c r="AA1137" i="2"/>
  <c r="Z1137" i="2"/>
  <c r="Y1137" i="2"/>
  <c r="X1137" i="2"/>
  <c r="W1137" i="2"/>
  <c r="V1137" i="2"/>
  <c r="U1137" i="2"/>
  <c r="T1137" i="2"/>
  <c r="S1137" i="2"/>
  <c r="R1137" i="2"/>
  <c r="Q1137" i="2"/>
  <c r="P1137" i="2"/>
  <c r="O1137" i="2"/>
  <c r="N1137" i="2"/>
  <c r="M1137" i="2"/>
  <c r="L1137" i="2"/>
  <c r="K1137" i="2"/>
  <c r="J1137" i="2"/>
  <c r="I1137" i="2"/>
  <c r="H1137" i="2"/>
  <c r="G1137" i="2"/>
  <c r="D1137" i="2" a="1"/>
  <c r="D1144" i="2" s="1"/>
  <c r="F1124" i="2"/>
  <c r="F1125" i="2" s="1"/>
  <c r="F1126" i="2" s="1"/>
  <c r="F1127" i="2" s="1"/>
  <c r="F1128" i="2" s="1"/>
  <c r="F1129" i="2" s="1"/>
  <c r="F1130" i="2" s="1"/>
  <c r="F1131" i="2" s="1"/>
  <c r="F1132" i="2" s="1"/>
  <c r="F1133" i="2" s="1"/>
  <c r="D1123" i="2" a="1"/>
  <c r="D1131" i="2" s="1"/>
  <c r="R1117" i="2"/>
  <c r="P1117" i="2"/>
  <c r="F1172" i="2"/>
  <c r="F1173" i="2" s="1"/>
  <c r="F1167" i="2"/>
  <c r="F1168" i="2" s="1"/>
  <c r="F1169" i="2" s="1"/>
  <c r="D1166" i="2" a="1"/>
  <c r="D1174" i="2" s="1"/>
  <c r="D1015" i="2"/>
  <c r="Q1014" i="2"/>
  <c r="P1014" i="2"/>
  <c r="O1014" i="2"/>
  <c r="N1014" i="2"/>
  <c r="M1014" i="2"/>
  <c r="L1014" i="2"/>
  <c r="K1014" i="2"/>
  <c r="J1014" i="2"/>
  <c r="I1014" i="2"/>
  <c r="H1014" i="2"/>
  <c r="G1014" i="2"/>
  <c r="Q1013" i="2"/>
  <c r="P1013" i="2"/>
  <c r="O1013" i="2"/>
  <c r="N1013" i="2"/>
  <c r="M1013" i="2"/>
  <c r="L1013" i="2"/>
  <c r="K1013" i="2"/>
  <c r="J1013" i="2"/>
  <c r="I1013" i="2"/>
  <c r="H1013" i="2"/>
  <c r="G1013" i="2"/>
  <c r="Q1223" i="2"/>
  <c r="P1223" i="2"/>
  <c r="O1223" i="2"/>
  <c r="N1223" i="2"/>
  <c r="M1223" i="2"/>
  <c r="L1223" i="2"/>
  <c r="K1223" i="2"/>
  <c r="J1223" i="2"/>
  <c r="I1223" i="2"/>
  <c r="H1223" i="2"/>
  <c r="G1223" i="2"/>
  <c r="BD1096" i="2"/>
  <c r="BC1096" i="2"/>
  <c r="BB1096" i="2"/>
  <c r="BA1096" i="2"/>
  <c r="AZ1096" i="2"/>
  <c r="AY1096" i="2"/>
  <c r="AX1096" i="2"/>
  <c r="AW1096" i="2"/>
  <c r="AV1096" i="2"/>
  <c r="AU1096" i="2"/>
  <c r="AT1096" i="2"/>
  <c r="AS1096" i="2"/>
  <c r="AR1096" i="2"/>
  <c r="AQ1096" i="2"/>
  <c r="AP1096" i="2"/>
  <c r="AO1096" i="2"/>
  <c r="AN1096" i="2"/>
  <c r="AM1096" i="2"/>
  <c r="AL1096" i="2"/>
  <c r="AK1096" i="2"/>
  <c r="AJ1096" i="2"/>
  <c r="AI1096" i="2"/>
  <c r="AH1096" i="2"/>
  <c r="AG1096" i="2"/>
  <c r="AF1096" i="2"/>
  <c r="AE1096" i="2"/>
  <c r="AD1096" i="2"/>
  <c r="AC1096" i="2"/>
  <c r="AB1096" i="2"/>
  <c r="AA1096" i="2"/>
  <c r="Z1096" i="2"/>
  <c r="Y1096" i="2"/>
  <c r="X1096" i="2"/>
  <c r="W1096" i="2"/>
  <c r="V1096" i="2"/>
  <c r="U1096" i="2"/>
  <c r="T1096" i="2"/>
  <c r="S1096" i="2"/>
  <c r="R1096" i="2"/>
  <c r="Q1096" i="2"/>
  <c r="P1096" i="2"/>
  <c r="O1096" i="2"/>
  <c r="N1096" i="2"/>
  <c r="M1096" i="2"/>
  <c r="L1096" i="2"/>
  <c r="K1096" i="2"/>
  <c r="J1096" i="2"/>
  <c r="I1096" i="2"/>
  <c r="H1096" i="2"/>
  <c r="G1096" i="2"/>
  <c r="BD1095" i="2"/>
  <c r="BC1095" i="2"/>
  <c r="BB1095" i="2"/>
  <c r="BA1095" i="2"/>
  <c r="AZ1095" i="2"/>
  <c r="AY1095" i="2"/>
  <c r="AX1095" i="2"/>
  <c r="AW1095" i="2"/>
  <c r="AV1095" i="2"/>
  <c r="AU1095" i="2"/>
  <c r="AT1095" i="2"/>
  <c r="AS1095" i="2"/>
  <c r="AR1095" i="2"/>
  <c r="AQ1095" i="2"/>
  <c r="AP1095" i="2"/>
  <c r="AO1095" i="2"/>
  <c r="AN1095" i="2"/>
  <c r="AM1095" i="2"/>
  <c r="AL1095" i="2"/>
  <c r="AK1095" i="2"/>
  <c r="AJ1095" i="2"/>
  <c r="AI1095" i="2"/>
  <c r="AH1095" i="2"/>
  <c r="AG1095" i="2"/>
  <c r="AF1095" i="2"/>
  <c r="AE1095" i="2"/>
  <c r="AD1095" i="2"/>
  <c r="AC1095" i="2"/>
  <c r="AB1095" i="2"/>
  <c r="AA1095" i="2"/>
  <c r="Z1095" i="2"/>
  <c r="Y1095" i="2"/>
  <c r="X1095" i="2"/>
  <c r="W1095" i="2"/>
  <c r="V1095" i="2"/>
  <c r="U1095" i="2"/>
  <c r="T1095" i="2"/>
  <c r="S1095" i="2"/>
  <c r="R1095" i="2"/>
  <c r="Q1095" i="2"/>
  <c r="P1095" i="2"/>
  <c r="O1095" i="2"/>
  <c r="N1095" i="2"/>
  <c r="M1095" i="2"/>
  <c r="L1095" i="2"/>
  <c r="K1095" i="2"/>
  <c r="J1095" i="2"/>
  <c r="I1095" i="2"/>
  <c r="H1095" i="2"/>
  <c r="G1095" i="2"/>
  <c r="BD1094" i="2"/>
  <c r="BC1094" i="2"/>
  <c r="BB1094" i="2"/>
  <c r="BA1094" i="2"/>
  <c r="AZ1094" i="2"/>
  <c r="AY1094" i="2"/>
  <c r="AX1094" i="2"/>
  <c r="AW1094" i="2"/>
  <c r="AV1094" i="2"/>
  <c r="AU1094" i="2"/>
  <c r="AT1094" i="2"/>
  <c r="AS1094" i="2"/>
  <c r="AR1094" i="2"/>
  <c r="AQ1094" i="2"/>
  <c r="AP1094" i="2"/>
  <c r="AO1094" i="2"/>
  <c r="AN1094" i="2"/>
  <c r="AM1094" i="2"/>
  <c r="AL1094" i="2"/>
  <c r="AK1094" i="2"/>
  <c r="AJ1094" i="2"/>
  <c r="AI1094" i="2"/>
  <c r="AH1094" i="2"/>
  <c r="AG1094" i="2"/>
  <c r="AF1094" i="2"/>
  <c r="AE1094" i="2"/>
  <c r="AD1094" i="2"/>
  <c r="AC1094" i="2"/>
  <c r="AB1094" i="2"/>
  <c r="AA1094" i="2"/>
  <c r="Z1094" i="2"/>
  <c r="Y1094" i="2"/>
  <c r="X1094" i="2"/>
  <c r="W1094" i="2"/>
  <c r="V1094" i="2"/>
  <c r="U1094" i="2"/>
  <c r="T1094" i="2"/>
  <c r="S1094" i="2"/>
  <c r="R1094" i="2"/>
  <c r="Q1094" i="2"/>
  <c r="P1094" i="2"/>
  <c r="O1094" i="2"/>
  <c r="N1094" i="2"/>
  <c r="M1094" i="2"/>
  <c r="L1094" i="2"/>
  <c r="K1094" i="2"/>
  <c r="J1094" i="2"/>
  <c r="I1094" i="2"/>
  <c r="H1094" i="2"/>
  <c r="G1094" i="2"/>
  <c r="BD1093" i="2"/>
  <c r="BC1093" i="2"/>
  <c r="BB1093" i="2"/>
  <c r="BA1093" i="2"/>
  <c r="AZ1093" i="2"/>
  <c r="AY1093" i="2"/>
  <c r="AX1093" i="2"/>
  <c r="AW1093" i="2"/>
  <c r="AV1093" i="2"/>
  <c r="AU1093" i="2"/>
  <c r="AT1093" i="2"/>
  <c r="AS1093" i="2"/>
  <c r="AR1093" i="2"/>
  <c r="AQ1093" i="2"/>
  <c r="AP1093" i="2"/>
  <c r="AO1093" i="2"/>
  <c r="AN1093" i="2"/>
  <c r="AM1093" i="2"/>
  <c r="AL1093" i="2"/>
  <c r="AK1093" i="2"/>
  <c r="AJ1093" i="2"/>
  <c r="AI1093" i="2"/>
  <c r="AH1093" i="2"/>
  <c r="AG1093" i="2"/>
  <c r="AF1093" i="2"/>
  <c r="AE1093" i="2"/>
  <c r="AD1093" i="2"/>
  <c r="AC1093" i="2"/>
  <c r="AB1093" i="2"/>
  <c r="AA1093" i="2"/>
  <c r="Z1093" i="2"/>
  <c r="Y1093" i="2"/>
  <c r="X1093" i="2"/>
  <c r="W1093" i="2"/>
  <c r="V1093" i="2"/>
  <c r="U1093" i="2"/>
  <c r="T1093" i="2"/>
  <c r="S1093" i="2"/>
  <c r="R1093" i="2"/>
  <c r="Q1093" i="2"/>
  <c r="P1093" i="2"/>
  <c r="O1093" i="2"/>
  <c r="N1093" i="2"/>
  <c r="M1093" i="2"/>
  <c r="L1093" i="2"/>
  <c r="K1093" i="2"/>
  <c r="J1093" i="2"/>
  <c r="I1093" i="2"/>
  <c r="H1093" i="2"/>
  <c r="G1093" i="2"/>
  <c r="BD1092" i="2"/>
  <c r="BC1092" i="2"/>
  <c r="BB1092" i="2"/>
  <c r="BA1092" i="2"/>
  <c r="AZ1092" i="2"/>
  <c r="AY1092" i="2"/>
  <c r="AX1092" i="2"/>
  <c r="AW1092" i="2"/>
  <c r="AV1092" i="2"/>
  <c r="AU1092" i="2"/>
  <c r="AT1092" i="2"/>
  <c r="AS1092" i="2"/>
  <c r="AR1092" i="2"/>
  <c r="AQ1092" i="2"/>
  <c r="AP1092" i="2"/>
  <c r="AO1092" i="2"/>
  <c r="AN1092" i="2"/>
  <c r="AM1092" i="2"/>
  <c r="AL1092" i="2"/>
  <c r="AK1092" i="2"/>
  <c r="AJ1092" i="2"/>
  <c r="AI1092" i="2"/>
  <c r="AH1092" i="2"/>
  <c r="AG1092" i="2"/>
  <c r="AF1092" i="2"/>
  <c r="AE1092" i="2"/>
  <c r="AD1092" i="2"/>
  <c r="AC1092" i="2"/>
  <c r="AB1092" i="2"/>
  <c r="AA1092" i="2"/>
  <c r="Z1092" i="2"/>
  <c r="Y1092" i="2"/>
  <c r="X1092" i="2"/>
  <c r="W1092" i="2"/>
  <c r="V1092" i="2"/>
  <c r="U1092" i="2"/>
  <c r="T1092" i="2"/>
  <c r="S1092" i="2"/>
  <c r="R1092" i="2"/>
  <c r="Q1092" i="2"/>
  <c r="P1092" i="2"/>
  <c r="O1092" i="2"/>
  <c r="N1092" i="2"/>
  <c r="M1092" i="2"/>
  <c r="L1092" i="2"/>
  <c r="K1092" i="2"/>
  <c r="J1092" i="2"/>
  <c r="I1092" i="2"/>
  <c r="H1092" i="2"/>
  <c r="G1092" i="2"/>
  <c r="BD1091" i="2"/>
  <c r="BC1091" i="2"/>
  <c r="BB1091" i="2"/>
  <c r="BA1091" i="2"/>
  <c r="AZ1091" i="2"/>
  <c r="AY1091" i="2"/>
  <c r="AX1091" i="2"/>
  <c r="AW1091" i="2"/>
  <c r="AV1091" i="2"/>
  <c r="AU1091" i="2"/>
  <c r="AT1091" i="2"/>
  <c r="AS1091" i="2"/>
  <c r="AR1091" i="2"/>
  <c r="AQ1091" i="2"/>
  <c r="AP1091" i="2"/>
  <c r="AO1091" i="2"/>
  <c r="AN1091" i="2"/>
  <c r="AM1091" i="2"/>
  <c r="AL1091" i="2"/>
  <c r="AK1091" i="2"/>
  <c r="AJ1091" i="2"/>
  <c r="AI1091" i="2"/>
  <c r="AH1091" i="2"/>
  <c r="AG1091" i="2"/>
  <c r="AF1091" i="2"/>
  <c r="AE1091" i="2"/>
  <c r="AD1091" i="2"/>
  <c r="AC1091" i="2"/>
  <c r="AB1091" i="2"/>
  <c r="AA1091" i="2"/>
  <c r="Z1091" i="2"/>
  <c r="Y1091" i="2"/>
  <c r="X1091" i="2"/>
  <c r="W1091" i="2"/>
  <c r="V1091" i="2"/>
  <c r="U1091" i="2"/>
  <c r="T1091" i="2"/>
  <c r="S1091" i="2"/>
  <c r="R1091" i="2"/>
  <c r="Q1091" i="2"/>
  <c r="P1091" i="2"/>
  <c r="O1091" i="2"/>
  <c r="N1091" i="2"/>
  <c r="M1091" i="2"/>
  <c r="L1091" i="2"/>
  <c r="K1091" i="2"/>
  <c r="J1091" i="2"/>
  <c r="I1091" i="2"/>
  <c r="H1091" i="2"/>
  <c r="G1091" i="2"/>
  <c r="BD1090" i="2"/>
  <c r="BC1090" i="2"/>
  <c r="BB1090" i="2"/>
  <c r="BA1090" i="2"/>
  <c r="AZ1090" i="2"/>
  <c r="AY1090" i="2"/>
  <c r="AX1090" i="2"/>
  <c r="AW1090" i="2"/>
  <c r="AV1090" i="2"/>
  <c r="AU1090" i="2"/>
  <c r="AT1090" i="2"/>
  <c r="AS1090" i="2"/>
  <c r="AR1090" i="2"/>
  <c r="AQ1090" i="2"/>
  <c r="AP1090" i="2"/>
  <c r="AO1090" i="2"/>
  <c r="AN1090" i="2"/>
  <c r="AM1090" i="2"/>
  <c r="AL1090" i="2"/>
  <c r="AK1090" i="2"/>
  <c r="AJ1090" i="2"/>
  <c r="AI1090" i="2"/>
  <c r="AH1090" i="2"/>
  <c r="AG1090" i="2"/>
  <c r="AF1090" i="2"/>
  <c r="AE1090" i="2"/>
  <c r="AD1090" i="2"/>
  <c r="AC1090" i="2"/>
  <c r="AB1090" i="2"/>
  <c r="AA1090" i="2"/>
  <c r="Z1090" i="2"/>
  <c r="Y1090" i="2"/>
  <c r="X1090" i="2"/>
  <c r="W1090" i="2"/>
  <c r="V1090" i="2"/>
  <c r="U1090" i="2"/>
  <c r="T1090" i="2"/>
  <c r="S1090" i="2"/>
  <c r="R1090" i="2"/>
  <c r="Q1090" i="2"/>
  <c r="P1090" i="2"/>
  <c r="O1090" i="2"/>
  <c r="N1090" i="2"/>
  <c r="M1090" i="2"/>
  <c r="L1090" i="2"/>
  <c r="K1090" i="2"/>
  <c r="J1090" i="2"/>
  <c r="I1090" i="2"/>
  <c r="H1090" i="2"/>
  <c r="G1090" i="2"/>
  <c r="BD1089" i="2"/>
  <c r="BC1089" i="2"/>
  <c r="BB1089" i="2"/>
  <c r="BA1089" i="2"/>
  <c r="AZ1089" i="2"/>
  <c r="AY1089" i="2"/>
  <c r="AX1089" i="2"/>
  <c r="AW1089" i="2"/>
  <c r="AV1089" i="2"/>
  <c r="AU1089" i="2"/>
  <c r="AT1089" i="2"/>
  <c r="AS1089" i="2"/>
  <c r="AR1089" i="2"/>
  <c r="AQ1089" i="2"/>
  <c r="AP1089" i="2"/>
  <c r="AO1089" i="2"/>
  <c r="AN1089" i="2"/>
  <c r="AM1089" i="2"/>
  <c r="AL1089" i="2"/>
  <c r="AK1089" i="2"/>
  <c r="AJ1089" i="2"/>
  <c r="AI1089" i="2"/>
  <c r="AH1089" i="2"/>
  <c r="AG1089" i="2"/>
  <c r="AF1089" i="2"/>
  <c r="AE1089" i="2"/>
  <c r="AD1089" i="2"/>
  <c r="AC1089" i="2"/>
  <c r="AB1089" i="2"/>
  <c r="AA1089" i="2"/>
  <c r="Z1089" i="2"/>
  <c r="Y1089" i="2"/>
  <c r="X1089" i="2"/>
  <c r="W1089" i="2"/>
  <c r="V1089" i="2"/>
  <c r="U1089" i="2"/>
  <c r="T1089" i="2"/>
  <c r="S1089" i="2"/>
  <c r="R1089" i="2"/>
  <c r="Q1089" i="2"/>
  <c r="P1089" i="2"/>
  <c r="O1089" i="2"/>
  <c r="N1089" i="2"/>
  <c r="M1089" i="2"/>
  <c r="L1089" i="2"/>
  <c r="K1089" i="2"/>
  <c r="J1089" i="2"/>
  <c r="I1089" i="2"/>
  <c r="H1089" i="2"/>
  <c r="G1089" i="2"/>
  <c r="BD1088" i="2"/>
  <c r="BC1088" i="2"/>
  <c r="BB1088" i="2"/>
  <c r="BA1088" i="2"/>
  <c r="AZ1088" i="2"/>
  <c r="AY1088" i="2"/>
  <c r="AX1088" i="2"/>
  <c r="AW1088" i="2"/>
  <c r="AV1088" i="2"/>
  <c r="AU1088" i="2"/>
  <c r="AT1088" i="2"/>
  <c r="AS1088" i="2"/>
  <c r="AR1088" i="2"/>
  <c r="AQ1088" i="2"/>
  <c r="AP1088" i="2"/>
  <c r="AO1088" i="2"/>
  <c r="AN1088" i="2"/>
  <c r="AM1088" i="2"/>
  <c r="AL1088" i="2"/>
  <c r="AK1088" i="2"/>
  <c r="AJ1088" i="2"/>
  <c r="AI1088" i="2"/>
  <c r="AH1088" i="2"/>
  <c r="AG1088" i="2"/>
  <c r="AF1088" i="2"/>
  <c r="AE1088" i="2"/>
  <c r="AD1088" i="2"/>
  <c r="AC1088" i="2"/>
  <c r="AB1088" i="2"/>
  <c r="AA1088" i="2"/>
  <c r="Z1088" i="2"/>
  <c r="Y1088" i="2"/>
  <c r="X1088" i="2"/>
  <c r="W1088" i="2"/>
  <c r="V1088" i="2"/>
  <c r="U1088" i="2"/>
  <c r="T1088" i="2"/>
  <c r="S1088" i="2"/>
  <c r="R1088" i="2"/>
  <c r="Q1088" i="2"/>
  <c r="P1088" i="2"/>
  <c r="O1088" i="2"/>
  <c r="N1088" i="2"/>
  <c r="M1088" i="2"/>
  <c r="L1088" i="2"/>
  <c r="K1088" i="2"/>
  <c r="J1088" i="2"/>
  <c r="I1088" i="2"/>
  <c r="H1088" i="2"/>
  <c r="G1088" i="2"/>
  <c r="BD1087" i="2"/>
  <c r="BC1087" i="2"/>
  <c r="BB1087" i="2"/>
  <c r="BA1087" i="2"/>
  <c r="AZ1087" i="2"/>
  <c r="AY1087" i="2"/>
  <c r="AX1087" i="2"/>
  <c r="AW1087" i="2"/>
  <c r="AV1087" i="2"/>
  <c r="AU1087" i="2"/>
  <c r="AT1087" i="2"/>
  <c r="AS1087" i="2"/>
  <c r="AR1087" i="2"/>
  <c r="AQ1087" i="2"/>
  <c r="AP1087" i="2"/>
  <c r="AO1087" i="2"/>
  <c r="AN1087" i="2"/>
  <c r="AM1087" i="2"/>
  <c r="AL1087" i="2"/>
  <c r="AK1087" i="2"/>
  <c r="AJ1087" i="2"/>
  <c r="AI1087" i="2"/>
  <c r="AH1087" i="2"/>
  <c r="AG1087" i="2"/>
  <c r="AF1087" i="2"/>
  <c r="AE1087" i="2"/>
  <c r="AD1087" i="2"/>
  <c r="AC1087" i="2"/>
  <c r="AB1087" i="2"/>
  <c r="AA1087" i="2"/>
  <c r="Z1087" i="2"/>
  <c r="Y1087" i="2"/>
  <c r="X1087" i="2"/>
  <c r="W1087" i="2"/>
  <c r="V1087" i="2"/>
  <c r="U1087" i="2"/>
  <c r="T1087" i="2"/>
  <c r="S1087" i="2"/>
  <c r="R1087" i="2"/>
  <c r="Q1087" i="2"/>
  <c r="P1087" i="2"/>
  <c r="O1087" i="2"/>
  <c r="N1087" i="2"/>
  <c r="M1087" i="2"/>
  <c r="L1087" i="2"/>
  <c r="K1087" i="2"/>
  <c r="J1087" i="2"/>
  <c r="I1087" i="2"/>
  <c r="H1087" i="2"/>
  <c r="G1087" i="2"/>
  <c r="F1087" i="2"/>
  <c r="F1088" i="2" s="1"/>
  <c r="F1089" i="2" s="1"/>
  <c r="F1090" i="2" s="1"/>
  <c r="F1091" i="2" s="1"/>
  <c r="F1092" i="2" s="1"/>
  <c r="F1093" i="2" s="1"/>
  <c r="F1094" i="2" s="1"/>
  <c r="F1095" i="2" s="1"/>
  <c r="F1096" i="2" s="1"/>
  <c r="BD1086" i="2"/>
  <c r="BC1086" i="2"/>
  <c r="BB1086" i="2"/>
  <c r="BA1086" i="2"/>
  <c r="AZ1086" i="2"/>
  <c r="AY1086" i="2"/>
  <c r="AX1086" i="2"/>
  <c r="AW1086" i="2"/>
  <c r="AV1086" i="2"/>
  <c r="AU1086" i="2"/>
  <c r="AT1086" i="2"/>
  <c r="AS1086" i="2"/>
  <c r="AR1086" i="2"/>
  <c r="AQ1086" i="2"/>
  <c r="AP1086" i="2"/>
  <c r="AO1086" i="2"/>
  <c r="AN1086" i="2"/>
  <c r="AM1086" i="2"/>
  <c r="AL1086" i="2"/>
  <c r="AK1086" i="2"/>
  <c r="AJ1086" i="2"/>
  <c r="AI1086" i="2"/>
  <c r="AH1086" i="2"/>
  <c r="AG1086" i="2"/>
  <c r="AF1086" i="2"/>
  <c r="AE1086" i="2"/>
  <c r="AD1086" i="2"/>
  <c r="AC1086" i="2"/>
  <c r="AB1086" i="2"/>
  <c r="AA1086" i="2"/>
  <c r="Z1086" i="2"/>
  <c r="Y1086" i="2"/>
  <c r="X1086" i="2"/>
  <c r="W1086" i="2"/>
  <c r="V1086" i="2"/>
  <c r="U1086" i="2"/>
  <c r="T1086" i="2"/>
  <c r="S1086" i="2"/>
  <c r="R1086" i="2"/>
  <c r="Q1086" i="2"/>
  <c r="P1086" i="2"/>
  <c r="O1086" i="2"/>
  <c r="N1086" i="2"/>
  <c r="M1086" i="2"/>
  <c r="L1086" i="2"/>
  <c r="K1086" i="2"/>
  <c r="J1086" i="2"/>
  <c r="I1086" i="2"/>
  <c r="H1086" i="2"/>
  <c r="G1086" i="2"/>
  <c r="D1085" i="2"/>
  <c r="G1084" i="2"/>
  <c r="BD1068" i="2"/>
  <c r="BC1068" i="2"/>
  <c r="BB1068" i="2"/>
  <c r="BA1068" i="2"/>
  <c r="AZ1068" i="2"/>
  <c r="AY1068" i="2"/>
  <c r="AX1068" i="2"/>
  <c r="AW1068" i="2"/>
  <c r="AV1068" i="2"/>
  <c r="AU1068" i="2"/>
  <c r="AT1068" i="2"/>
  <c r="AS1068" i="2"/>
  <c r="AR1068" i="2"/>
  <c r="AQ1068" i="2"/>
  <c r="AP1068" i="2"/>
  <c r="AO1068" i="2"/>
  <c r="AN1068" i="2"/>
  <c r="AM1068" i="2"/>
  <c r="AL1068" i="2"/>
  <c r="AK1068" i="2"/>
  <c r="AJ1068" i="2"/>
  <c r="AI1068" i="2"/>
  <c r="AH1068" i="2"/>
  <c r="AG1068" i="2"/>
  <c r="AF1068" i="2"/>
  <c r="AE1068" i="2"/>
  <c r="AD1068" i="2"/>
  <c r="AC1068" i="2"/>
  <c r="AB1068" i="2"/>
  <c r="AA1068" i="2"/>
  <c r="Z1068" i="2"/>
  <c r="Y1068" i="2"/>
  <c r="X1068" i="2"/>
  <c r="W1068" i="2"/>
  <c r="V1068" i="2"/>
  <c r="U1068" i="2"/>
  <c r="T1068" i="2"/>
  <c r="S1068" i="2"/>
  <c r="R1068" i="2"/>
  <c r="Q1068" i="2"/>
  <c r="P1068" i="2"/>
  <c r="O1068" i="2"/>
  <c r="N1068" i="2"/>
  <c r="M1068" i="2"/>
  <c r="L1068" i="2"/>
  <c r="K1068" i="2"/>
  <c r="J1068" i="2"/>
  <c r="I1068" i="2"/>
  <c r="H1068" i="2"/>
  <c r="G1068" i="2"/>
  <c r="BD1067" i="2"/>
  <c r="BC1067" i="2"/>
  <c r="BB1067" i="2"/>
  <c r="BA1067" i="2"/>
  <c r="AZ1067" i="2"/>
  <c r="AY1067" i="2"/>
  <c r="AX1067" i="2"/>
  <c r="AW1067" i="2"/>
  <c r="AV1067" i="2"/>
  <c r="AU1067" i="2"/>
  <c r="AT1067" i="2"/>
  <c r="AS1067" i="2"/>
  <c r="AR1067" i="2"/>
  <c r="AQ1067" i="2"/>
  <c r="AP1067" i="2"/>
  <c r="AO1067" i="2"/>
  <c r="AN1067" i="2"/>
  <c r="AM1067" i="2"/>
  <c r="AL1067" i="2"/>
  <c r="AK1067" i="2"/>
  <c r="AJ1067" i="2"/>
  <c r="AI1067" i="2"/>
  <c r="AH1067" i="2"/>
  <c r="AG1067" i="2"/>
  <c r="AF1067" i="2"/>
  <c r="AE1067" i="2"/>
  <c r="AD1067" i="2"/>
  <c r="AC1067" i="2"/>
  <c r="AB1067" i="2"/>
  <c r="AA1067" i="2"/>
  <c r="Z1067" i="2"/>
  <c r="Y1067" i="2"/>
  <c r="X1067" i="2"/>
  <c r="W1067" i="2"/>
  <c r="V1067" i="2"/>
  <c r="U1067" i="2"/>
  <c r="T1067" i="2"/>
  <c r="S1067" i="2"/>
  <c r="R1067" i="2"/>
  <c r="Q1067" i="2"/>
  <c r="P1067" i="2"/>
  <c r="O1067" i="2"/>
  <c r="N1067" i="2"/>
  <c r="M1067" i="2"/>
  <c r="L1067" i="2"/>
  <c r="K1067" i="2"/>
  <c r="J1067" i="2"/>
  <c r="I1067" i="2"/>
  <c r="H1067" i="2"/>
  <c r="G1067" i="2"/>
  <c r="BD1066" i="2"/>
  <c r="BC1066" i="2"/>
  <c r="BB1066" i="2"/>
  <c r="BA1066" i="2"/>
  <c r="AZ1066" i="2"/>
  <c r="AY1066" i="2"/>
  <c r="AX1066" i="2"/>
  <c r="AW1066" i="2"/>
  <c r="AV1066" i="2"/>
  <c r="AU1066" i="2"/>
  <c r="AT1066" i="2"/>
  <c r="AS1066" i="2"/>
  <c r="AR1066" i="2"/>
  <c r="AQ1066" i="2"/>
  <c r="AP1066" i="2"/>
  <c r="AO1066" i="2"/>
  <c r="AN1066" i="2"/>
  <c r="AM1066" i="2"/>
  <c r="AL1066" i="2"/>
  <c r="AK1066" i="2"/>
  <c r="AJ1066" i="2"/>
  <c r="AI1066" i="2"/>
  <c r="AH1066" i="2"/>
  <c r="AG1066" i="2"/>
  <c r="AF1066" i="2"/>
  <c r="AE1066" i="2"/>
  <c r="AD1066" i="2"/>
  <c r="AC1066" i="2"/>
  <c r="AB1066" i="2"/>
  <c r="AA1066" i="2"/>
  <c r="Z1066" i="2"/>
  <c r="Y1066" i="2"/>
  <c r="X1066" i="2"/>
  <c r="W1066" i="2"/>
  <c r="V1066" i="2"/>
  <c r="U1066" i="2"/>
  <c r="T1066" i="2"/>
  <c r="S1066" i="2"/>
  <c r="R1066" i="2"/>
  <c r="Q1066" i="2"/>
  <c r="P1066" i="2"/>
  <c r="O1066" i="2"/>
  <c r="N1066" i="2"/>
  <c r="M1066" i="2"/>
  <c r="L1066" i="2"/>
  <c r="K1066" i="2"/>
  <c r="J1066" i="2"/>
  <c r="I1066" i="2"/>
  <c r="H1066" i="2"/>
  <c r="G1066" i="2"/>
  <c r="BD1065" i="2"/>
  <c r="BC1065" i="2"/>
  <c r="BB1065" i="2"/>
  <c r="BA1065" i="2"/>
  <c r="AZ1065" i="2"/>
  <c r="AY1065" i="2"/>
  <c r="AX1065" i="2"/>
  <c r="AW1065" i="2"/>
  <c r="AV1065" i="2"/>
  <c r="AU1065" i="2"/>
  <c r="AT1065" i="2"/>
  <c r="AS1065" i="2"/>
  <c r="AR1065" i="2"/>
  <c r="AQ1065" i="2"/>
  <c r="AP1065" i="2"/>
  <c r="AO1065" i="2"/>
  <c r="AN1065" i="2"/>
  <c r="AM1065" i="2"/>
  <c r="AL1065" i="2"/>
  <c r="AK1065" i="2"/>
  <c r="AJ1065" i="2"/>
  <c r="AI1065" i="2"/>
  <c r="AH1065" i="2"/>
  <c r="AG1065" i="2"/>
  <c r="AF1065" i="2"/>
  <c r="AE1065" i="2"/>
  <c r="AD1065" i="2"/>
  <c r="AC1065" i="2"/>
  <c r="AB1065" i="2"/>
  <c r="AA1065" i="2"/>
  <c r="Z1065" i="2"/>
  <c r="Y1065" i="2"/>
  <c r="X1065" i="2"/>
  <c r="W1065" i="2"/>
  <c r="V1065" i="2"/>
  <c r="U1065" i="2"/>
  <c r="T1065" i="2"/>
  <c r="S1065" i="2"/>
  <c r="R1065" i="2"/>
  <c r="Q1065" i="2"/>
  <c r="P1065" i="2"/>
  <c r="O1065" i="2"/>
  <c r="N1065" i="2"/>
  <c r="M1065" i="2"/>
  <c r="L1065" i="2"/>
  <c r="K1065" i="2"/>
  <c r="J1065" i="2"/>
  <c r="I1065" i="2"/>
  <c r="H1065" i="2"/>
  <c r="G1065" i="2"/>
  <c r="BD1064" i="2"/>
  <c r="BC1064" i="2"/>
  <c r="BB1064" i="2"/>
  <c r="BA1064" i="2"/>
  <c r="AZ1064" i="2"/>
  <c r="AY1064" i="2"/>
  <c r="AX1064" i="2"/>
  <c r="AW1064" i="2"/>
  <c r="AV1064" i="2"/>
  <c r="AU1064" i="2"/>
  <c r="AT1064" i="2"/>
  <c r="AS1064" i="2"/>
  <c r="AR1064" i="2"/>
  <c r="AQ1064" i="2"/>
  <c r="AP1064" i="2"/>
  <c r="AO1064" i="2"/>
  <c r="AN1064" i="2"/>
  <c r="AM1064" i="2"/>
  <c r="AL1064" i="2"/>
  <c r="AK1064" i="2"/>
  <c r="AJ1064" i="2"/>
  <c r="AI1064" i="2"/>
  <c r="AH1064" i="2"/>
  <c r="AG1064" i="2"/>
  <c r="AF1064" i="2"/>
  <c r="AE1064" i="2"/>
  <c r="AD1064" i="2"/>
  <c r="AC1064" i="2"/>
  <c r="AB1064" i="2"/>
  <c r="AA1064" i="2"/>
  <c r="Z1064" i="2"/>
  <c r="Y1064" i="2"/>
  <c r="X1064" i="2"/>
  <c r="W1064" i="2"/>
  <c r="V1064" i="2"/>
  <c r="U1064" i="2"/>
  <c r="T1064" i="2"/>
  <c r="S1064" i="2"/>
  <c r="R1064" i="2"/>
  <c r="Q1064" i="2"/>
  <c r="P1064" i="2"/>
  <c r="O1064" i="2"/>
  <c r="N1064" i="2"/>
  <c r="M1064" i="2"/>
  <c r="L1064" i="2"/>
  <c r="K1064" i="2"/>
  <c r="J1064" i="2"/>
  <c r="I1064" i="2"/>
  <c r="H1064" i="2"/>
  <c r="G1064" i="2"/>
  <c r="BD1063" i="2"/>
  <c r="BC1063" i="2"/>
  <c r="BB1063" i="2"/>
  <c r="BA1063" i="2"/>
  <c r="AZ1063" i="2"/>
  <c r="AY1063" i="2"/>
  <c r="AX1063" i="2"/>
  <c r="AW1063" i="2"/>
  <c r="AV1063" i="2"/>
  <c r="AU1063" i="2"/>
  <c r="AT1063" i="2"/>
  <c r="AS1063" i="2"/>
  <c r="AR1063" i="2"/>
  <c r="AQ1063" i="2"/>
  <c r="AP1063" i="2"/>
  <c r="AO1063" i="2"/>
  <c r="AN1063" i="2"/>
  <c r="AM1063" i="2"/>
  <c r="AL1063" i="2"/>
  <c r="AK1063" i="2"/>
  <c r="AJ1063" i="2"/>
  <c r="AI1063" i="2"/>
  <c r="AH1063" i="2"/>
  <c r="AG1063" i="2"/>
  <c r="AF1063" i="2"/>
  <c r="AE1063" i="2"/>
  <c r="AD1063" i="2"/>
  <c r="AC1063" i="2"/>
  <c r="AB1063" i="2"/>
  <c r="AA1063" i="2"/>
  <c r="Z1063" i="2"/>
  <c r="Y1063" i="2"/>
  <c r="X1063" i="2"/>
  <c r="W1063" i="2"/>
  <c r="V1063" i="2"/>
  <c r="U1063" i="2"/>
  <c r="T1063" i="2"/>
  <c r="S1063" i="2"/>
  <c r="R1063" i="2"/>
  <c r="Q1063" i="2"/>
  <c r="P1063" i="2"/>
  <c r="O1063" i="2"/>
  <c r="N1063" i="2"/>
  <c r="M1063" i="2"/>
  <c r="L1063" i="2"/>
  <c r="K1063" i="2"/>
  <c r="J1063" i="2"/>
  <c r="I1063" i="2"/>
  <c r="H1063" i="2"/>
  <c r="G1063" i="2"/>
  <c r="BD1062" i="2"/>
  <c r="BC1062" i="2"/>
  <c r="BB1062" i="2"/>
  <c r="BA1062" i="2"/>
  <c r="AZ1062" i="2"/>
  <c r="AY1062" i="2"/>
  <c r="AX1062" i="2"/>
  <c r="AW1062" i="2"/>
  <c r="AV1062" i="2"/>
  <c r="AU1062" i="2"/>
  <c r="AT1062" i="2"/>
  <c r="AS1062" i="2"/>
  <c r="AR1062" i="2"/>
  <c r="AQ1062" i="2"/>
  <c r="AP1062" i="2"/>
  <c r="AO1062" i="2"/>
  <c r="AN1062" i="2"/>
  <c r="AM1062" i="2"/>
  <c r="AL1062" i="2"/>
  <c r="AK1062" i="2"/>
  <c r="AJ1062" i="2"/>
  <c r="AI1062" i="2"/>
  <c r="AH1062" i="2"/>
  <c r="AG1062" i="2"/>
  <c r="AF1062" i="2"/>
  <c r="AE1062" i="2"/>
  <c r="AD1062" i="2"/>
  <c r="AC1062" i="2"/>
  <c r="AB1062" i="2"/>
  <c r="AA1062" i="2"/>
  <c r="Z1062" i="2"/>
  <c r="Y1062" i="2"/>
  <c r="X1062" i="2"/>
  <c r="W1062" i="2"/>
  <c r="V1062" i="2"/>
  <c r="U1062" i="2"/>
  <c r="T1062" i="2"/>
  <c r="S1062" i="2"/>
  <c r="R1062" i="2"/>
  <c r="Q1062" i="2"/>
  <c r="P1062" i="2"/>
  <c r="O1062" i="2"/>
  <c r="N1062" i="2"/>
  <c r="M1062" i="2"/>
  <c r="L1062" i="2"/>
  <c r="K1062" i="2"/>
  <c r="J1062" i="2"/>
  <c r="I1062" i="2"/>
  <c r="H1062" i="2"/>
  <c r="G1062" i="2"/>
  <c r="BD1061" i="2"/>
  <c r="BC1061" i="2"/>
  <c r="BB1061" i="2"/>
  <c r="BA1061" i="2"/>
  <c r="AZ1061" i="2"/>
  <c r="AY1061" i="2"/>
  <c r="AX1061" i="2"/>
  <c r="AW1061" i="2"/>
  <c r="AV1061" i="2"/>
  <c r="AU1061" i="2"/>
  <c r="AT1061" i="2"/>
  <c r="AS1061" i="2"/>
  <c r="AR1061" i="2"/>
  <c r="AQ1061" i="2"/>
  <c r="AP1061" i="2"/>
  <c r="AO1061" i="2"/>
  <c r="AN1061" i="2"/>
  <c r="AM1061" i="2"/>
  <c r="AL1061" i="2"/>
  <c r="AK1061" i="2"/>
  <c r="AJ1061" i="2"/>
  <c r="AI1061" i="2"/>
  <c r="AH1061" i="2"/>
  <c r="AG1061" i="2"/>
  <c r="AF1061" i="2"/>
  <c r="AE1061" i="2"/>
  <c r="AD1061" i="2"/>
  <c r="AC1061" i="2"/>
  <c r="AB1061" i="2"/>
  <c r="AA1061" i="2"/>
  <c r="Z1061" i="2"/>
  <c r="Y1061" i="2"/>
  <c r="X1061" i="2"/>
  <c r="W1061" i="2"/>
  <c r="V1061" i="2"/>
  <c r="U1061" i="2"/>
  <c r="T1061" i="2"/>
  <c r="S1061" i="2"/>
  <c r="R1061" i="2"/>
  <c r="Q1061" i="2"/>
  <c r="P1061" i="2"/>
  <c r="O1061" i="2"/>
  <c r="N1061" i="2"/>
  <c r="M1061" i="2"/>
  <c r="L1061" i="2"/>
  <c r="K1061" i="2"/>
  <c r="J1061" i="2"/>
  <c r="I1061" i="2"/>
  <c r="H1061" i="2"/>
  <c r="G1061" i="2"/>
  <c r="BD1060" i="2"/>
  <c r="BC1060" i="2"/>
  <c r="BB1060" i="2"/>
  <c r="BA1060" i="2"/>
  <c r="AZ1060" i="2"/>
  <c r="AY1060" i="2"/>
  <c r="AX1060" i="2"/>
  <c r="AW1060" i="2"/>
  <c r="AV1060" i="2"/>
  <c r="AU1060" i="2"/>
  <c r="AT1060" i="2"/>
  <c r="AS1060" i="2"/>
  <c r="AR1060" i="2"/>
  <c r="AQ1060" i="2"/>
  <c r="AP1060" i="2"/>
  <c r="AO1060" i="2"/>
  <c r="AN1060" i="2"/>
  <c r="AM1060" i="2"/>
  <c r="AL1060" i="2"/>
  <c r="AK1060" i="2"/>
  <c r="AJ1060" i="2"/>
  <c r="AI1060" i="2"/>
  <c r="AH1060" i="2"/>
  <c r="AG1060" i="2"/>
  <c r="AF1060" i="2"/>
  <c r="AE1060" i="2"/>
  <c r="AD1060" i="2"/>
  <c r="AC1060" i="2"/>
  <c r="AB1060" i="2"/>
  <c r="AA1060" i="2"/>
  <c r="Z1060" i="2"/>
  <c r="Y1060" i="2"/>
  <c r="X1060" i="2"/>
  <c r="W1060" i="2"/>
  <c r="V1060" i="2"/>
  <c r="U1060" i="2"/>
  <c r="T1060" i="2"/>
  <c r="S1060" i="2"/>
  <c r="R1060" i="2"/>
  <c r="Q1060" i="2"/>
  <c r="P1060" i="2"/>
  <c r="O1060" i="2"/>
  <c r="N1060" i="2"/>
  <c r="M1060" i="2"/>
  <c r="L1060" i="2"/>
  <c r="K1060" i="2"/>
  <c r="J1060" i="2"/>
  <c r="I1060" i="2"/>
  <c r="H1060" i="2"/>
  <c r="G1060" i="2"/>
  <c r="BD1059" i="2"/>
  <c r="BC1059" i="2"/>
  <c r="BB1059" i="2"/>
  <c r="BA1059" i="2"/>
  <c r="AZ1059" i="2"/>
  <c r="AY1059" i="2"/>
  <c r="AX1059" i="2"/>
  <c r="AW1059" i="2"/>
  <c r="AV1059" i="2"/>
  <c r="AU1059" i="2"/>
  <c r="AT1059" i="2"/>
  <c r="AS1059" i="2"/>
  <c r="AR1059" i="2"/>
  <c r="AQ1059" i="2"/>
  <c r="AP1059" i="2"/>
  <c r="AO1059" i="2"/>
  <c r="AN1059" i="2"/>
  <c r="AM1059" i="2"/>
  <c r="AL1059" i="2"/>
  <c r="AK1059" i="2"/>
  <c r="AJ1059" i="2"/>
  <c r="AI1059" i="2"/>
  <c r="AH1059" i="2"/>
  <c r="AG1059" i="2"/>
  <c r="AF1059" i="2"/>
  <c r="AE1059" i="2"/>
  <c r="AD1059" i="2"/>
  <c r="AC1059" i="2"/>
  <c r="AB1059" i="2"/>
  <c r="AA1059" i="2"/>
  <c r="Z1059" i="2"/>
  <c r="Y1059" i="2"/>
  <c r="X1059" i="2"/>
  <c r="W1059" i="2"/>
  <c r="V1059" i="2"/>
  <c r="U1059" i="2"/>
  <c r="T1059" i="2"/>
  <c r="S1059" i="2"/>
  <c r="R1059" i="2"/>
  <c r="Q1059" i="2"/>
  <c r="P1059" i="2"/>
  <c r="O1059" i="2"/>
  <c r="N1059" i="2"/>
  <c r="M1059" i="2"/>
  <c r="L1059" i="2"/>
  <c r="K1059" i="2"/>
  <c r="J1059" i="2"/>
  <c r="I1059" i="2"/>
  <c r="H1059" i="2"/>
  <c r="G1059" i="2"/>
  <c r="F1059" i="2"/>
  <c r="F1060" i="2" s="1"/>
  <c r="F1061" i="2" s="1"/>
  <c r="F1062" i="2" s="1"/>
  <c r="F1063" i="2" s="1"/>
  <c r="F1064" i="2" s="1"/>
  <c r="F1065" i="2" s="1"/>
  <c r="F1066" i="2" s="1"/>
  <c r="F1067" i="2" s="1"/>
  <c r="F1068" i="2" s="1"/>
  <c r="BD1058" i="2"/>
  <c r="BC1058" i="2"/>
  <c r="BB1058" i="2"/>
  <c r="BA1058" i="2"/>
  <c r="AZ1058" i="2"/>
  <c r="AY1058" i="2"/>
  <c r="AX1058" i="2"/>
  <c r="AW1058" i="2"/>
  <c r="AV1058" i="2"/>
  <c r="AU1058" i="2"/>
  <c r="AT1058" i="2"/>
  <c r="AS1058" i="2"/>
  <c r="AR1058" i="2"/>
  <c r="AQ1058" i="2"/>
  <c r="AP1058" i="2"/>
  <c r="AO1058" i="2"/>
  <c r="AN1058" i="2"/>
  <c r="AM1058" i="2"/>
  <c r="AL1058" i="2"/>
  <c r="AK1058" i="2"/>
  <c r="AJ1058" i="2"/>
  <c r="AI1058" i="2"/>
  <c r="AH1058" i="2"/>
  <c r="AG1058" i="2"/>
  <c r="AF1058" i="2"/>
  <c r="AE1058" i="2"/>
  <c r="AD1058" i="2"/>
  <c r="AC1058" i="2"/>
  <c r="AB1058" i="2"/>
  <c r="AA1058" i="2"/>
  <c r="Z1058" i="2"/>
  <c r="Y1058" i="2"/>
  <c r="X1058" i="2"/>
  <c r="W1058" i="2"/>
  <c r="V1058" i="2"/>
  <c r="U1058" i="2"/>
  <c r="T1058" i="2"/>
  <c r="S1058" i="2"/>
  <c r="R1058" i="2"/>
  <c r="Q1058" i="2"/>
  <c r="P1058" i="2"/>
  <c r="O1058" i="2"/>
  <c r="N1058" i="2"/>
  <c r="M1058" i="2"/>
  <c r="L1058" i="2"/>
  <c r="K1058" i="2"/>
  <c r="J1058" i="2"/>
  <c r="I1058" i="2"/>
  <c r="H1058" i="2"/>
  <c r="G1058" i="2"/>
  <c r="G1056" i="2"/>
  <c r="P1054" i="2"/>
  <c r="O1054" i="2"/>
  <c r="N1054" i="2"/>
  <c r="M1054" i="2"/>
  <c r="L1054" i="2"/>
  <c r="K1054" i="2"/>
  <c r="J1054" i="2"/>
  <c r="I1054" i="2"/>
  <c r="H1054" i="2"/>
  <c r="G1054" i="2"/>
  <c r="P1053" i="2"/>
  <c r="O1053" i="2"/>
  <c r="N1053" i="2"/>
  <c r="M1053" i="2"/>
  <c r="L1053" i="2"/>
  <c r="K1053" i="2"/>
  <c r="J1053" i="2"/>
  <c r="I1053" i="2"/>
  <c r="H1053" i="2"/>
  <c r="G1053" i="2"/>
  <c r="P1052" i="2"/>
  <c r="O1052" i="2"/>
  <c r="N1052" i="2"/>
  <c r="M1052" i="2"/>
  <c r="L1052" i="2"/>
  <c r="K1052" i="2"/>
  <c r="J1052" i="2"/>
  <c r="I1052" i="2"/>
  <c r="H1052" i="2"/>
  <c r="G1052" i="2"/>
  <c r="P1051" i="2"/>
  <c r="O1051" i="2"/>
  <c r="N1051" i="2"/>
  <c r="M1051" i="2"/>
  <c r="L1051" i="2"/>
  <c r="K1051" i="2"/>
  <c r="J1051" i="2"/>
  <c r="I1051" i="2"/>
  <c r="H1051" i="2"/>
  <c r="G1051" i="2"/>
  <c r="P1050" i="2"/>
  <c r="O1050" i="2"/>
  <c r="N1050" i="2"/>
  <c r="M1050" i="2"/>
  <c r="L1050" i="2"/>
  <c r="K1050" i="2"/>
  <c r="J1050" i="2"/>
  <c r="I1050" i="2"/>
  <c r="H1050" i="2"/>
  <c r="G1050" i="2"/>
  <c r="P1049" i="2"/>
  <c r="O1049" i="2"/>
  <c r="N1049" i="2"/>
  <c r="M1049" i="2"/>
  <c r="L1049" i="2"/>
  <c r="K1049" i="2"/>
  <c r="J1049" i="2"/>
  <c r="I1049" i="2"/>
  <c r="H1049" i="2"/>
  <c r="G1049" i="2"/>
  <c r="P1048" i="2"/>
  <c r="O1048" i="2"/>
  <c r="N1048" i="2"/>
  <c r="M1048" i="2"/>
  <c r="L1048" i="2"/>
  <c r="K1048" i="2"/>
  <c r="J1048" i="2"/>
  <c r="I1048" i="2"/>
  <c r="H1048" i="2"/>
  <c r="G1048" i="2"/>
  <c r="P1047" i="2"/>
  <c r="O1047" i="2"/>
  <c r="N1047" i="2"/>
  <c r="M1047" i="2"/>
  <c r="L1047" i="2"/>
  <c r="K1047" i="2"/>
  <c r="J1047" i="2"/>
  <c r="I1047" i="2"/>
  <c r="H1047" i="2"/>
  <c r="G1047" i="2"/>
  <c r="P1046" i="2"/>
  <c r="O1046" i="2"/>
  <c r="N1046" i="2"/>
  <c r="M1046" i="2"/>
  <c r="L1046" i="2"/>
  <c r="K1046" i="2"/>
  <c r="J1046" i="2"/>
  <c r="I1046" i="2"/>
  <c r="H1046" i="2"/>
  <c r="G1046" i="2"/>
  <c r="P1045" i="2"/>
  <c r="O1045" i="2"/>
  <c r="N1045" i="2"/>
  <c r="M1045" i="2"/>
  <c r="L1045" i="2"/>
  <c r="K1045" i="2"/>
  <c r="J1045" i="2"/>
  <c r="I1045" i="2"/>
  <c r="H1045" i="2"/>
  <c r="G1045" i="2"/>
  <c r="P1044" i="2"/>
  <c r="O1044" i="2"/>
  <c r="N1044" i="2"/>
  <c r="M1044" i="2"/>
  <c r="L1044" i="2"/>
  <c r="K1044" i="2"/>
  <c r="J1044" i="2"/>
  <c r="I1044" i="2"/>
  <c r="H1044" i="2"/>
  <c r="G1044" i="2"/>
  <c r="D1040" i="2"/>
  <c r="D1039" i="2"/>
  <c r="D1067" i="2" s="1"/>
  <c r="C1039" i="2"/>
  <c r="D1038" i="2"/>
  <c r="D1080" i="2" s="1"/>
  <c r="C1038" i="2"/>
  <c r="D1037" i="2"/>
  <c r="D1065" i="2" s="1"/>
  <c r="C1037" i="2"/>
  <c r="D1036" i="2"/>
  <c r="C1036" i="2"/>
  <c r="D1035" i="2"/>
  <c r="D1063" i="2" s="1"/>
  <c r="C1035" i="2"/>
  <c r="D1034" i="2"/>
  <c r="D1076" i="2" s="1"/>
  <c r="C1034" i="2"/>
  <c r="D1033" i="2"/>
  <c r="D1061" i="2" s="1"/>
  <c r="C1033" i="2"/>
  <c r="D1032" i="2"/>
  <c r="C1032" i="2"/>
  <c r="F1031" i="2"/>
  <c r="F1032" i="2" s="1"/>
  <c r="F1033" i="2" s="1"/>
  <c r="F1034" i="2" s="1"/>
  <c r="F1035" i="2" s="1"/>
  <c r="F1036" i="2" s="1"/>
  <c r="F1037" i="2" s="1"/>
  <c r="F1038" i="2" s="1"/>
  <c r="F1039" i="2" s="1"/>
  <c r="F1040" i="2" s="1"/>
  <c r="D1031" i="2"/>
  <c r="D1059" i="2" s="1"/>
  <c r="C1031" i="2"/>
  <c r="D1030" i="2"/>
  <c r="D1044" i="2" s="1"/>
  <c r="C1030" i="2"/>
  <c r="G1028" i="2"/>
  <c r="Q991" i="2"/>
  <c r="Q1222" i="2" s="1"/>
  <c r="Q1229" i="2" s="1"/>
  <c r="P991" i="2"/>
  <c r="P1222" i="2" s="1"/>
  <c r="P1229" i="2" s="1"/>
  <c r="O991" i="2"/>
  <c r="O1222" i="2" s="1"/>
  <c r="O1229" i="2" s="1"/>
  <c r="N991" i="2"/>
  <c r="N1222" i="2" s="1"/>
  <c r="N1229" i="2" s="1"/>
  <c r="M991" i="2"/>
  <c r="M1222" i="2" s="1"/>
  <c r="M1229" i="2" s="1"/>
  <c r="L991" i="2"/>
  <c r="L1222" i="2" s="1"/>
  <c r="L1229" i="2" s="1"/>
  <c r="K991" i="2"/>
  <c r="K1222" i="2" s="1"/>
  <c r="K1229" i="2" s="1"/>
  <c r="J991" i="2"/>
  <c r="J1222" i="2" s="1"/>
  <c r="J1229" i="2" s="1"/>
  <c r="I991" i="2"/>
  <c r="I1222" i="2" s="1"/>
  <c r="I1229" i="2" s="1"/>
  <c r="H991" i="2"/>
  <c r="H1222" i="2" s="1"/>
  <c r="H1229" i="2" s="1"/>
  <c r="G991" i="2"/>
  <c r="G1222" i="2" s="1"/>
  <c r="G1229" i="2" s="1"/>
  <c r="D985" i="2"/>
  <c r="D984" i="2"/>
  <c r="B212" i="18" s="1"/>
  <c r="D983" i="2"/>
  <c r="D980" i="2"/>
  <c r="D979" i="2"/>
  <c r="D978" i="2"/>
  <c r="D976" i="2"/>
  <c r="D975" i="2"/>
  <c r="D974" i="2"/>
  <c r="D973" i="2"/>
  <c r="D972" i="2"/>
  <c r="D971" i="2"/>
  <c r="D970" i="2"/>
  <c r="D969" i="2"/>
  <c r="G968" i="2"/>
  <c r="H959" i="2"/>
  <c r="I959" i="2" s="1"/>
  <c r="J959" i="2" s="1"/>
  <c r="K959" i="2" s="1"/>
  <c r="H946" i="2"/>
  <c r="D843" i="2"/>
  <c r="D842" i="2"/>
  <c r="G841" i="2"/>
  <c r="G46" i="2"/>
  <c r="BD44" i="2"/>
  <c r="BD816" i="2" s="1"/>
  <c r="BD909" i="2" s="1"/>
  <c r="BC44" i="2"/>
  <c r="BC816" i="2" s="1"/>
  <c r="BC909" i="2" s="1"/>
  <c r="BB44" i="2"/>
  <c r="BB816" i="2" s="1"/>
  <c r="BB909" i="2" s="1"/>
  <c r="BA44" i="2"/>
  <c r="BA816" i="2" s="1"/>
  <c r="BA909" i="2" s="1"/>
  <c r="AZ44" i="2"/>
  <c r="AZ816" i="2" s="1"/>
  <c r="AZ909" i="2" s="1"/>
  <c r="AY44" i="2"/>
  <c r="AY816" i="2" s="1"/>
  <c r="AY909" i="2" s="1"/>
  <c r="AX44" i="2"/>
  <c r="AX816" i="2" s="1"/>
  <c r="AX909" i="2" s="1"/>
  <c r="AW44" i="2"/>
  <c r="AW816" i="2" s="1"/>
  <c r="AW909" i="2" s="1"/>
  <c r="AV44" i="2"/>
  <c r="AV816" i="2" s="1"/>
  <c r="AV909" i="2" s="1"/>
  <c r="AU44" i="2"/>
  <c r="AU816" i="2" s="1"/>
  <c r="AU909" i="2" s="1"/>
  <c r="AT44" i="2"/>
  <c r="AT816" i="2" s="1"/>
  <c r="AT909" i="2" s="1"/>
  <c r="AS44" i="2"/>
  <c r="AS816" i="2" s="1"/>
  <c r="AS909" i="2" s="1"/>
  <c r="AR44" i="2"/>
  <c r="AR816" i="2" s="1"/>
  <c r="AR909" i="2" s="1"/>
  <c r="AQ44" i="2"/>
  <c r="AQ816" i="2" s="1"/>
  <c r="AQ909" i="2" s="1"/>
  <c r="AP44" i="2"/>
  <c r="AP816" i="2" s="1"/>
  <c r="AP909" i="2" s="1"/>
  <c r="AO44" i="2"/>
  <c r="AO816" i="2" s="1"/>
  <c r="AO909" i="2" s="1"/>
  <c r="AN44" i="2"/>
  <c r="AN816" i="2" s="1"/>
  <c r="AN909" i="2" s="1"/>
  <c r="AM44" i="2"/>
  <c r="AM816" i="2" s="1"/>
  <c r="AM909" i="2" s="1"/>
  <c r="AL44" i="2"/>
  <c r="AL816" i="2" s="1"/>
  <c r="AL909" i="2" s="1"/>
  <c r="AK44" i="2"/>
  <c r="AK816" i="2" s="1"/>
  <c r="AK909" i="2" s="1"/>
  <c r="AJ44" i="2"/>
  <c r="AJ816" i="2" s="1"/>
  <c r="AJ909" i="2" s="1"/>
  <c r="AI44" i="2"/>
  <c r="AI816" i="2" s="1"/>
  <c r="AI909" i="2" s="1"/>
  <c r="AH44" i="2"/>
  <c r="AH816" i="2" s="1"/>
  <c r="AH909" i="2" s="1"/>
  <c r="AG44" i="2"/>
  <c r="AG816" i="2" s="1"/>
  <c r="AG909" i="2" s="1"/>
  <c r="AF44" i="2"/>
  <c r="AF816" i="2" s="1"/>
  <c r="AF909" i="2" s="1"/>
  <c r="AE44" i="2"/>
  <c r="AE816" i="2" s="1"/>
  <c r="AE909" i="2" s="1"/>
  <c r="AD44" i="2"/>
  <c r="AD816" i="2" s="1"/>
  <c r="AD909" i="2" s="1"/>
  <c r="AC44" i="2"/>
  <c r="AC816" i="2" s="1"/>
  <c r="AC909" i="2" s="1"/>
  <c r="AB44" i="2"/>
  <c r="AB816" i="2" s="1"/>
  <c r="AB909" i="2" s="1"/>
  <c r="AA816" i="2"/>
  <c r="AA909" i="2" s="1"/>
  <c r="Z816" i="2"/>
  <c r="Z909" i="2" s="1"/>
  <c r="Y816" i="2"/>
  <c r="Y909" i="2" s="1"/>
  <c r="X816" i="2"/>
  <c r="X909" i="2" s="1"/>
  <c r="W816" i="2"/>
  <c r="W909" i="2" s="1"/>
  <c r="V816" i="2"/>
  <c r="V909" i="2" s="1"/>
  <c r="U816" i="2"/>
  <c r="U909" i="2" s="1"/>
  <c r="T816" i="2"/>
  <c r="T909" i="2" s="1"/>
  <c r="S816" i="2"/>
  <c r="S909" i="2" s="1"/>
  <c r="R816" i="2"/>
  <c r="R909" i="2" s="1"/>
  <c r="Q816" i="2"/>
  <c r="Q909" i="2" s="1"/>
  <c r="P816" i="2"/>
  <c r="P909" i="2" s="1"/>
  <c r="O816" i="2"/>
  <c r="O909" i="2" s="1"/>
  <c r="N816" i="2"/>
  <c r="N909" i="2" s="1"/>
  <c r="M816" i="2"/>
  <c r="M909" i="2" s="1"/>
  <c r="L816" i="2"/>
  <c r="L909" i="2" s="1"/>
  <c r="K816" i="2"/>
  <c r="K909" i="2" s="1"/>
  <c r="J816" i="2"/>
  <c r="J909" i="2" s="1"/>
  <c r="I816" i="2"/>
  <c r="I909" i="2" s="1"/>
  <c r="H44" i="2"/>
  <c r="H816" i="2" s="1"/>
  <c r="H909" i="2" s="1"/>
  <c r="G44" i="2"/>
  <c r="G816" i="2" s="1"/>
  <c r="G909" i="2" s="1"/>
  <c r="G11" i="2"/>
  <c r="H6" i="2"/>
  <c r="E15" i="13"/>
  <c r="D8" i="13"/>
  <c r="D6" i="13"/>
  <c r="B215" i="18"/>
  <c r="C168" i="18" a="1"/>
  <c r="C177" i="18" s="1"/>
  <c r="D19" i="18"/>
  <c r="D18" i="18"/>
  <c r="D20" i="18"/>
  <c r="D16" i="18"/>
  <c r="L2" i="18"/>
  <c r="S1117" i="2" l="1"/>
  <c r="H1108" i="2"/>
  <c r="H1109" i="2"/>
  <c r="D26" i="18"/>
  <c r="C909" i="2"/>
  <c r="B363" i="2"/>
  <c r="B337" i="2"/>
  <c r="H1102" i="2"/>
  <c r="B204" i="18"/>
  <c r="D999" i="2"/>
  <c r="B203" i="18"/>
  <c r="D998" i="2"/>
  <c r="B213" i="18"/>
  <c r="D1009" i="2"/>
  <c r="B198" i="18"/>
  <c r="D993" i="2"/>
  <c r="B206" i="18"/>
  <c r="D1002" i="2"/>
  <c r="B199" i="18"/>
  <c r="D994" i="2"/>
  <c r="B207" i="18"/>
  <c r="D1003" i="2"/>
  <c r="B200" i="18"/>
  <c r="D995" i="2"/>
  <c r="B208" i="18"/>
  <c r="D1004" i="2"/>
  <c r="B205" i="18"/>
  <c r="D1000" i="2"/>
  <c r="B201" i="18"/>
  <c r="D996" i="2"/>
  <c r="B211" i="18"/>
  <c r="D1007" i="2"/>
  <c r="B202" i="18"/>
  <c r="D997" i="2"/>
  <c r="D1008" i="2"/>
  <c r="G18" i="2"/>
  <c r="N223" i="13"/>
  <c r="V223" i="13"/>
  <c r="M224" i="13"/>
  <c r="U224" i="13"/>
  <c r="L225" i="13"/>
  <c r="T225" i="13"/>
  <c r="K226" i="13"/>
  <c r="S226" i="13"/>
  <c r="O223" i="13"/>
  <c r="F224" i="13"/>
  <c r="G19" i="2" s="1"/>
  <c r="N224" i="13"/>
  <c r="V224" i="13"/>
  <c r="M225" i="13"/>
  <c r="U225" i="13"/>
  <c r="L226" i="13"/>
  <c r="T226" i="13"/>
  <c r="Q225" i="13"/>
  <c r="J226" i="13"/>
  <c r="H223" i="13"/>
  <c r="P223" i="13"/>
  <c r="G224" i="13"/>
  <c r="O224" i="13"/>
  <c r="F225" i="13"/>
  <c r="G20" i="2" s="1"/>
  <c r="N225" i="13"/>
  <c r="V225" i="13"/>
  <c r="M226" i="13"/>
  <c r="U226" i="13"/>
  <c r="R223" i="13"/>
  <c r="Q224" i="13"/>
  <c r="P225" i="13"/>
  <c r="O226" i="13"/>
  <c r="S223" i="13"/>
  <c r="R224" i="13"/>
  <c r="H226" i="13"/>
  <c r="S225" i="13"/>
  <c r="I223" i="13"/>
  <c r="Q223" i="13"/>
  <c r="H224" i="13"/>
  <c r="P224" i="13"/>
  <c r="G225" i="13"/>
  <c r="O225" i="13"/>
  <c r="F226" i="13"/>
  <c r="G21" i="2" s="1"/>
  <c r="N226" i="13"/>
  <c r="V226" i="13"/>
  <c r="J223" i="13"/>
  <c r="I224" i="13"/>
  <c r="H225" i="13"/>
  <c r="G226" i="13"/>
  <c r="K223" i="13"/>
  <c r="J224" i="13"/>
  <c r="K19" i="2" s="1"/>
  <c r="K53" i="2" s="1"/>
  <c r="I225" i="13"/>
  <c r="J20" i="2" s="1"/>
  <c r="J54" i="2" s="1"/>
  <c r="P226" i="13"/>
  <c r="L223" i="13"/>
  <c r="T223" i="13"/>
  <c r="K224" i="13"/>
  <c r="S224" i="13"/>
  <c r="J225" i="13"/>
  <c r="R225" i="13"/>
  <c r="I226" i="13"/>
  <c r="Q226" i="13"/>
  <c r="M223" i="13"/>
  <c r="U223" i="13"/>
  <c r="L224" i="13"/>
  <c r="T224" i="13"/>
  <c r="K225" i="13"/>
  <c r="R226" i="13"/>
  <c r="M1230" i="2"/>
  <c r="M1233" i="2"/>
  <c r="M1232" i="2"/>
  <c r="M1231" i="2"/>
  <c r="N1230" i="2"/>
  <c r="N1233" i="2"/>
  <c r="N1231" i="2"/>
  <c r="N1232" i="2"/>
  <c r="G1230" i="2"/>
  <c r="G1233" i="2"/>
  <c r="G1231" i="2"/>
  <c r="G1232" i="2"/>
  <c r="O1230" i="2"/>
  <c r="O1233" i="2"/>
  <c r="O1231" i="2"/>
  <c r="O1232" i="2"/>
  <c r="H1230" i="2"/>
  <c r="H1233" i="2"/>
  <c r="H1232" i="2"/>
  <c r="H1231" i="2"/>
  <c r="P1230" i="2"/>
  <c r="P1233" i="2"/>
  <c r="P1232" i="2"/>
  <c r="P1231" i="2"/>
  <c r="I1230" i="2"/>
  <c r="I1233" i="2"/>
  <c r="I1231" i="2"/>
  <c r="I1232" i="2"/>
  <c r="Q1230" i="2"/>
  <c r="Q1233" i="2"/>
  <c r="Q1231" i="2"/>
  <c r="Q1232" i="2"/>
  <c r="J1230" i="2"/>
  <c r="J1233" i="2"/>
  <c r="J1231" i="2"/>
  <c r="J1232" i="2"/>
  <c r="K1230" i="2"/>
  <c r="K1233" i="2"/>
  <c r="K1231" i="2"/>
  <c r="K1232" i="2"/>
  <c r="L1233" i="2"/>
  <c r="L1230" i="2"/>
  <c r="L1231" i="2"/>
  <c r="L1232" i="2"/>
  <c r="H1103" i="2"/>
  <c r="H1100" i="2"/>
  <c r="H1105" i="2"/>
  <c r="H1107" i="2"/>
  <c r="H46" i="2"/>
  <c r="H83" i="2"/>
  <c r="BD118" i="2"/>
  <c r="AI118" i="2"/>
  <c r="Y118" i="2"/>
  <c r="AU118" i="2"/>
  <c r="AA118" i="2"/>
  <c r="Z118" i="2"/>
  <c r="AY118" i="2"/>
  <c r="Q118" i="2"/>
  <c r="AE118" i="2"/>
  <c r="AW118" i="2"/>
  <c r="AS118" i="2"/>
  <c r="AQ118" i="2"/>
  <c r="P118" i="2"/>
  <c r="R118" i="2"/>
  <c r="AM118" i="2"/>
  <c r="AP118" i="2"/>
  <c r="AC118" i="2"/>
  <c r="AD118" i="2"/>
  <c r="BC118" i="2"/>
  <c r="O118" i="2"/>
  <c r="M118" i="2"/>
  <c r="J118" i="2"/>
  <c r="AG118" i="2"/>
  <c r="AO118" i="2"/>
  <c r="U118" i="2"/>
  <c r="AL118" i="2"/>
  <c r="N118" i="2"/>
  <c r="AV118" i="2"/>
  <c r="K118" i="2"/>
  <c r="W118" i="2"/>
  <c r="AB118" i="2"/>
  <c r="AF118" i="2"/>
  <c r="AH118" i="2"/>
  <c r="X118" i="2"/>
  <c r="AZ118" i="2"/>
  <c r="T118" i="2"/>
  <c r="G118" i="2"/>
  <c r="AT118" i="2"/>
  <c r="AK118" i="2"/>
  <c r="H118" i="2"/>
  <c r="V118" i="2"/>
  <c r="AJ118" i="2"/>
  <c r="BB118" i="2"/>
  <c r="BA118" i="2"/>
  <c r="S118" i="2"/>
  <c r="AX118" i="2"/>
  <c r="L118" i="2"/>
  <c r="AN118" i="2"/>
  <c r="AR118" i="2"/>
  <c r="I118" i="2"/>
  <c r="W111" i="2"/>
  <c r="H111" i="2"/>
  <c r="M111" i="2"/>
  <c r="AO111" i="2"/>
  <c r="AD111" i="2"/>
  <c r="Y111" i="2"/>
  <c r="AM111" i="2"/>
  <c r="AT111" i="2"/>
  <c r="AB111" i="2"/>
  <c r="AX111" i="2"/>
  <c r="AS111" i="2"/>
  <c r="AC111" i="2"/>
  <c r="I111" i="2"/>
  <c r="AQ111" i="2"/>
  <c r="AU111" i="2"/>
  <c r="K111" i="2"/>
  <c r="AL111" i="2"/>
  <c r="AP111" i="2"/>
  <c r="BA111" i="2"/>
  <c r="G111" i="2"/>
  <c r="X111" i="2"/>
  <c r="J111" i="2"/>
  <c r="AF111" i="2"/>
  <c r="AH111" i="2"/>
  <c r="BB111" i="2"/>
  <c r="AW111" i="2"/>
  <c r="Q111" i="2"/>
  <c r="AG111" i="2"/>
  <c r="AJ111" i="2"/>
  <c r="AI111" i="2"/>
  <c r="R111" i="2"/>
  <c r="BC111" i="2"/>
  <c r="AY111" i="2"/>
  <c r="BD111" i="2"/>
  <c r="S111" i="2"/>
  <c r="AN111" i="2"/>
  <c r="T111" i="2"/>
  <c r="L111" i="2"/>
  <c r="P111" i="2"/>
  <c r="N111" i="2"/>
  <c r="O111" i="2"/>
  <c r="AK111" i="2"/>
  <c r="Z111" i="2"/>
  <c r="U111" i="2"/>
  <c r="AR111" i="2"/>
  <c r="AE111" i="2"/>
  <c r="AV111" i="2"/>
  <c r="V111" i="2"/>
  <c r="AZ111" i="2"/>
  <c r="AA111" i="2"/>
  <c r="H1101" i="2"/>
  <c r="D222" i="13"/>
  <c r="D226" i="13"/>
  <c r="D228" i="13"/>
  <c r="D229" i="13"/>
  <c r="D223" i="13"/>
  <c r="D227" i="13"/>
  <c r="D220" i="13"/>
  <c r="D211" i="13" s="1"/>
  <c r="D221" i="13"/>
  <c r="D225" i="13"/>
  <c r="D224" i="13"/>
  <c r="H220" i="13"/>
  <c r="I12" i="2" s="1"/>
  <c r="L220" i="13"/>
  <c r="M12" i="2" s="1"/>
  <c r="P220" i="13"/>
  <c r="Q12" i="2" s="1"/>
  <c r="T220" i="13"/>
  <c r="U12" i="2" s="1"/>
  <c r="X220" i="13"/>
  <c r="Y12" i="2" s="1"/>
  <c r="AB220" i="13"/>
  <c r="AC12" i="2" s="1"/>
  <c r="AF220" i="13"/>
  <c r="AG12" i="2" s="1"/>
  <c r="AJ220" i="13"/>
  <c r="AK12" i="2" s="1"/>
  <c r="AN220" i="13"/>
  <c r="AO12" i="2" s="1"/>
  <c r="AR220" i="13"/>
  <c r="AS12" i="2" s="1"/>
  <c r="AV220" i="13"/>
  <c r="AW12" i="2" s="1"/>
  <c r="AZ220" i="13"/>
  <c r="BA12" i="2" s="1"/>
  <c r="G221" i="13"/>
  <c r="K221" i="13"/>
  <c r="O221" i="13"/>
  <c r="S221" i="13"/>
  <c r="W221" i="13"/>
  <c r="AA221" i="13"/>
  <c r="AE221" i="13"/>
  <c r="AI221" i="13"/>
  <c r="AM221" i="13"/>
  <c r="AQ221" i="13"/>
  <c r="AU221" i="13"/>
  <c r="AY221" i="13"/>
  <c r="BC221" i="13"/>
  <c r="J222" i="13"/>
  <c r="N222" i="13"/>
  <c r="R222" i="13"/>
  <c r="V222" i="13"/>
  <c r="Z222" i="13"/>
  <c r="AD222" i="13"/>
  <c r="AH222" i="13"/>
  <c r="AL222" i="13"/>
  <c r="AP222" i="13"/>
  <c r="AT222" i="13"/>
  <c r="AX222" i="13"/>
  <c r="BB222" i="13"/>
  <c r="Y223" i="13"/>
  <c r="AC223" i="13"/>
  <c r="AG223" i="13"/>
  <c r="AK223" i="13"/>
  <c r="AO223" i="13"/>
  <c r="AS223" i="13"/>
  <c r="AW223" i="13"/>
  <c r="BA223" i="13"/>
  <c r="X224" i="13"/>
  <c r="AB224" i="13"/>
  <c r="AF224" i="13"/>
  <c r="AJ224" i="13"/>
  <c r="AN224" i="13"/>
  <c r="AR224" i="13"/>
  <c r="AV224" i="13"/>
  <c r="AZ224" i="13"/>
  <c r="W225" i="13"/>
  <c r="AA225" i="13"/>
  <c r="AE225" i="13"/>
  <c r="AI225" i="13"/>
  <c r="AM225" i="13"/>
  <c r="AQ225" i="13"/>
  <c r="AU225" i="13"/>
  <c r="AY225" i="13"/>
  <c r="BC225" i="13"/>
  <c r="Z226" i="13"/>
  <c r="AD226" i="13"/>
  <c r="AH226" i="13"/>
  <c r="I220" i="13"/>
  <c r="J12" i="2" s="1"/>
  <c r="M220" i="13"/>
  <c r="N12" i="2" s="1"/>
  <c r="Q220" i="13"/>
  <c r="R12" i="2" s="1"/>
  <c r="U220" i="13"/>
  <c r="V12" i="2" s="1"/>
  <c r="Y220" i="13"/>
  <c r="Z12" i="2" s="1"/>
  <c r="AC220" i="13"/>
  <c r="AD12" i="2" s="1"/>
  <c r="AG220" i="13"/>
  <c r="AH12" i="2" s="1"/>
  <c r="AK220" i="13"/>
  <c r="AL12" i="2" s="1"/>
  <c r="AO220" i="13"/>
  <c r="AP12" i="2" s="1"/>
  <c r="AS220" i="13"/>
  <c r="AT12" i="2" s="1"/>
  <c r="AW220" i="13"/>
  <c r="AX12" i="2" s="1"/>
  <c r="BA220" i="13"/>
  <c r="BB12" i="2" s="1"/>
  <c r="H221" i="13"/>
  <c r="L221" i="13"/>
  <c r="P221" i="13"/>
  <c r="T221" i="13"/>
  <c r="X221" i="13"/>
  <c r="AB221" i="13"/>
  <c r="AF221" i="13"/>
  <c r="AJ221" i="13"/>
  <c r="AN221" i="13"/>
  <c r="AR221" i="13"/>
  <c r="AV221" i="13"/>
  <c r="AZ221" i="13"/>
  <c r="G222" i="13"/>
  <c r="K222" i="13"/>
  <c r="O222" i="13"/>
  <c r="S222" i="13"/>
  <c r="W222" i="13"/>
  <c r="AA222" i="13"/>
  <c r="AE222" i="13"/>
  <c r="AI222" i="13"/>
  <c r="AM222" i="13"/>
  <c r="AQ222" i="13"/>
  <c r="AU222" i="13"/>
  <c r="AY222" i="13"/>
  <c r="BC222" i="13"/>
  <c r="Z223" i="13"/>
  <c r="AD223" i="13"/>
  <c r="AH223" i="13"/>
  <c r="AL223" i="13"/>
  <c r="AP223" i="13"/>
  <c r="AT223" i="13"/>
  <c r="AX223" i="13"/>
  <c r="BB223" i="13"/>
  <c r="Y224" i="13"/>
  <c r="AC224" i="13"/>
  <c r="AG224" i="13"/>
  <c r="AK224" i="13"/>
  <c r="AO224" i="13"/>
  <c r="AS224" i="13"/>
  <c r="AW224" i="13"/>
  <c r="BA224" i="13"/>
  <c r="X225" i="13"/>
  <c r="AB225" i="13"/>
  <c r="AF225" i="13"/>
  <c r="AJ225" i="13"/>
  <c r="AN225" i="13"/>
  <c r="AR225" i="13"/>
  <c r="AV225" i="13"/>
  <c r="AZ225" i="13"/>
  <c r="W226" i="13"/>
  <c r="AA226" i="13"/>
  <c r="AE226" i="13"/>
  <c r="AI226" i="13"/>
  <c r="AM226" i="13"/>
  <c r="AQ226" i="13"/>
  <c r="AU226" i="13"/>
  <c r="AY226" i="13"/>
  <c r="J220" i="13"/>
  <c r="K12" i="2" s="1"/>
  <c r="N220" i="13"/>
  <c r="O12" i="2" s="1"/>
  <c r="R220" i="13"/>
  <c r="S12" i="2" s="1"/>
  <c r="V220" i="13"/>
  <c r="W12" i="2" s="1"/>
  <c r="Z220" i="13"/>
  <c r="AA12" i="2" s="1"/>
  <c r="AD220" i="13"/>
  <c r="AE12" i="2" s="1"/>
  <c r="AH220" i="13"/>
  <c r="AI12" i="2" s="1"/>
  <c r="AL220" i="13"/>
  <c r="AM12" i="2" s="1"/>
  <c r="AP220" i="13"/>
  <c r="AQ12" i="2" s="1"/>
  <c r="AT220" i="13"/>
  <c r="AU12" i="2" s="1"/>
  <c r="AX220" i="13"/>
  <c r="AY12" i="2" s="1"/>
  <c r="BB220" i="13"/>
  <c r="BC12" i="2" s="1"/>
  <c r="I221" i="13"/>
  <c r="M221" i="13"/>
  <c r="Q221" i="13"/>
  <c r="U221" i="13"/>
  <c r="Y221" i="13"/>
  <c r="AC221" i="13"/>
  <c r="AG221" i="13"/>
  <c r="AK221" i="13"/>
  <c r="AO221" i="13"/>
  <c r="AS221" i="13"/>
  <c r="AW221" i="13"/>
  <c r="BA221" i="13"/>
  <c r="H222" i="13"/>
  <c r="L222" i="13"/>
  <c r="P222" i="13"/>
  <c r="T222" i="13"/>
  <c r="X222" i="13"/>
  <c r="AB222" i="13"/>
  <c r="AF222" i="13"/>
  <c r="AJ222" i="13"/>
  <c r="AN222" i="13"/>
  <c r="AR222" i="13"/>
  <c r="AV222" i="13"/>
  <c r="AZ222" i="13"/>
  <c r="W223" i="13"/>
  <c r="AA223" i="13"/>
  <c r="AE223" i="13"/>
  <c r="AI223" i="13"/>
  <c r="AM223" i="13"/>
  <c r="AQ223" i="13"/>
  <c r="AU223" i="13"/>
  <c r="AY223" i="13"/>
  <c r="BC223" i="13"/>
  <c r="Z224" i="13"/>
  <c r="AD224" i="13"/>
  <c r="AH224" i="13"/>
  <c r="AL224" i="13"/>
  <c r="AP224" i="13"/>
  <c r="AT224" i="13"/>
  <c r="AX224" i="13"/>
  <c r="BB224" i="13"/>
  <c r="Y225" i="13"/>
  <c r="AC225" i="13"/>
  <c r="AG225" i="13"/>
  <c r="AK225" i="13"/>
  <c r="AO225" i="13"/>
  <c r="AS225" i="13"/>
  <c r="AW225" i="13"/>
  <c r="BA225" i="13"/>
  <c r="X226" i="13"/>
  <c r="AB226" i="13"/>
  <c r="AF226" i="13"/>
  <c r="AJ226" i="13"/>
  <c r="AN226" i="13"/>
  <c r="AR226" i="13"/>
  <c r="G220" i="13"/>
  <c r="H12" i="2" s="1"/>
  <c r="W220" i="13"/>
  <c r="X12" i="2" s="1"/>
  <c r="AM220" i="13"/>
  <c r="AN12" i="2" s="1"/>
  <c r="BC220" i="13"/>
  <c r="BD12" i="2" s="1"/>
  <c r="V221" i="13"/>
  <c r="AL221" i="13"/>
  <c r="BB221" i="13"/>
  <c r="U222" i="13"/>
  <c r="AK222" i="13"/>
  <c r="BA222" i="13"/>
  <c r="AJ223" i="13"/>
  <c r="AZ223" i="13"/>
  <c r="AI224" i="13"/>
  <c r="AY224" i="13"/>
  <c r="AH225" i="13"/>
  <c r="AX225" i="13"/>
  <c r="AG226" i="13"/>
  <c r="AP226" i="13"/>
  <c r="AW226" i="13"/>
  <c r="BB226" i="13"/>
  <c r="I227" i="13"/>
  <c r="J23" i="2" s="1"/>
  <c r="J57" i="2" s="1"/>
  <c r="J66" i="2" s="1"/>
  <c r="M227" i="13"/>
  <c r="N23" i="2" s="1"/>
  <c r="N57" i="2" s="1"/>
  <c r="N66" i="2" s="1"/>
  <c r="Q227" i="13"/>
  <c r="R23" i="2" s="1"/>
  <c r="R57" i="2" s="1"/>
  <c r="R66" i="2" s="1"/>
  <c r="U227" i="13"/>
  <c r="V23" i="2" s="1"/>
  <c r="V57" i="2" s="1"/>
  <c r="V66" i="2" s="1"/>
  <c r="Y227" i="13"/>
  <c r="Z23" i="2" s="1"/>
  <c r="Z57" i="2" s="1"/>
  <c r="Z66" i="2" s="1"/>
  <c r="AC227" i="13"/>
  <c r="AD23" i="2" s="1"/>
  <c r="AD57" i="2" s="1"/>
  <c r="AD66" i="2" s="1"/>
  <c r="AG227" i="13"/>
  <c r="AH23" i="2" s="1"/>
  <c r="AH57" i="2" s="1"/>
  <c r="AH66" i="2" s="1"/>
  <c r="AK227" i="13"/>
  <c r="AL23" i="2" s="1"/>
  <c r="AL57" i="2" s="1"/>
  <c r="AL66" i="2" s="1"/>
  <c r="AO227" i="13"/>
  <c r="AP23" i="2" s="1"/>
  <c r="AP57" i="2" s="1"/>
  <c r="AP66" i="2" s="1"/>
  <c r="AS227" i="13"/>
  <c r="AT23" i="2" s="1"/>
  <c r="AT57" i="2" s="1"/>
  <c r="AT66" i="2" s="1"/>
  <c r="AW227" i="13"/>
  <c r="AX23" i="2" s="1"/>
  <c r="AX57" i="2" s="1"/>
  <c r="AX66" i="2" s="1"/>
  <c r="BA227" i="13"/>
  <c r="BB23" i="2" s="1"/>
  <c r="BB57" i="2" s="1"/>
  <c r="BB66" i="2" s="1"/>
  <c r="F222" i="13"/>
  <c r="C224" i="13"/>
  <c r="C228" i="13"/>
  <c r="K220" i="13"/>
  <c r="L12" i="2" s="1"/>
  <c r="AA220" i="13"/>
  <c r="AB12" i="2" s="1"/>
  <c r="AQ220" i="13"/>
  <c r="AR12" i="2" s="1"/>
  <c r="J221" i="13"/>
  <c r="Z221" i="13"/>
  <c r="AP221" i="13"/>
  <c r="I222" i="13"/>
  <c r="Y222" i="13"/>
  <c r="AO222" i="13"/>
  <c r="X223" i="13"/>
  <c r="AN223" i="13"/>
  <c r="W224" i="13"/>
  <c r="AM224" i="13"/>
  <c r="BC224" i="13"/>
  <c r="AL225" i="13"/>
  <c r="BB225" i="13"/>
  <c r="AK226" i="13"/>
  <c r="AS226" i="13"/>
  <c r="AX226" i="13"/>
  <c r="BC226" i="13"/>
  <c r="J227" i="13"/>
  <c r="K23" i="2" s="1"/>
  <c r="K57" i="2" s="1"/>
  <c r="K66" i="2" s="1"/>
  <c r="N227" i="13"/>
  <c r="O23" i="2" s="1"/>
  <c r="O57" i="2" s="1"/>
  <c r="O66" i="2" s="1"/>
  <c r="R227" i="13"/>
  <c r="S23" i="2" s="1"/>
  <c r="S57" i="2" s="1"/>
  <c r="S66" i="2" s="1"/>
  <c r="V227" i="13"/>
  <c r="W23" i="2" s="1"/>
  <c r="W57" i="2" s="1"/>
  <c r="W66" i="2" s="1"/>
  <c r="Z227" i="13"/>
  <c r="AA23" i="2" s="1"/>
  <c r="AA57" i="2" s="1"/>
  <c r="AA66" i="2" s="1"/>
  <c r="AD227" i="13"/>
  <c r="AE23" i="2" s="1"/>
  <c r="AE57" i="2" s="1"/>
  <c r="AE66" i="2" s="1"/>
  <c r="AH227" i="13"/>
  <c r="AI23" i="2" s="1"/>
  <c r="AI57" i="2" s="1"/>
  <c r="AI66" i="2" s="1"/>
  <c r="AL227" i="13"/>
  <c r="AM23" i="2" s="1"/>
  <c r="AM57" i="2" s="1"/>
  <c r="AM66" i="2" s="1"/>
  <c r="AP227" i="13"/>
  <c r="AQ23" i="2" s="1"/>
  <c r="AQ57" i="2" s="1"/>
  <c r="AQ66" i="2" s="1"/>
  <c r="AT227" i="13"/>
  <c r="AU23" i="2" s="1"/>
  <c r="AU57" i="2" s="1"/>
  <c r="AU66" i="2" s="1"/>
  <c r="AX227" i="13"/>
  <c r="AY23" i="2" s="1"/>
  <c r="AY57" i="2" s="1"/>
  <c r="AY66" i="2" s="1"/>
  <c r="BB227" i="13"/>
  <c r="BC23" i="2" s="1"/>
  <c r="BC57" i="2" s="1"/>
  <c r="BC66" i="2" s="1"/>
  <c r="F227" i="13"/>
  <c r="E228" i="13"/>
  <c r="C221" i="13"/>
  <c r="C225" i="13"/>
  <c r="C229" i="13"/>
  <c r="O220" i="13"/>
  <c r="P12" i="2" s="1"/>
  <c r="AE220" i="13"/>
  <c r="AF12" i="2" s="1"/>
  <c r="AU220" i="13"/>
  <c r="AV12" i="2" s="1"/>
  <c r="N221" i="13"/>
  <c r="AD221" i="13"/>
  <c r="AT221" i="13"/>
  <c r="M222" i="13"/>
  <c r="AC222" i="13"/>
  <c r="AS222" i="13"/>
  <c r="AB223" i="13"/>
  <c r="AR223" i="13"/>
  <c r="AA224" i="13"/>
  <c r="AQ224" i="13"/>
  <c r="Z225" i="13"/>
  <c r="AP225" i="13"/>
  <c r="Y226" i="13"/>
  <c r="AL226" i="13"/>
  <c r="AT226" i="13"/>
  <c r="AZ226" i="13"/>
  <c r="G227" i="13"/>
  <c r="H23" i="2" s="1"/>
  <c r="H57" i="2" s="1"/>
  <c r="H66" i="2" s="1"/>
  <c r="K227" i="13"/>
  <c r="L23" i="2" s="1"/>
  <c r="L57" i="2" s="1"/>
  <c r="L66" i="2" s="1"/>
  <c r="O227" i="13"/>
  <c r="P23" i="2" s="1"/>
  <c r="P57" i="2" s="1"/>
  <c r="P66" i="2" s="1"/>
  <c r="S227" i="13"/>
  <c r="T23" i="2" s="1"/>
  <c r="T57" i="2" s="1"/>
  <c r="T66" i="2" s="1"/>
  <c r="W227" i="13"/>
  <c r="X23" i="2" s="1"/>
  <c r="X57" i="2" s="1"/>
  <c r="X66" i="2" s="1"/>
  <c r="AA227" i="13"/>
  <c r="AB23" i="2" s="1"/>
  <c r="AB57" i="2" s="1"/>
  <c r="AB66" i="2" s="1"/>
  <c r="AE227" i="13"/>
  <c r="AF23" i="2" s="1"/>
  <c r="AF57" i="2" s="1"/>
  <c r="AF66" i="2" s="1"/>
  <c r="AI227" i="13"/>
  <c r="AJ23" i="2" s="1"/>
  <c r="AJ57" i="2" s="1"/>
  <c r="AJ66" i="2" s="1"/>
  <c r="AM227" i="13"/>
  <c r="AN23" i="2" s="1"/>
  <c r="AN57" i="2" s="1"/>
  <c r="AN66" i="2" s="1"/>
  <c r="AQ227" i="13"/>
  <c r="AR23" i="2" s="1"/>
  <c r="AR57" i="2" s="1"/>
  <c r="AR66" i="2" s="1"/>
  <c r="AU227" i="13"/>
  <c r="AV23" i="2" s="1"/>
  <c r="AV57" i="2" s="1"/>
  <c r="AV66" i="2" s="1"/>
  <c r="AY227" i="13"/>
  <c r="AZ23" i="2" s="1"/>
  <c r="AZ57" i="2" s="1"/>
  <c r="AZ66" i="2" s="1"/>
  <c r="BC227" i="13"/>
  <c r="BD23" i="2" s="1"/>
  <c r="BD57" i="2" s="1"/>
  <c r="BD66" i="2" s="1"/>
  <c r="F220" i="13"/>
  <c r="C222" i="13"/>
  <c r="C226" i="13"/>
  <c r="S220" i="13"/>
  <c r="T12" i="2" s="1"/>
  <c r="AI220" i="13"/>
  <c r="AJ12" i="2" s="1"/>
  <c r="AY220" i="13"/>
  <c r="AZ12" i="2" s="1"/>
  <c r="R221" i="13"/>
  <c r="AH221" i="13"/>
  <c r="AX221" i="13"/>
  <c r="Q222" i="13"/>
  <c r="AG222" i="13"/>
  <c r="AW222" i="13"/>
  <c r="AF223" i="13"/>
  <c r="AV223" i="13"/>
  <c r="AE224" i="13"/>
  <c r="AU224" i="13"/>
  <c r="AD225" i="13"/>
  <c r="AT225" i="13"/>
  <c r="AC226" i="13"/>
  <c r="AO226" i="13"/>
  <c r="AV226" i="13"/>
  <c r="BA226" i="13"/>
  <c r="H227" i="13"/>
  <c r="I23" i="2" s="1"/>
  <c r="I57" i="2" s="1"/>
  <c r="I66" i="2" s="1"/>
  <c r="L227" i="13"/>
  <c r="M23" i="2" s="1"/>
  <c r="M57" i="2" s="1"/>
  <c r="M66" i="2" s="1"/>
  <c r="P227" i="13"/>
  <c r="Q23" i="2" s="1"/>
  <c r="Q57" i="2" s="1"/>
  <c r="Q66" i="2" s="1"/>
  <c r="T227" i="13"/>
  <c r="U23" i="2" s="1"/>
  <c r="U57" i="2" s="1"/>
  <c r="U66" i="2" s="1"/>
  <c r="X227" i="13"/>
  <c r="Y23" i="2" s="1"/>
  <c r="Y57" i="2" s="1"/>
  <c r="Y66" i="2" s="1"/>
  <c r="AB227" i="13"/>
  <c r="AC23" i="2" s="1"/>
  <c r="AC57" i="2" s="1"/>
  <c r="AC66" i="2" s="1"/>
  <c r="AF227" i="13"/>
  <c r="AG23" i="2" s="1"/>
  <c r="AG57" i="2" s="1"/>
  <c r="AG66" i="2" s="1"/>
  <c r="AJ227" i="13"/>
  <c r="AK23" i="2" s="1"/>
  <c r="AK57" i="2" s="1"/>
  <c r="AK66" i="2" s="1"/>
  <c r="AK67" i="2" s="1"/>
  <c r="AN227" i="13"/>
  <c r="AO23" i="2" s="1"/>
  <c r="AO57" i="2" s="1"/>
  <c r="AO66" i="2" s="1"/>
  <c r="AR227" i="13"/>
  <c r="AS23" i="2" s="1"/>
  <c r="AS57" i="2" s="1"/>
  <c r="AS66" i="2" s="1"/>
  <c r="AV227" i="13"/>
  <c r="AW23" i="2" s="1"/>
  <c r="AW57" i="2" s="1"/>
  <c r="AW66" i="2" s="1"/>
  <c r="AZ227" i="13"/>
  <c r="BA23" i="2" s="1"/>
  <c r="BA57" i="2" s="1"/>
  <c r="BA66" i="2" s="1"/>
  <c r="F221" i="13"/>
  <c r="E229" i="13"/>
  <c r="C223" i="13"/>
  <c r="C227" i="13"/>
  <c r="C220" i="13"/>
  <c r="H1106" i="2"/>
  <c r="H1104" i="2"/>
  <c r="D1167" i="2"/>
  <c r="D1175" i="2"/>
  <c r="B168" i="18" a="1"/>
  <c r="B175" i="18" s="1"/>
  <c r="D1196" i="2"/>
  <c r="D1197" i="2"/>
  <c r="D1211" i="2"/>
  <c r="D1168" i="2"/>
  <c r="D1176" i="2"/>
  <c r="D1194" i="2"/>
  <c r="D1200" i="2"/>
  <c r="D1215" i="2"/>
  <c r="D1171" i="2"/>
  <c r="D1201" i="2"/>
  <c r="D1208" i="2"/>
  <c r="D1172" i="2"/>
  <c r="D1204" i="2"/>
  <c r="H841" i="2"/>
  <c r="H968" i="2"/>
  <c r="H1028" i="2"/>
  <c r="H1084" i="2"/>
  <c r="H1056" i="2"/>
  <c r="I6" i="2"/>
  <c r="I83" i="2" s="1"/>
  <c r="H11" i="2"/>
  <c r="D1088" i="2"/>
  <c r="D1101" i="2"/>
  <c r="D1092" i="2"/>
  <c r="D1105" i="2"/>
  <c r="D1096" i="2"/>
  <c r="D1109" i="2"/>
  <c r="D1046" i="2"/>
  <c r="D1050" i="2"/>
  <c r="D1054" i="2"/>
  <c r="D1060" i="2"/>
  <c r="D1062" i="2"/>
  <c r="D1064" i="2"/>
  <c r="D1066" i="2"/>
  <c r="D1068" i="2"/>
  <c r="D1072" i="2"/>
  <c r="D1016" i="2"/>
  <c r="D1024" i="2"/>
  <c r="D1100" i="2"/>
  <c r="D1087" i="2"/>
  <c r="D1104" i="2"/>
  <c r="D1091" i="2"/>
  <c r="D1108" i="2"/>
  <c r="D1095" i="2"/>
  <c r="D1045" i="2"/>
  <c r="D1049" i="2"/>
  <c r="D1053" i="2"/>
  <c r="D1058" i="2"/>
  <c r="D1073" i="2"/>
  <c r="D1077" i="2"/>
  <c r="D1081" i="2"/>
  <c r="I946" i="2"/>
  <c r="D1103" i="2"/>
  <c r="D1090" i="2"/>
  <c r="D1107" i="2"/>
  <c r="D1094" i="2"/>
  <c r="D1048" i="2"/>
  <c r="D1052" i="2"/>
  <c r="D1074" i="2"/>
  <c r="D1078" i="2"/>
  <c r="D1082" i="2"/>
  <c r="D1160" i="2"/>
  <c r="G1160" i="2"/>
  <c r="D1086" i="2"/>
  <c r="D1099" i="2"/>
  <c r="D1089" i="2"/>
  <c r="D1102" i="2"/>
  <c r="D1093" i="2"/>
  <c r="D1106" i="2"/>
  <c r="D1047" i="2"/>
  <c r="D1051" i="2"/>
  <c r="D1075" i="2"/>
  <c r="D1079" i="2"/>
  <c r="D1124" i="2"/>
  <c r="D1128" i="2"/>
  <c r="D1132" i="2"/>
  <c r="D1141" i="2"/>
  <c r="D1145" i="2"/>
  <c r="D1198" i="2"/>
  <c r="D1202" i="2"/>
  <c r="D1209" i="2"/>
  <c r="D1213" i="2"/>
  <c r="D1217" i="2"/>
  <c r="F1263" i="2"/>
  <c r="F1267" i="2"/>
  <c r="F1271" i="2"/>
  <c r="D1166" i="2"/>
  <c r="D1169" i="2"/>
  <c r="D1173" i="2"/>
  <c r="D1125" i="2"/>
  <c r="D1129" i="2"/>
  <c r="D1133" i="2"/>
  <c r="D1138" i="2"/>
  <c r="D1142" i="2"/>
  <c r="D1146" i="2"/>
  <c r="D1195" i="2"/>
  <c r="D1199" i="2"/>
  <c r="D1210" i="2"/>
  <c r="D1214" i="2"/>
  <c r="D1218" i="2"/>
  <c r="F1261" i="2"/>
  <c r="F1264" i="2"/>
  <c r="F1268" i="2"/>
  <c r="D1170" i="2"/>
  <c r="O1117" i="2"/>
  <c r="D1123" i="2"/>
  <c r="D1126" i="2"/>
  <c r="D1130" i="2"/>
  <c r="D1139" i="2"/>
  <c r="D1143" i="2"/>
  <c r="D1147" i="2"/>
  <c r="F1265" i="2"/>
  <c r="F1269" i="2"/>
  <c r="D1127" i="2"/>
  <c r="D1137" i="2"/>
  <c r="D1140" i="2"/>
  <c r="D1212" i="2"/>
  <c r="F1262" i="2"/>
  <c r="F1266" i="2"/>
  <c r="G1072" i="2"/>
  <c r="I1072" i="2"/>
  <c r="J1072" i="2"/>
  <c r="M1072" i="2"/>
  <c r="N1072" i="2"/>
  <c r="H1073" i="2"/>
  <c r="K1073" i="2"/>
  <c r="M1073" i="2"/>
  <c r="P1073" i="2"/>
  <c r="H1074" i="2"/>
  <c r="M1074" i="2"/>
  <c r="P1074" i="2"/>
  <c r="M1075" i="2"/>
  <c r="K1076" i="2"/>
  <c r="M1076" i="2"/>
  <c r="N1076" i="2"/>
  <c r="H1077" i="2"/>
  <c r="M1077" i="2"/>
  <c r="P1077" i="2"/>
  <c r="H1078" i="2"/>
  <c r="M1078" i="2"/>
  <c r="P1078" i="2"/>
  <c r="G1080" i="2"/>
  <c r="I1080" i="2"/>
  <c r="J1080" i="2"/>
  <c r="M1080" i="2"/>
  <c r="O1080" i="2"/>
  <c r="G1081" i="2"/>
  <c r="I1081" i="2"/>
  <c r="L1081" i="2"/>
  <c r="O1081" i="2"/>
  <c r="H1082" i="2"/>
  <c r="M1082" i="2"/>
  <c r="G1101" i="2"/>
  <c r="C1047" i="2"/>
  <c r="C1051" i="2"/>
  <c r="K1072" i="2"/>
  <c r="O1072" i="2"/>
  <c r="G1073" i="2"/>
  <c r="I1073" i="2"/>
  <c r="L1073" i="2"/>
  <c r="O1073" i="2"/>
  <c r="I1074" i="2"/>
  <c r="L1074" i="2"/>
  <c r="I1075" i="2"/>
  <c r="G1076" i="2"/>
  <c r="I1076" i="2"/>
  <c r="J1076" i="2"/>
  <c r="O1076" i="2"/>
  <c r="G1077" i="2"/>
  <c r="I1077" i="2"/>
  <c r="K1077" i="2"/>
  <c r="L1077" i="2"/>
  <c r="O1077" i="2"/>
  <c r="I1078" i="2"/>
  <c r="L1078" i="2"/>
  <c r="I1079" i="2"/>
  <c r="M1079" i="2"/>
  <c r="K1080" i="2"/>
  <c r="N1080" i="2"/>
  <c r="P1080" i="2"/>
  <c r="H1081" i="2"/>
  <c r="K1081" i="2"/>
  <c r="M1081" i="2"/>
  <c r="P1081" i="2"/>
  <c r="I1082" i="2"/>
  <c r="L1082" i="2"/>
  <c r="P1082" i="2"/>
  <c r="G1105" i="2"/>
  <c r="G1109" i="2"/>
  <c r="C170" i="18"/>
  <c r="C174" i="18"/>
  <c r="C178" i="18"/>
  <c r="C1046" i="2"/>
  <c r="C1050" i="2"/>
  <c r="C1054" i="2"/>
  <c r="J1073" i="2"/>
  <c r="N1073" i="2"/>
  <c r="J1074" i="2"/>
  <c r="N1074" i="2"/>
  <c r="J1075" i="2"/>
  <c r="N1075" i="2"/>
  <c r="J1077" i="2"/>
  <c r="N1077" i="2"/>
  <c r="J1078" i="2"/>
  <c r="N1078" i="2"/>
  <c r="J1079" i="2"/>
  <c r="N1079" i="2"/>
  <c r="J1081" i="2"/>
  <c r="N1081" i="2"/>
  <c r="J1082" i="2"/>
  <c r="N1082" i="2"/>
  <c r="C1045" i="2"/>
  <c r="C1049" i="2"/>
  <c r="C1053" i="2"/>
  <c r="G1074" i="2"/>
  <c r="K1074" i="2"/>
  <c r="O1074" i="2"/>
  <c r="G1075" i="2"/>
  <c r="K1075" i="2"/>
  <c r="O1075" i="2"/>
  <c r="G1078" i="2"/>
  <c r="K1078" i="2"/>
  <c r="O1078" i="2"/>
  <c r="G1079" i="2"/>
  <c r="K1079" i="2"/>
  <c r="O1079" i="2"/>
  <c r="G1082" i="2"/>
  <c r="K1082" i="2"/>
  <c r="O1082" i="2"/>
  <c r="C1044" i="2"/>
  <c r="C1048" i="2"/>
  <c r="C1052" i="2"/>
  <c r="H1072" i="2"/>
  <c r="L1072" i="2"/>
  <c r="P1072" i="2"/>
  <c r="H1075" i="2"/>
  <c r="L1075" i="2"/>
  <c r="P1075" i="2"/>
  <c r="H1076" i="2"/>
  <c r="L1076" i="2"/>
  <c r="P1076" i="2"/>
  <c r="H1079" i="2"/>
  <c r="L1079" i="2"/>
  <c r="P1079" i="2"/>
  <c r="H1080" i="2"/>
  <c r="L1080" i="2"/>
  <c r="G1100" i="2"/>
  <c r="G1102" i="2"/>
  <c r="G1103" i="2"/>
  <c r="G1104" i="2"/>
  <c r="G1106" i="2"/>
  <c r="G1107" i="2"/>
  <c r="G1108" i="2"/>
  <c r="C168" i="18"/>
  <c r="C171" i="18"/>
  <c r="C175" i="18"/>
  <c r="C172" i="18"/>
  <c r="C176" i="18"/>
  <c r="C169" i="18"/>
  <c r="C173" i="18"/>
  <c r="D1247" i="2"/>
  <c r="D968" i="2"/>
  <c r="D1253" i="2"/>
  <c r="B229" i="13" l="1"/>
  <c r="Q1118" i="2"/>
  <c r="N1117" i="2"/>
  <c r="T1117" i="2"/>
  <c r="AE16" i="2"/>
  <c r="AU16" i="2"/>
  <c r="AA16" i="2"/>
  <c r="S16" i="2"/>
  <c r="AY16" i="2"/>
  <c r="K16" i="2"/>
  <c r="AM16" i="2"/>
  <c r="G16" i="2"/>
  <c r="BC16" i="2"/>
  <c r="W16" i="2"/>
  <c r="AQ16" i="2"/>
  <c r="AD16" i="2"/>
  <c r="AW16" i="2"/>
  <c r="Q16" i="2"/>
  <c r="AZ16" i="2"/>
  <c r="T16" i="2"/>
  <c r="O16" i="2"/>
  <c r="AJ19" i="2"/>
  <c r="AJ53" i="2" s="1"/>
  <c r="AR18" i="2"/>
  <c r="AR52" i="2" s="1"/>
  <c r="O32" i="2"/>
  <c r="V18" i="2"/>
  <c r="V52" i="2" s="1"/>
  <c r="V20" i="2"/>
  <c r="V54" i="2" s="1"/>
  <c r="BB21" i="2"/>
  <c r="AW18" i="2"/>
  <c r="AW52" i="2" s="1"/>
  <c r="AZ32" i="2"/>
  <c r="AA20" i="2"/>
  <c r="AA54" i="2" s="1"/>
  <c r="AY21" i="2"/>
  <c r="AO18" i="2"/>
  <c r="AO52" i="2" s="1"/>
  <c r="AR32" i="2"/>
  <c r="AZ19" i="2"/>
  <c r="AZ53" i="2" s="1"/>
  <c r="AK21" i="2"/>
  <c r="AL20" i="2"/>
  <c r="AL54" i="2" s="1"/>
  <c r="AQ19" i="2"/>
  <c r="AQ53" i="2" s="1"/>
  <c r="AV18" i="2"/>
  <c r="AV52" i="2" s="1"/>
  <c r="AH16" i="2"/>
  <c r="AY32" i="2"/>
  <c r="S32" i="2"/>
  <c r="AF21" i="2"/>
  <c r="AG20" i="2"/>
  <c r="AG54" i="2" s="1"/>
  <c r="AH19" i="2"/>
  <c r="AH53" i="2" s="1"/>
  <c r="AI18" i="2"/>
  <c r="AI52" i="2" s="1"/>
  <c r="BA16" i="2"/>
  <c r="U16" i="2"/>
  <c r="AL32" i="2"/>
  <c r="AI21" i="2"/>
  <c r="AJ20" i="2"/>
  <c r="AJ54" i="2" s="1"/>
  <c r="AK19" i="2"/>
  <c r="AK53" i="2" s="1"/>
  <c r="AL18" i="2"/>
  <c r="AL52" i="2" s="1"/>
  <c r="BD16" i="2"/>
  <c r="X16" i="2"/>
  <c r="AO32" i="2"/>
  <c r="I32" i="2"/>
  <c r="M19" i="2"/>
  <c r="M53" i="2" s="1"/>
  <c r="L19" i="2"/>
  <c r="L53" i="2" s="1"/>
  <c r="I20" i="2"/>
  <c r="I54" i="2" s="1"/>
  <c r="Q19" i="2"/>
  <c r="Q53" i="2" s="1"/>
  <c r="P21" i="2"/>
  <c r="M21" i="2"/>
  <c r="T21" i="2"/>
  <c r="J19" i="2"/>
  <c r="J53" i="2" s="1"/>
  <c r="AP21" i="2"/>
  <c r="T32" i="2"/>
  <c r="AB19" i="2"/>
  <c r="AB53" i="2" s="1"/>
  <c r="AL21" i="2"/>
  <c r="L32" i="2"/>
  <c r="BC21" i="2"/>
  <c r="BA18" i="2"/>
  <c r="BA52" i="2" s="1"/>
  <c r="BD32" i="2"/>
  <c r="AC21" i="2"/>
  <c r="AD20" i="2"/>
  <c r="AD54" i="2" s="1"/>
  <c r="AI19" i="2"/>
  <c r="AI53" i="2" s="1"/>
  <c r="AN18" i="2"/>
  <c r="AN52" i="2" s="1"/>
  <c r="Z16" i="2"/>
  <c r="AQ32" i="2"/>
  <c r="K32" i="2"/>
  <c r="X21" i="2"/>
  <c r="Y20" i="2"/>
  <c r="Y54" i="2" s="1"/>
  <c r="Z19" i="2"/>
  <c r="Z53" i="2" s="1"/>
  <c r="AA18" i="2"/>
  <c r="AA52" i="2" s="1"/>
  <c r="AS16" i="2"/>
  <c r="M16" i="2"/>
  <c r="AD32" i="2"/>
  <c r="AA21" i="2"/>
  <c r="AB20" i="2"/>
  <c r="AB54" i="2" s="1"/>
  <c r="AC19" i="2"/>
  <c r="AC53" i="2" s="1"/>
  <c r="AD18" i="2"/>
  <c r="AD52" i="2" s="1"/>
  <c r="AV16" i="2"/>
  <c r="P16" i="2"/>
  <c r="AG32" i="2"/>
  <c r="N18" i="2"/>
  <c r="N52" i="2" s="1"/>
  <c r="M18" i="2"/>
  <c r="M52" i="2" s="1"/>
  <c r="K18" i="2"/>
  <c r="K52" i="2" s="1"/>
  <c r="R18" i="2"/>
  <c r="R52" i="2" s="1"/>
  <c r="R19" i="2"/>
  <c r="R53" i="2" s="1"/>
  <c r="H19" i="2"/>
  <c r="H53" i="2" s="1"/>
  <c r="N20" i="2"/>
  <c r="N54" i="2" s="1"/>
  <c r="U20" i="2"/>
  <c r="U54" i="2" s="1"/>
  <c r="AG18" i="2"/>
  <c r="AG52" i="2" s="1"/>
  <c r="AD19" i="2"/>
  <c r="AD53" i="2" s="1"/>
  <c r="AE21" i="2"/>
  <c r="AK32" i="2"/>
  <c r="I19" i="2"/>
  <c r="I53" i="2" s="1"/>
  <c r="AD21" i="2"/>
  <c r="BA21" i="2"/>
  <c r="AS18" i="2"/>
  <c r="AS52" i="2" s="1"/>
  <c r="AV32" i="2"/>
  <c r="BC20" i="2"/>
  <c r="BC54" i="2" s="1"/>
  <c r="AX21" i="2"/>
  <c r="AK18" i="2"/>
  <c r="AK52" i="2" s="1"/>
  <c r="AN32" i="2"/>
  <c r="Y21" i="2"/>
  <c r="Z20" i="2"/>
  <c r="Z54" i="2" s="1"/>
  <c r="AE19" i="2"/>
  <c r="AE53" i="2" s="1"/>
  <c r="AJ18" i="2"/>
  <c r="AJ52" i="2" s="1"/>
  <c r="BB16" i="2"/>
  <c r="V16" i="2"/>
  <c r="AM32" i="2"/>
  <c r="AZ21" i="2"/>
  <c r="BA20" i="2"/>
  <c r="BA54" i="2" s="1"/>
  <c r="BB19" i="2"/>
  <c r="BB53" i="2" s="1"/>
  <c r="BC18" i="2"/>
  <c r="BC52" i="2" s="1"/>
  <c r="AO16" i="2"/>
  <c r="I16" i="2"/>
  <c r="Z32" i="2"/>
  <c r="BD20" i="2"/>
  <c r="BD54" i="2" s="1"/>
  <c r="X20" i="2"/>
  <c r="X54" i="2" s="1"/>
  <c r="Y19" i="2"/>
  <c r="Y53" i="2" s="1"/>
  <c r="Z18" i="2"/>
  <c r="Z52" i="2" s="1"/>
  <c r="AR16" i="2"/>
  <c r="L16" i="2"/>
  <c r="AC32" i="2"/>
  <c r="R21" i="2"/>
  <c r="Q21" i="2"/>
  <c r="W21" i="2"/>
  <c r="J18" i="2"/>
  <c r="J52" i="2" s="1"/>
  <c r="S18" i="2"/>
  <c r="S52" i="2" s="1"/>
  <c r="Q18" i="2"/>
  <c r="Q52" i="2" s="1"/>
  <c r="W19" i="2"/>
  <c r="W53" i="2" s="1"/>
  <c r="M20" i="2"/>
  <c r="M54" i="2" s="1"/>
  <c r="AJ32" i="2"/>
  <c r="AM19" i="2"/>
  <c r="AM53" i="2" s="1"/>
  <c r="AC20" i="2"/>
  <c r="AC54" i="2" s="1"/>
  <c r="AH18" i="2"/>
  <c r="AH52" i="2" s="1"/>
  <c r="AU20" i="2"/>
  <c r="AU54" i="2" s="1"/>
  <c r="AU21" i="2"/>
  <c r="AC18" i="2"/>
  <c r="AC52" i="2" s="1"/>
  <c r="AF32" i="2"/>
  <c r="AM20" i="2"/>
  <c r="AM54" i="2" s="1"/>
  <c r="AQ21" i="2"/>
  <c r="X32" i="2"/>
  <c r="BB20" i="2"/>
  <c r="BB54" i="2" s="1"/>
  <c r="AA19" i="2"/>
  <c r="AA53" i="2" s="1"/>
  <c r="AF18" i="2"/>
  <c r="AF52" i="2" s="1"/>
  <c r="AX16" i="2"/>
  <c r="R16" i="2"/>
  <c r="AI32" i="2"/>
  <c r="AV21" i="2"/>
  <c r="AW20" i="2"/>
  <c r="AW54" i="2" s="1"/>
  <c r="AX19" i="2"/>
  <c r="AX53" i="2" s="1"/>
  <c r="AY18" i="2"/>
  <c r="AY52" i="2" s="1"/>
  <c r="AK16" i="2"/>
  <c r="BB32" i="2"/>
  <c r="V32" i="2"/>
  <c r="AZ20" i="2"/>
  <c r="AZ54" i="2" s="1"/>
  <c r="BA19" i="2"/>
  <c r="BA53" i="2" s="1"/>
  <c r="BB18" i="2"/>
  <c r="BB52" i="2" s="1"/>
  <c r="AN16" i="2"/>
  <c r="H16" i="2"/>
  <c r="Y32" i="2"/>
  <c r="J21" i="2"/>
  <c r="O21" i="2"/>
  <c r="T20" i="2"/>
  <c r="T54" i="2" s="1"/>
  <c r="V21" i="2"/>
  <c r="I18" i="2"/>
  <c r="I52" i="2" s="1"/>
  <c r="O19" i="2"/>
  <c r="O53" i="2" s="1"/>
  <c r="V19" i="2"/>
  <c r="V53" i="2" s="1"/>
  <c r="AB32" i="2"/>
  <c r="AH20" i="2"/>
  <c r="AH54" i="2" s="1"/>
  <c r="AB21" i="2"/>
  <c r="AH32" i="2"/>
  <c r="AG19" i="2"/>
  <c r="AG53" i="2" s="1"/>
  <c r="Q20" i="2"/>
  <c r="Q54" i="2" s="1"/>
  <c r="AE20" i="2"/>
  <c r="AE54" i="2" s="1"/>
  <c r="AM21" i="2"/>
  <c r="P32" i="2"/>
  <c r="BD19" i="2"/>
  <c r="BD53" i="2" s="1"/>
  <c r="AH21" i="2"/>
  <c r="H32" i="2"/>
  <c r="AX20" i="2"/>
  <c r="AX54" i="2" s="1"/>
  <c r="BC19" i="2"/>
  <c r="BC53" i="2" s="1"/>
  <c r="AB18" i="2"/>
  <c r="AB52" i="2" s="1"/>
  <c r="AT16" i="2"/>
  <c r="N16" i="2"/>
  <c r="AE32" i="2"/>
  <c r="AR21" i="2"/>
  <c r="AS20" i="2"/>
  <c r="AS54" i="2" s="1"/>
  <c r="AT19" i="2"/>
  <c r="AT53" i="2" s="1"/>
  <c r="AU18" i="2"/>
  <c r="AU52" i="2" s="1"/>
  <c r="AG16" i="2"/>
  <c r="AX32" i="2"/>
  <c r="R32" i="2"/>
  <c r="AV20" i="2"/>
  <c r="AV54" i="2" s="1"/>
  <c r="AW19" i="2"/>
  <c r="AW53" i="2" s="1"/>
  <c r="AX18" i="2"/>
  <c r="AX52" i="2" s="1"/>
  <c r="AJ16" i="2"/>
  <c r="BA32" i="2"/>
  <c r="U32" i="2"/>
  <c r="S21" i="2"/>
  <c r="S20" i="2"/>
  <c r="S54" i="2" s="1"/>
  <c r="I21" i="2"/>
  <c r="N21" i="2"/>
  <c r="K21" i="2"/>
  <c r="N19" i="2"/>
  <c r="N53" i="2" s="1"/>
  <c r="AW21" i="2"/>
  <c r="AR19" i="2"/>
  <c r="AR53" i="2" s="1"/>
  <c r="Y18" i="2"/>
  <c r="Y52" i="2" s="1"/>
  <c r="L21" i="2"/>
  <c r="AV19" i="2"/>
  <c r="AV53" i="2" s="1"/>
  <c r="AI16" i="2"/>
  <c r="Z21" i="2"/>
  <c r="AN19" i="2"/>
  <c r="AN53" i="2" s="1"/>
  <c r="AY20" i="2"/>
  <c r="AY54" i="2" s="1"/>
  <c r="AS21" i="2"/>
  <c r="AT20" i="2"/>
  <c r="AT54" i="2" s="1"/>
  <c r="AY19" i="2"/>
  <c r="AY53" i="2" s="1"/>
  <c r="BD18" i="2"/>
  <c r="BD52" i="2" s="1"/>
  <c r="X18" i="2"/>
  <c r="X52" i="2" s="1"/>
  <c r="AP16" i="2"/>
  <c r="J16" i="2"/>
  <c r="AA32" i="2"/>
  <c r="AN21" i="2"/>
  <c r="AO20" i="2"/>
  <c r="AO54" i="2" s="1"/>
  <c r="AP19" i="2"/>
  <c r="AP53" i="2" s="1"/>
  <c r="AQ18" i="2"/>
  <c r="AQ52" i="2" s="1"/>
  <c r="AC16" i="2"/>
  <c r="AT32" i="2"/>
  <c r="N32" i="2"/>
  <c r="AR20" i="2"/>
  <c r="AR54" i="2" s="1"/>
  <c r="AS19" i="2"/>
  <c r="AS53" i="2" s="1"/>
  <c r="AT18" i="2"/>
  <c r="AT52" i="2" s="1"/>
  <c r="AF16" i="2"/>
  <c r="AW32" i="2"/>
  <c r="Q32" i="2"/>
  <c r="L20" i="2"/>
  <c r="L54" i="2" s="1"/>
  <c r="K20" i="2"/>
  <c r="K54" i="2" s="1"/>
  <c r="L18" i="2"/>
  <c r="L52" i="2" s="1"/>
  <c r="P20" i="2"/>
  <c r="P54" i="2" s="1"/>
  <c r="S19" i="2"/>
  <c r="S53" i="2" s="1"/>
  <c r="W20" i="2"/>
  <c r="W54" i="2" s="1"/>
  <c r="R20" i="2"/>
  <c r="R54" i="2" s="1"/>
  <c r="P18" i="2"/>
  <c r="P52" i="2" s="1"/>
  <c r="W18" i="2"/>
  <c r="W52" i="2" s="1"/>
  <c r="AT21" i="2"/>
  <c r="AG21" i="2"/>
  <c r="AU32" i="2"/>
  <c r="AE18" i="2"/>
  <c r="AE52" i="2" s="1"/>
  <c r="AF20" i="2"/>
  <c r="AF54" i="2" s="1"/>
  <c r="U18" i="2"/>
  <c r="U52" i="2" s="1"/>
  <c r="P19" i="2"/>
  <c r="AF19" i="2"/>
  <c r="AF53" i="2" s="1"/>
  <c r="AQ20" i="2"/>
  <c r="AQ54" i="2" s="1"/>
  <c r="BD21" i="2"/>
  <c r="X19" i="2"/>
  <c r="X53" i="2" s="1"/>
  <c r="AI20" i="2"/>
  <c r="AI54" i="2" s="1"/>
  <c r="AO21" i="2"/>
  <c r="AP20" i="2"/>
  <c r="AP54" i="2" s="1"/>
  <c r="AU19" i="2"/>
  <c r="AU53" i="2" s="1"/>
  <c r="AZ18" i="2"/>
  <c r="AZ52" i="2" s="1"/>
  <c r="AL16" i="2"/>
  <c r="BC32" i="2"/>
  <c r="W32" i="2"/>
  <c r="AJ21" i="2"/>
  <c r="AK20" i="2"/>
  <c r="AK54" i="2" s="1"/>
  <c r="AL19" i="2"/>
  <c r="AL53" i="2" s="1"/>
  <c r="AM18" i="2"/>
  <c r="AM52" i="2" s="1"/>
  <c r="Y16" i="2"/>
  <c r="AP32" i="2"/>
  <c r="J32" i="2"/>
  <c r="AN20" i="2"/>
  <c r="AN54" i="2" s="1"/>
  <c r="AO19" i="2"/>
  <c r="AO53" i="2" s="1"/>
  <c r="AP18" i="2"/>
  <c r="AP52" i="2" s="1"/>
  <c r="AB16" i="2"/>
  <c r="AS32" i="2"/>
  <c r="M32" i="2"/>
  <c r="U19" i="2"/>
  <c r="U53" i="2" s="1"/>
  <c r="T19" i="2"/>
  <c r="T53" i="2" s="1"/>
  <c r="H21" i="2"/>
  <c r="H20" i="2"/>
  <c r="H54" i="2" s="1"/>
  <c r="T18" i="2"/>
  <c r="T52" i="2" s="1"/>
  <c r="O20" i="2"/>
  <c r="O54" i="2" s="1"/>
  <c r="U21" i="2"/>
  <c r="H18" i="2"/>
  <c r="H52" i="2" s="1"/>
  <c r="O18" i="2"/>
  <c r="O52" i="2" s="1"/>
  <c r="K479" i="2"/>
  <c r="B364" i="2"/>
  <c r="B365" i="2" s="1"/>
  <c r="J480" i="2"/>
  <c r="B338" i="2"/>
  <c r="B339" i="2" s="1"/>
  <c r="B340" i="2" s="1"/>
  <c r="D210" i="13"/>
  <c r="C13" i="18"/>
  <c r="C6" i="18"/>
  <c r="D206" i="13"/>
  <c r="C12" i="18"/>
  <c r="C15" i="18"/>
  <c r="C11" i="18"/>
  <c r="D213" i="13"/>
  <c r="C14" i="18"/>
  <c r="C10" i="18"/>
  <c r="G12" i="2"/>
  <c r="G13" i="2" s="1"/>
  <c r="E75" i="2"/>
  <c r="E74" i="2"/>
  <c r="E12" i="2"/>
  <c r="E71" i="2"/>
  <c r="D330" i="2"/>
  <c r="P203" i="2"/>
  <c r="D327" i="2"/>
  <c r="B178" i="18"/>
  <c r="B172" i="18"/>
  <c r="B170" i="18"/>
  <c r="B173" i="18"/>
  <c r="B168" i="18"/>
  <c r="B171" i="18"/>
  <c r="B174" i="18"/>
  <c r="B176" i="18"/>
  <c r="B177" i="18"/>
  <c r="B169" i="18"/>
  <c r="BD67" i="2"/>
  <c r="G1159" i="2"/>
  <c r="D1159" i="2"/>
  <c r="G1162" i="2"/>
  <c r="D1162" i="2"/>
  <c r="D1157" i="2"/>
  <c r="G1157" i="2"/>
  <c r="D1017" i="2"/>
  <c r="D1025" i="2"/>
  <c r="J946" i="2"/>
  <c r="G1155" i="2"/>
  <c r="D1155" i="2"/>
  <c r="G1158" i="2"/>
  <c r="D1158" i="2"/>
  <c r="D1153" i="2"/>
  <c r="G1153" i="2"/>
  <c r="I968" i="2"/>
  <c r="I1028" i="2"/>
  <c r="I1084" i="2"/>
  <c r="I1056" i="2"/>
  <c r="I841" i="2"/>
  <c r="J6" i="2"/>
  <c r="J83" i="2" s="1"/>
  <c r="I46" i="2"/>
  <c r="I11" i="2"/>
  <c r="D1156" i="2"/>
  <c r="G1156" i="2"/>
  <c r="D1152" i="2"/>
  <c r="G1152" i="2"/>
  <c r="G1154" i="2"/>
  <c r="D1154" i="2"/>
  <c r="D1161" i="2"/>
  <c r="G1161" i="2"/>
  <c r="AN67" i="2"/>
  <c r="X67" i="2"/>
  <c r="H67" i="2"/>
  <c r="Y67" i="2"/>
  <c r="Z67" i="2"/>
  <c r="B226" i="13"/>
  <c r="S67" i="2"/>
  <c r="AY67" i="2"/>
  <c r="AB67" i="2"/>
  <c r="B220" i="13"/>
  <c r="P67" i="2"/>
  <c r="B222" i="13"/>
  <c r="M67" i="2"/>
  <c r="AC67" i="2"/>
  <c r="AS67" i="2"/>
  <c r="N67" i="2"/>
  <c r="AD67" i="2"/>
  <c r="AT67" i="2"/>
  <c r="G23" i="2"/>
  <c r="B227" i="13"/>
  <c r="W67" i="2"/>
  <c r="AM67" i="2"/>
  <c r="BC67" i="2"/>
  <c r="L67" i="2"/>
  <c r="I67" i="2"/>
  <c r="AO67" i="2"/>
  <c r="J67" i="2"/>
  <c r="AP67" i="2"/>
  <c r="AI67" i="2"/>
  <c r="G53" i="2"/>
  <c r="AZ67" i="2"/>
  <c r="B221" i="13"/>
  <c r="Q67" i="2"/>
  <c r="AG67" i="2"/>
  <c r="AW67" i="2"/>
  <c r="R67" i="2"/>
  <c r="AH67" i="2"/>
  <c r="AX67" i="2"/>
  <c r="K67" i="2"/>
  <c r="AA67" i="2"/>
  <c r="AQ67" i="2"/>
  <c r="T67" i="2"/>
  <c r="AF67" i="2"/>
  <c r="AJ67" i="2"/>
  <c r="AV67" i="2"/>
  <c r="U67" i="2"/>
  <c r="BA67" i="2"/>
  <c r="V67" i="2"/>
  <c r="AL67" i="2"/>
  <c r="BB67" i="2"/>
  <c r="O67" i="2"/>
  <c r="AE67" i="2"/>
  <c r="AU67" i="2"/>
  <c r="AR67" i="2"/>
  <c r="B223" i="13"/>
  <c r="B224" i="13"/>
  <c r="D12" i="18" l="1"/>
  <c r="AX22" i="2"/>
  <c r="AI22" i="2"/>
  <c r="U22" i="2"/>
  <c r="U24" i="2" s="1"/>
  <c r="W22" i="2"/>
  <c r="BD22" i="2"/>
  <c r="AQ22" i="2"/>
  <c r="BC22" i="2"/>
  <c r="M22" i="2"/>
  <c r="H22" i="2"/>
  <c r="H56" i="2" s="1"/>
  <c r="AS22" i="2"/>
  <c r="AV22" i="2"/>
  <c r="AV56" i="2" s="1"/>
  <c r="AD22" i="2"/>
  <c r="AD56" i="2" s="1"/>
  <c r="I22" i="2"/>
  <c r="L22" i="2"/>
  <c r="AB22" i="2"/>
  <c r="AG22" i="2"/>
  <c r="AP22" i="2"/>
  <c r="AC22" i="2"/>
  <c r="Z22" i="2"/>
  <c r="Z24" i="2" s="1"/>
  <c r="R22" i="2"/>
  <c r="AY22" i="2"/>
  <c r="N22" i="2"/>
  <c r="BA22" i="2"/>
  <c r="X22" i="2"/>
  <c r="Q22" i="2"/>
  <c r="AH22" i="2"/>
  <c r="AZ22" i="2"/>
  <c r="V22" i="2"/>
  <c r="O22" i="2"/>
  <c r="AF22" i="2"/>
  <c r="Y22" i="2"/>
  <c r="K22" i="2"/>
  <c r="AK22" i="2"/>
  <c r="AL22" i="2"/>
  <c r="AE22" i="2"/>
  <c r="AJ22" i="2"/>
  <c r="AO22" i="2"/>
  <c r="S22" i="2"/>
  <c r="T22" i="2"/>
  <c r="AT22" i="2"/>
  <c r="AM22" i="2"/>
  <c r="P22" i="2"/>
  <c r="AW22" i="2"/>
  <c r="AA22" i="2"/>
  <c r="AR22" i="2"/>
  <c r="BB22" i="2"/>
  <c r="AU22" i="2"/>
  <c r="AN22" i="2"/>
  <c r="N1118" i="2"/>
  <c r="Q1207" i="2"/>
  <c r="S1118" i="2"/>
  <c r="O1118" i="2"/>
  <c r="T1118" i="2"/>
  <c r="R1118" i="2"/>
  <c r="P1118" i="2"/>
  <c r="Q1179" i="2"/>
  <c r="U1117" i="2"/>
  <c r="U1118" i="2" s="1"/>
  <c r="M1117" i="2"/>
  <c r="M1118" i="2" s="1"/>
  <c r="L478" i="2"/>
  <c r="I478" i="2"/>
  <c r="AD478" i="2"/>
  <c r="O478" i="2"/>
  <c r="AK478" i="2"/>
  <c r="R478" i="2"/>
  <c r="AL478" i="2"/>
  <c r="BB478" i="2"/>
  <c r="H478" i="2"/>
  <c r="AZ478" i="2"/>
  <c r="W478" i="2"/>
  <c r="AX478" i="2"/>
  <c r="K478" i="2"/>
  <c r="V478" i="2"/>
  <c r="AU478" i="2"/>
  <c r="AM478" i="2"/>
  <c r="P478" i="2"/>
  <c r="X478" i="2"/>
  <c r="M478" i="2"/>
  <c r="BA478" i="2"/>
  <c r="AO478" i="2"/>
  <c r="J478" i="2"/>
  <c r="AA478" i="2"/>
  <c r="U478" i="2"/>
  <c r="AQ478" i="2"/>
  <c r="BD478" i="2"/>
  <c r="AC478" i="2"/>
  <c r="AJ478" i="2"/>
  <c r="AG478" i="2"/>
  <c r="N478" i="2"/>
  <c r="AR478" i="2"/>
  <c r="AB478" i="2"/>
  <c r="AH478" i="2"/>
  <c r="T478" i="2"/>
  <c r="AP478" i="2"/>
  <c r="AF478" i="2"/>
  <c r="Q478" i="2"/>
  <c r="BC478" i="2"/>
  <c r="AS478" i="2"/>
  <c r="AV478" i="2"/>
  <c r="AW478" i="2"/>
  <c r="AE478" i="2"/>
  <c r="AT478" i="2"/>
  <c r="Y478" i="2"/>
  <c r="AY478" i="2"/>
  <c r="S478" i="2"/>
  <c r="Z478" i="2"/>
  <c r="AN478" i="2"/>
  <c r="AI478" i="2"/>
  <c r="BD55" i="2"/>
  <c r="BD356" i="2" s="1"/>
  <c r="AG55" i="2"/>
  <c r="AG356" i="2" s="1"/>
  <c r="AW55" i="2"/>
  <c r="AW481" i="2" s="1"/>
  <c r="W55" i="2"/>
  <c r="W356" i="2" s="1"/>
  <c r="AZ55" i="2"/>
  <c r="AZ356" i="2" s="1"/>
  <c r="AK55" i="2"/>
  <c r="AK356" i="2" s="1"/>
  <c r="BB55" i="2"/>
  <c r="BB356" i="2" s="1"/>
  <c r="AT55" i="2"/>
  <c r="AT356" i="2" s="1"/>
  <c r="V55" i="2"/>
  <c r="V356" i="2" s="1"/>
  <c r="AV55" i="2"/>
  <c r="AV356" i="2" s="1"/>
  <c r="AQ55" i="2"/>
  <c r="AQ356" i="2" s="1"/>
  <c r="Q55" i="2"/>
  <c r="Q356" i="2" s="1"/>
  <c r="AC55" i="2"/>
  <c r="AC356" i="2" s="1"/>
  <c r="AP55" i="2"/>
  <c r="AP356" i="2" s="1"/>
  <c r="AF55" i="2"/>
  <c r="AF481" i="2" s="1"/>
  <c r="Z55" i="2"/>
  <c r="Z356" i="2" s="1"/>
  <c r="K55" i="2"/>
  <c r="K356" i="2" s="1"/>
  <c r="R55" i="2"/>
  <c r="R356" i="2" s="1"/>
  <c r="AX55" i="2"/>
  <c r="AX356" i="2" s="1"/>
  <c r="AE55" i="2"/>
  <c r="AE356" i="2" s="1"/>
  <c r="X55" i="2"/>
  <c r="X356" i="2" s="1"/>
  <c r="AI55" i="2"/>
  <c r="AI356" i="2" s="1"/>
  <c r="U55" i="2"/>
  <c r="U356" i="2" s="1"/>
  <c r="N55" i="2"/>
  <c r="N356" i="2" s="1"/>
  <c r="AR55" i="2"/>
  <c r="AR356" i="2" s="1"/>
  <c r="AH55" i="2"/>
  <c r="AH356" i="2" s="1"/>
  <c r="AB55" i="2"/>
  <c r="AB481" i="2" s="1"/>
  <c r="O55" i="2"/>
  <c r="O481" i="2" s="1"/>
  <c r="AA55" i="2"/>
  <c r="AA356" i="2" s="1"/>
  <c r="I55" i="2"/>
  <c r="I481" i="2" s="1"/>
  <c r="J55" i="2"/>
  <c r="J356" i="2" s="1"/>
  <c r="BC55" i="2"/>
  <c r="BC356" i="2" s="1"/>
  <c r="T55" i="2"/>
  <c r="T356" i="2" s="1"/>
  <c r="AY55" i="2"/>
  <c r="AY356" i="2" s="1"/>
  <c r="AO55" i="2"/>
  <c r="AO356" i="2" s="1"/>
  <c r="L55" i="2"/>
  <c r="L356" i="2" s="1"/>
  <c r="AU55" i="2"/>
  <c r="AU356" i="2" s="1"/>
  <c r="M55" i="2"/>
  <c r="M356" i="2" s="1"/>
  <c r="AJ55" i="2"/>
  <c r="AJ356" i="2" s="1"/>
  <c r="S55" i="2"/>
  <c r="S356" i="2" s="1"/>
  <c r="AM55" i="2"/>
  <c r="AM356" i="2" s="1"/>
  <c r="BA55" i="2"/>
  <c r="BA356" i="2" s="1"/>
  <c r="AL55" i="2"/>
  <c r="AL356" i="2" s="1"/>
  <c r="P55" i="2"/>
  <c r="P356" i="2" s="1"/>
  <c r="H55" i="2"/>
  <c r="H481" i="2" s="1"/>
  <c r="AN55" i="2"/>
  <c r="AN356" i="2" s="1"/>
  <c r="AS55" i="2"/>
  <c r="AS356" i="2" s="1"/>
  <c r="Y55" i="2"/>
  <c r="Y356" i="2" s="1"/>
  <c r="AD55" i="2"/>
  <c r="AD356" i="2" s="1"/>
  <c r="U479" i="2"/>
  <c r="AX480" i="2"/>
  <c r="AM479" i="2"/>
  <c r="L479" i="2"/>
  <c r="AT480" i="2"/>
  <c r="T479" i="2"/>
  <c r="AR480" i="2"/>
  <c r="AY480" i="2"/>
  <c r="BC479" i="2"/>
  <c r="Q480" i="2"/>
  <c r="AW480" i="2"/>
  <c r="AC480" i="2"/>
  <c r="X480" i="2"/>
  <c r="I479" i="2"/>
  <c r="R479" i="2"/>
  <c r="Z479" i="2"/>
  <c r="AD480" i="2"/>
  <c r="I480" i="2"/>
  <c r="AK479" i="2"/>
  <c r="AG480" i="2"/>
  <c r="N479" i="2"/>
  <c r="BD480" i="2"/>
  <c r="AZ479" i="2"/>
  <c r="AF479" i="2"/>
  <c r="AS480" i="2"/>
  <c r="AZ480" i="2"/>
  <c r="AB480" i="2"/>
  <c r="M479" i="2"/>
  <c r="K480" i="2"/>
  <c r="AU479" i="2"/>
  <c r="AW479" i="2"/>
  <c r="M480" i="2"/>
  <c r="BC480" i="2"/>
  <c r="AD479" i="2"/>
  <c r="J479" i="2"/>
  <c r="BA479" i="2"/>
  <c r="V480" i="2"/>
  <c r="L480" i="2"/>
  <c r="T480" i="2"/>
  <c r="AM480" i="2"/>
  <c r="O480" i="2"/>
  <c r="AL479" i="2"/>
  <c r="AP480" i="2"/>
  <c r="R480" i="2"/>
  <c r="AV479" i="2"/>
  <c r="AV480" i="2"/>
  <c r="BD479" i="2"/>
  <c r="AH480" i="2"/>
  <c r="W479" i="2"/>
  <c r="AQ480" i="2"/>
  <c r="AT479" i="2"/>
  <c r="AC479" i="2"/>
  <c r="AK480" i="2"/>
  <c r="AF480" i="2"/>
  <c r="W480" i="2"/>
  <c r="AP479" i="2"/>
  <c r="AY479" i="2"/>
  <c r="S480" i="2"/>
  <c r="AE479" i="2"/>
  <c r="U480" i="2"/>
  <c r="AA480" i="2"/>
  <c r="AJ479" i="2"/>
  <c r="AG479" i="2"/>
  <c r="AO479" i="2"/>
  <c r="AO480" i="2"/>
  <c r="V479" i="2"/>
  <c r="AA479" i="2"/>
  <c r="BB479" i="2"/>
  <c r="Z480" i="2"/>
  <c r="N480" i="2"/>
  <c r="AQ479" i="2"/>
  <c r="AN479" i="2"/>
  <c r="Y480" i="2"/>
  <c r="AJ480" i="2"/>
  <c r="H480" i="2"/>
  <c r="AI480" i="2"/>
  <c r="S479" i="2"/>
  <c r="AU480" i="2"/>
  <c r="AN480" i="2"/>
  <c r="X479" i="2"/>
  <c r="P480" i="2"/>
  <c r="AS479" i="2"/>
  <c r="AR479" i="2"/>
  <c r="AE480" i="2"/>
  <c r="O479" i="2"/>
  <c r="AX479" i="2"/>
  <c r="BB480" i="2"/>
  <c r="Y479" i="2"/>
  <c r="BA480" i="2"/>
  <c r="H479" i="2"/>
  <c r="AI479" i="2"/>
  <c r="AB479" i="2"/>
  <c r="Q479" i="2"/>
  <c r="AH479" i="2"/>
  <c r="AL480" i="2"/>
  <c r="C19" i="2"/>
  <c r="P53" i="2"/>
  <c r="G32" i="2"/>
  <c r="C32" i="2" s="1"/>
  <c r="G14" i="2"/>
  <c r="G22" i="2"/>
  <c r="G56" i="2" s="1"/>
  <c r="B341" i="2"/>
  <c r="B342" i="2" s="1"/>
  <c r="B343" i="2" s="1"/>
  <c r="B366" i="2"/>
  <c r="B367" i="2" s="1"/>
  <c r="B368" i="2" s="1"/>
  <c r="B369" i="2" s="1"/>
  <c r="B370" i="2" s="1"/>
  <c r="B371" i="2" s="1"/>
  <c r="B372" i="2" s="1"/>
  <c r="B373" i="2" s="1"/>
  <c r="B374" i="2" s="1"/>
  <c r="B375" i="2" s="1"/>
  <c r="B376" i="2" s="1"/>
  <c r="B377" i="2" s="1"/>
  <c r="AL50" i="2"/>
  <c r="AL116" i="2" s="1"/>
  <c r="R50" i="2"/>
  <c r="R116" i="2" s="1"/>
  <c r="AR50" i="2"/>
  <c r="AR116" i="2" s="1"/>
  <c r="AV50" i="2"/>
  <c r="AV116" i="2" s="1"/>
  <c r="AJ50" i="2"/>
  <c r="AJ116" i="2" s="1"/>
  <c r="P50" i="2"/>
  <c r="P116" i="2" s="1"/>
  <c r="H50" i="2"/>
  <c r="H116" i="2" s="1"/>
  <c r="AW50" i="2"/>
  <c r="AW116" i="2" s="1"/>
  <c r="AM50" i="2"/>
  <c r="AM116" i="2" s="1"/>
  <c r="N50" i="2"/>
  <c r="N116" i="2" s="1"/>
  <c r="AT50" i="2"/>
  <c r="AT116" i="2" s="1"/>
  <c r="M50" i="2"/>
  <c r="M116" i="2" s="1"/>
  <c r="O50" i="2"/>
  <c r="O116" i="2" s="1"/>
  <c r="W50" i="2"/>
  <c r="W116" i="2" s="1"/>
  <c r="J50" i="2"/>
  <c r="J116" i="2" s="1"/>
  <c r="AQ50" i="2"/>
  <c r="AQ116" i="2" s="1"/>
  <c r="AY50" i="2"/>
  <c r="AY116" i="2" s="1"/>
  <c r="AA50" i="2"/>
  <c r="AA116" i="2" s="1"/>
  <c r="AC50" i="2"/>
  <c r="AC116" i="2" s="1"/>
  <c r="BA50" i="2"/>
  <c r="BA116" i="2" s="1"/>
  <c r="Z50" i="2"/>
  <c r="Z116" i="2" s="1"/>
  <c r="Q50" i="2"/>
  <c r="Q116" i="2" s="1"/>
  <c r="L50" i="2"/>
  <c r="L116" i="2" s="1"/>
  <c r="V50" i="2"/>
  <c r="V116" i="2" s="1"/>
  <c r="X50" i="2"/>
  <c r="X116" i="2" s="1"/>
  <c r="AS50" i="2"/>
  <c r="AS116" i="2" s="1"/>
  <c r="AP50" i="2"/>
  <c r="AP116" i="2" s="1"/>
  <c r="AN50" i="2"/>
  <c r="AN116" i="2" s="1"/>
  <c r="AK50" i="2"/>
  <c r="AK116" i="2" s="1"/>
  <c r="AH50" i="2"/>
  <c r="AH116" i="2" s="1"/>
  <c r="AB50" i="2"/>
  <c r="AB116" i="2" s="1"/>
  <c r="AZ50" i="2"/>
  <c r="AZ116" i="2" s="1"/>
  <c r="AU50" i="2"/>
  <c r="AU116" i="2" s="1"/>
  <c r="Y50" i="2"/>
  <c r="Y116" i="2" s="1"/>
  <c r="AE50" i="2"/>
  <c r="AE116" i="2" s="1"/>
  <c r="BB50" i="2"/>
  <c r="BB116" i="2" s="1"/>
  <c r="AD50" i="2"/>
  <c r="AD116" i="2" s="1"/>
  <c r="BC50" i="2"/>
  <c r="BC116" i="2" s="1"/>
  <c r="AI50" i="2"/>
  <c r="AI116" i="2" s="1"/>
  <c r="AO50" i="2"/>
  <c r="AO116" i="2" s="1"/>
  <c r="U50" i="2"/>
  <c r="U116" i="2" s="1"/>
  <c r="AF50" i="2"/>
  <c r="AF116" i="2" s="1"/>
  <c r="K50" i="2"/>
  <c r="K116" i="2" s="1"/>
  <c r="BD50" i="2"/>
  <c r="BD116" i="2" s="1"/>
  <c r="T50" i="2"/>
  <c r="T116" i="2" s="1"/>
  <c r="S50" i="2"/>
  <c r="S116" i="2" s="1"/>
  <c r="AX50" i="2"/>
  <c r="AX116" i="2" s="1"/>
  <c r="I50" i="2"/>
  <c r="I116" i="2" s="1"/>
  <c r="AG50" i="2"/>
  <c r="AG116" i="2" s="1"/>
  <c r="G479" i="2"/>
  <c r="G33" i="2"/>
  <c r="D6" i="18"/>
  <c r="C12" i="2"/>
  <c r="AD70" i="2" s="1"/>
  <c r="AD72" i="2" s="1"/>
  <c r="J203" i="2"/>
  <c r="L203" i="2"/>
  <c r="BD203" i="2"/>
  <c r="AZ203" i="2"/>
  <c r="AV203" i="2"/>
  <c r="AG203" i="2"/>
  <c r="V202" i="2"/>
  <c r="AV202" i="2"/>
  <c r="AN202" i="2"/>
  <c r="K202" i="2"/>
  <c r="O203" i="2"/>
  <c r="BC202" i="2"/>
  <c r="AO202" i="2"/>
  <c r="AG202" i="2"/>
  <c r="L202" i="2"/>
  <c r="AI202" i="2"/>
  <c r="AX203" i="2"/>
  <c r="J202" i="2"/>
  <c r="R202" i="2"/>
  <c r="O202" i="2"/>
  <c r="AY202" i="2"/>
  <c r="AC202" i="2"/>
  <c r="AL202" i="2"/>
  <c r="AQ202" i="2"/>
  <c r="AE202" i="2"/>
  <c r="AH203" i="2"/>
  <c r="AT202" i="2"/>
  <c r="Q203" i="2"/>
  <c r="W203" i="2"/>
  <c r="G202" i="2"/>
  <c r="AW203" i="2"/>
  <c r="I202" i="2"/>
  <c r="AS203" i="2"/>
  <c r="AD203" i="2"/>
  <c r="AQ203" i="2"/>
  <c r="H203" i="2"/>
  <c r="AK203" i="2"/>
  <c r="AL203" i="2"/>
  <c r="AI203" i="2"/>
  <c r="AX202" i="2"/>
  <c r="Y203" i="2"/>
  <c r="T203" i="2"/>
  <c r="T202" i="2"/>
  <c r="N202" i="2"/>
  <c r="AP203" i="2"/>
  <c r="AJ203" i="2"/>
  <c r="U203" i="2"/>
  <c r="AS202" i="2"/>
  <c r="AC203" i="2"/>
  <c r="N203" i="2"/>
  <c r="K203" i="2"/>
  <c r="AP202" i="2"/>
  <c r="G203" i="2"/>
  <c r="BD202" i="2"/>
  <c r="S203" i="2"/>
  <c r="AH202" i="2"/>
  <c r="Z203" i="2"/>
  <c r="AA202" i="2"/>
  <c r="AR202" i="2"/>
  <c r="M203" i="2"/>
  <c r="Y202" i="2"/>
  <c r="AB203" i="2"/>
  <c r="AB202" i="2"/>
  <c r="BC203" i="2"/>
  <c r="W202" i="2"/>
  <c r="R203" i="2"/>
  <c r="AD202" i="2"/>
  <c r="P202" i="2"/>
  <c r="U202" i="2"/>
  <c r="H202" i="2"/>
  <c r="X203" i="2"/>
  <c r="X202" i="2"/>
  <c r="BB203" i="2"/>
  <c r="AY203" i="2"/>
  <c r="AF203" i="2"/>
  <c r="I203" i="2"/>
  <c r="M202" i="2"/>
  <c r="BA202" i="2"/>
  <c r="AM203" i="2"/>
  <c r="AU202" i="2"/>
  <c r="AZ202" i="2"/>
  <c r="AU203" i="2"/>
  <c r="S202" i="2"/>
  <c r="AO203" i="2"/>
  <c r="AK202" i="2"/>
  <c r="BB202" i="2"/>
  <c r="AM202" i="2"/>
  <c r="AJ202" i="2"/>
  <c r="AE203" i="2"/>
  <c r="AR203" i="2"/>
  <c r="AF202" i="2"/>
  <c r="AT203" i="2"/>
  <c r="AA203" i="2"/>
  <c r="Z202" i="2"/>
  <c r="AN203" i="2"/>
  <c r="BA203" i="2"/>
  <c r="V203" i="2"/>
  <c r="AW202" i="2"/>
  <c r="Q202" i="2"/>
  <c r="J444" i="2"/>
  <c r="H444" i="2"/>
  <c r="I444" i="2"/>
  <c r="J1028" i="2"/>
  <c r="J1084" i="2"/>
  <c r="J1056" i="2"/>
  <c r="J841" i="2"/>
  <c r="J968" i="2"/>
  <c r="J46" i="2"/>
  <c r="J11" i="2"/>
  <c r="K6" i="2"/>
  <c r="D1026" i="2"/>
  <c r="D1018" i="2"/>
  <c r="K946" i="2"/>
  <c r="D13" i="18"/>
  <c r="G50" i="2"/>
  <c r="C16" i="2"/>
  <c r="G55" i="2"/>
  <c r="G356" i="2" s="1"/>
  <c r="C21" i="2"/>
  <c r="G52" i="2"/>
  <c r="C18" i="2"/>
  <c r="G57" i="2"/>
  <c r="G66" i="2" s="1"/>
  <c r="C23" i="2"/>
  <c r="AD406" i="2" l="1"/>
  <c r="AV406" i="2"/>
  <c r="H406" i="2"/>
  <c r="G406" i="2"/>
  <c r="D14" i="18"/>
  <c r="J22" i="2"/>
  <c r="J24" i="2" s="1"/>
  <c r="T1207" i="2"/>
  <c r="T1179" i="2"/>
  <c r="N1179" i="2"/>
  <c r="N1207" i="2"/>
  <c r="U1179" i="2"/>
  <c r="U1207" i="2"/>
  <c r="O1179" i="2"/>
  <c r="O1207" i="2"/>
  <c r="M1179" i="2"/>
  <c r="M1207" i="2"/>
  <c r="P1179" i="2"/>
  <c r="P1207" i="2"/>
  <c r="S1207" i="2"/>
  <c r="S1179" i="2"/>
  <c r="R1207" i="2"/>
  <c r="R1179" i="2"/>
  <c r="L1117" i="2"/>
  <c r="L1118" i="2" s="1"/>
  <c r="L1179" i="2" s="1"/>
  <c r="V1117" i="2"/>
  <c r="V1118" i="2" s="1"/>
  <c r="V1207" i="2" s="1"/>
  <c r="V481" i="2"/>
  <c r="AB356" i="2"/>
  <c r="AW356" i="2"/>
  <c r="AQ481" i="2"/>
  <c r="AX481" i="2"/>
  <c r="AO481" i="2"/>
  <c r="AL481" i="2"/>
  <c r="AR481" i="2"/>
  <c r="S481" i="2"/>
  <c r="AV481" i="2"/>
  <c r="T481" i="2"/>
  <c r="AM481" i="2"/>
  <c r="K83" i="2"/>
  <c r="K481" i="2"/>
  <c r="R481" i="2"/>
  <c r="AY481" i="2"/>
  <c r="BD481" i="2"/>
  <c r="AD481" i="2"/>
  <c r="J481" i="2"/>
  <c r="AJ481" i="2"/>
  <c r="Q481" i="2"/>
  <c r="AF356" i="2"/>
  <c r="AS481" i="2"/>
  <c r="BB481" i="2"/>
  <c r="U481" i="2"/>
  <c r="L481" i="2"/>
  <c r="AZ481" i="2"/>
  <c r="X481" i="2"/>
  <c r="AU481" i="2"/>
  <c r="AC481" i="2"/>
  <c r="AA481" i="2"/>
  <c r="H356" i="2"/>
  <c r="AH481" i="2"/>
  <c r="P481" i="2"/>
  <c r="AN481" i="2"/>
  <c r="AP481" i="2"/>
  <c r="AI481" i="2"/>
  <c r="AK481" i="2"/>
  <c r="BA481" i="2"/>
  <c r="AE481" i="2"/>
  <c r="I356" i="2"/>
  <c r="W481" i="2"/>
  <c r="M481" i="2"/>
  <c r="AG481" i="2"/>
  <c r="Y481" i="2"/>
  <c r="AT481" i="2"/>
  <c r="Z481" i="2"/>
  <c r="BC481" i="2"/>
  <c r="N481" i="2"/>
  <c r="O356" i="2"/>
  <c r="G329" i="2"/>
  <c r="P479" i="2"/>
  <c r="C479" i="2" s="1"/>
  <c r="C53" i="2"/>
  <c r="X70" i="2"/>
  <c r="X72" i="2" s="1"/>
  <c r="X74" i="2" s="1"/>
  <c r="Y70" i="2"/>
  <c r="Y72" i="2" s="1"/>
  <c r="AH70" i="2"/>
  <c r="AH72" i="2" s="1"/>
  <c r="AQ70" i="2"/>
  <c r="AQ72" i="2" s="1"/>
  <c r="AQ74" i="2" s="1"/>
  <c r="AZ70" i="2"/>
  <c r="AZ72" i="2" s="1"/>
  <c r="AZ74" i="2" s="1"/>
  <c r="AU70" i="2"/>
  <c r="AU72" i="2" s="1"/>
  <c r="AF70" i="2"/>
  <c r="AF72" i="2" s="1"/>
  <c r="AG70" i="2"/>
  <c r="AG72" i="2" s="1"/>
  <c r="AP70" i="2"/>
  <c r="AP72" i="2" s="1"/>
  <c r="AP74" i="2" s="1"/>
  <c r="AY70" i="2"/>
  <c r="AY72" i="2" s="1"/>
  <c r="AY74" i="2" s="1"/>
  <c r="O70" i="2"/>
  <c r="O72" i="2" s="1"/>
  <c r="BC70" i="2"/>
  <c r="BC72" i="2" s="1"/>
  <c r="BC74" i="2" s="1"/>
  <c r="AN70" i="2"/>
  <c r="AN72" i="2" s="1"/>
  <c r="AN74" i="2" s="1"/>
  <c r="AO70" i="2"/>
  <c r="AO72" i="2" s="1"/>
  <c r="AX70" i="2"/>
  <c r="AX72" i="2" s="1"/>
  <c r="G70" i="2"/>
  <c r="G72" i="2" s="1"/>
  <c r="M70" i="2"/>
  <c r="M72" i="2" s="1"/>
  <c r="M74" i="2" s="1"/>
  <c r="N70" i="2"/>
  <c r="N72" i="2" s="1"/>
  <c r="AV70" i="2"/>
  <c r="AV72" i="2" s="1"/>
  <c r="AW70" i="2"/>
  <c r="AW72" i="2" s="1"/>
  <c r="AW74" i="2" s="1"/>
  <c r="AE70" i="2"/>
  <c r="AE72" i="2" s="1"/>
  <c r="AE74" i="2" s="1"/>
  <c r="L70" i="2"/>
  <c r="L72" i="2" s="1"/>
  <c r="U70" i="2"/>
  <c r="U72" i="2" s="1"/>
  <c r="U74" i="2" s="1"/>
  <c r="V70" i="2"/>
  <c r="V72" i="2" s="1"/>
  <c r="V74" i="2" s="1"/>
  <c r="BD70" i="2"/>
  <c r="BD72" i="2" s="1"/>
  <c r="BD74" i="2" s="1"/>
  <c r="AM70" i="2"/>
  <c r="AM72" i="2" s="1"/>
  <c r="AM74" i="2" s="1"/>
  <c r="K70" i="2"/>
  <c r="K72" i="2" s="1"/>
  <c r="T70" i="2"/>
  <c r="T72" i="2" s="1"/>
  <c r="T74" i="2" s="1"/>
  <c r="AC70" i="2"/>
  <c r="AC72" i="2" s="1"/>
  <c r="AC74" i="2" s="1"/>
  <c r="AZ71" i="2"/>
  <c r="AR71" i="2"/>
  <c r="AJ71" i="2"/>
  <c r="AB71" i="2"/>
  <c r="T71" i="2"/>
  <c r="L71" i="2"/>
  <c r="AY71" i="2"/>
  <c r="AQ71" i="2"/>
  <c r="AI71" i="2"/>
  <c r="AA71" i="2"/>
  <c r="S71" i="2"/>
  <c r="K71" i="2"/>
  <c r="U71" i="2"/>
  <c r="AX71" i="2"/>
  <c r="AP71" i="2"/>
  <c r="AH71" i="2"/>
  <c r="Z71" i="2"/>
  <c r="R71" i="2"/>
  <c r="J71" i="2"/>
  <c r="M71" i="2"/>
  <c r="AW71" i="2"/>
  <c r="AO71" i="2"/>
  <c r="AG71" i="2"/>
  <c r="Y71" i="2"/>
  <c r="Q71" i="2"/>
  <c r="I71" i="2"/>
  <c r="AK71" i="2"/>
  <c r="BD71" i="2"/>
  <c r="AV71" i="2"/>
  <c r="AN71" i="2"/>
  <c r="AF71" i="2"/>
  <c r="X71" i="2"/>
  <c r="P71" i="2"/>
  <c r="H71" i="2"/>
  <c r="AC71" i="2"/>
  <c r="BC71" i="2"/>
  <c r="AU71" i="2"/>
  <c r="AM71" i="2"/>
  <c r="AE71" i="2"/>
  <c r="W71" i="2"/>
  <c r="O71" i="2"/>
  <c r="G71" i="2"/>
  <c r="AS71" i="2"/>
  <c r="BB71" i="2"/>
  <c r="AT71" i="2"/>
  <c r="AL71" i="2"/>
  <c r="AD71" i="2"/>
  <c r="V71" i="2"/>
  <c r="N71" i="2"/>
  <c r="BA71" i="2"/>
  <c r="W70" i="2"/>
  <c r="W72" i="2" s="1"/>
  <c r="W74" i="2" s="1"/>
  <c r="J70" i="2"/>
  <c r="J72" i="2" s="1"/>
  <c r="J74" i="2" s="1"/>
  <c r="S70" i="2"/>
  <c r="S72" i="2" s="1"/>
  <c r="S74" i="2" s="1"/>
  <c r="AB70" i="2"/>
  <c r="AB72" i="2" s="1"/>
  <c r="AB74" i="2" s="1"/>
  <c r="AK70" i="2"/>
  <c r="AK72" i="2" s="1"/>
  <c r="AK74" i="2" s="1"/>
  <c r="AL70" i="2"/>
  <c r="AL72" i="2" s="1"/>
  <c r="AL74" i="2" s="1"/>
  <c r="H70" i="2"/>
  <c r="H72" i="2" s="1"/>
  <c r="I70" i="2"/>
  <c r="I72" i="2" s="1"/>
  <c r="R70" i="2"/>
  <c r="R72" i="2" s="1"/>
  <c r="R74" i="2" s="1"/>
  <c r="AA70" i="2"/>
  <c r="AA72" i="2" s="1"/>
  <c r="AA74" i="2" s="1"/>
  <c r="AJ70" i="2"/>
  <c r="AJ72" i="2" s="1"/>
  <c r="AS70" i="2"/>
  <c r="AS72" i="2" s="1"/>
  <c r="AS74" i="2" s="1"/>
  <c r="AT70" i="2"/>
  <c r="AT72" i="2" s="1"/>
  <c r="AT74" i="2" s="1"/>
  <c r="P70" i="2"/>
  <c r="P72" i="2" s="1"/>
  <c r="P74" i="2" s="1"/>
  <c r="Q70" i="2"/>
  <c r="Q72" i="2" s="1"/>
  <c r="Z70" i="2"/>
  <c r="Z72" i="2" s="1"/>
  <c r="AI70" i="2"/>
  <c r="AI72" i="2" s="1"/>
  <c r="AR70" i="2"/>
  <c r="AR72" i="2" s="1"/>
  <c r="AR74" i="2" s="1"/>
  <c r="BA70" i="2"/>
  <c r="BA72" i="2" s="1"/>
  <c r="BB70" i="2"/>
  <c r="BB72" i="2" s="1"/>
  <c r="BB74" i="2" s="1"/>
  <c r="G357" i="2"/>
  <c r="G358" i="2" s="1"/>
  <c r="G326" i="2"/>
  <c r="B344" i="2"/>
  <c r="B345" i="2" s="1"/>
  <c r="G481" i="2"/>
  <c r="AD74" i="2"/>
  <c r="G478" i="2"/>
  <c r="H482" i="2"/>
  <c r="H432" i="2"/>
  <c r="AV482" i="2"/>
  <c r="AV432" i="2"/>
  <c r="AD482" i="2"/>
  <c r="AD432" i="2"/>
  <c r="G482" i="2"/>
  <c r="G432" i="2"/>
  <c r="H33" i="2"/>
  <c r="AD239" i="2"/>
  <c r="AV239" i="2"/>
  <c r="AV24" i="2"/>
  <c r="AV58" i="2"/>
  <c r="AD24" i="2"/>
  <c r="H58" i="2"/>
  <c r="H239" i="2"/>
  <c r="H24" i="2"/>
  <c r="AD58" i="2"/>
  <c r="G243" i="2"/>
  <c r="G244" i="2" s="1"/>
  <c r="H243" i="2"/>
  <c r="AV243" i="2"/>
  <c r="AD243" i="2"/>
  <c r="U56" i="2"/>
  <c r="Q24" i="2"/>
  <c r="Q56" i="2"/>
  <c r="AW24" i="2"/>
  <c r="AW56" i="2"/>
  <c r="Y56" i="2"/>
  <c r="Y24" i="2"/>
  <c r="AZ56" i="2"/>
  <c r="AZ24" i="2"/>
  <c r="AJ56" i="2"/>
  <c r="AJ24" i="2"/>
  <c r="T56" i="2"/>
  <c r="T24" i="2"/>
  <c r="BC56" i="2"/>
  <c r="BC24" i="2"/>
  <c r="AM24" i="2"/>
  <c r="AM56" i="2"/>
  <c r="W56" i="2"/>
  <c r="W24" i="2"/>
  <c r="BA56" i="2"/>
  <c r="BA24" i="2"/>
  <c r="BB24" i="2"/>
  <c r="BB56" i="2"/>
  <c r="AL24" i="2"/>
  <c r="AL56" i="2"/>
  <c r="V24" i="2"/>
  <c r="V56" i="2"/>
  <c r="AC56" i="2"/>
  <c r="AC24" i="2"/>
  <c r="AN56" i="2"/>
  <c r="AN24" i="2"/>
  <c r="AQ24" i="2"/>
  <c r="AQ56" i="2"/>
  <c r="K24" i="2"/>
  <c r="K56" i="2"/>
  <c r="M56" i="2"/>
  <c r="M24" i="2"/>
  <c r="AO24" i="2"/>
  <c r="AO56" i="2"/>
  <c r="AF24" i="2"/>
  <c r="AF56" i="2"/>
  <c r="P56" i="2"/>
  <c r="P24" i="2"/>
  <c r="AY56" i="2"/>
  <c r="AY24" i="2"/>
  <c r="AI24" i="2"/>
  <c r="AI56" i="2"/>
  <c r="S24" i="2"/>
  <c r="S56" i="2"/>
  <c r="AS56" i="2"/>
  <c r="AS24" i="2"/>
  <c r="AX24" i="2"/>
  <c r="AX56" i="2"/>
  <c r="AH24" i="2"/>
  <c r="AH56" i="2"/>
  <c r="R24" i="2"/>
  <c r="R56" i="2"/>
  <c r="BD24" i="2"/>
  <c r="BD56" i="2"/>
  <c r="X24" i="2"/>
  <c r="X56" i="2"/>
  <c r="AA56" i="2"/>
  <c r="AA24" i="2"/>
  <c r="AP24" i="2"/>
  <c r="AP56" i="2"/>
  <c r="Z56" i="2"/>
  <c r="AK56" i="2"/>
  <c r="AK24" i="2"/>
  <c r="I24" i="2"/>
  <c r="I56" i="2"/>
  <c r="AR56" i="2"/>
  <c r="AR24" i="2"/>
  <c r="AB56" i="2"/>
  <c r="AB24" i="2"/>
  <c r="L56" i="2"/>
  <c r="L24" i="2"/>
  <c r="AU56" i="2"/>
  <c r="AU24" i="2"/>
  <c r="AE24" i="2"/>
  <c r="AE56" i="2"/>
  <c r="O56" i="2"/>
  <c r="O24" i="2"/>
  <c r="AG56" i="2"/>
  <c r="AG24" i="2"/>
  <c r="AT24" i="2"/>
  <c r="AT56" i="2"/>
  <c r="N24" i="2"/>
  <c r="N56" i="2"/>
  <c r="G67" i="2"/>
  <c r="K1084" i="2"/>
  <c r="K1056" i="2"/>
  <c r="K841" i="2"/>
  <c r="K968" i="2"/>
  <c r="K1028" i="2"/>
  <c r="K46" i="2"/>
  <c r="K11" i="2"/>
  <c r="L6" i="2"/>
  <c r="K444" i="2"/>
  <c r="C52" i="2"/>
  <c r="C57" i="2"/>
  <c r="C55" i="2"/>
  <c r="C50" i="2"/>
  <c r="G116" i="2"/>
  <c r="C116" i="2" s="1"/>
  <c r="AH406" i="2" l="1"/>
  <c r="AI406" i="2"/>
  <c r="AO406" i="2"/>
  <c r="BC406" i="2"/>
  <c r="AE406" i="2"/>
  <c r="AZ406" i="2"/>
  <c r="I406" i="2"/>
  <c r="AY406" i="2"/>
  <c r="N406" i="2"/>
  <c r="M406" i="2"/>
  <c r="AG406" i="2"/>
  <c r="L406" i="2"/>
  <c r="AK406" i="2"/>
  <c r="K406" i="2"/>
  <c r="V406" i="2"/>
  <c r="Q406" i="2"/>
  <c r="X406" i="2"/>
  <c r="P406" i="2"/>
  <c r="W406" i="2"/>
  <c r="O406" i="2"/>
  <c r="AP406" i="2"/>
  <c r="R406" i="2"/>
  <c r="S406" i="2"/>
  <c r="C22" i="2"/>
  <c r="J56" i="2"/>
  <c r="L1207" i="2"/>
  <c r="V1179" i="2"/>
  <c r="W1117" i="2"/>
  <c r="W1118" i="2" s="1"/>
  <c r="K1117" i="2"/>
  <c r="K1118" i="2" s="1"/>
  <c r="C481" i="2"/>
  <c r="AR406" i="2"/>
  <c r="AQ406" i="2"/>
  <c r="AL406" i="2"/>
  <c r="AM406" i="2"/>
  <c r="U406" i="2"/>
  <c r="AT406" i="2"/>
  <c r="AU406" i="2"/>
  <c r="AX406" i="2"/>
  <c r="BB406" i="2"/>
  <c r="AN406" i="2"/>
  <c r="Y406" i="2"/>
  <c r="AJ406" i="2"/>
  <c r="AA406" i="2"/>
  <c r="BD406" i="2"/>
  <c r="AW406" i="2"/>
  <c r="Z406" i="2"/>
  <c r="AS406" i="2"/>
  <c r="AC406" i="2"/>
  <c r="BA406" i="2"/>
  <c r="T406" i="2"/>
  <c r="AB406" i="2"/>
  <c r="AF406" i="2"/>
  <c r="H332" i="2"/>
  <c r="H329" i="2"/>
  <c r="H244" i="2"/>
  <c r="AH74" i="2"/>
  <c r="O74" i="2"/>
  <c r="K74" i="2"/>
  <c r="AV74" i="2"/>
  <c r="AF74" i="2"/>
  <c r="AX74" i="2"/>
  <c r="Z74" i="2"/>
  <c r="I74" i="2"/>
  <c r="H74" i="2"/>
  <c r="AO74" i="2"/>
  <c r="L74" i="2"/>
  <c r="AU74" i="2"/>
  <c r="Q74" i="2"/>
  <c r="AI74" i="2"/>
  <c r="AG74" i="2"/>
  <c r="BA74" i="2"/>
  <c r="AJ74" i="2"/>
  <c r="N74" i="2"/>
  <c r="Y74" i="2"/>
  <c r="G74" i="2"/>
  <c r="G75" i="2" s="1"/>
  <c r="H357" i="2"/>
  <c r="H358" i="2" s="1"/>
  <c r="H326" i="2"/>
  <c r="C356" i="2"/>
  <c r="B346" i="2"/>
  <c r="B347" i="2" s="1"/>
  <c r="L83" i="2"/>
  <c r="AS482" i="2"/>
  <c r="AS432" i="2"/>
  <c r="AB482" i="2"/>
  <c r="AB432" i="2"/>
  <c r="AP482" i="2"/>
  <c r="AP432" i="2"/>
  <c r="R482" i="2"/>
  <c r="R432" i="2"/>
  <c r="S482" i="2"/>
  <c r="S432" i="2"/>
  <c r="AF482" i="2"/>
  <c r="AF432" i="2"/>
  <c r="K482" i="2"/>
  <c r="K432" i="2"/>
  <c r="V482" i="2"/>
  <c r="V432" i="2"/>
  <c r="Q482" i="2"/>
  <c r="Q432" i="2"/>
  <c r="M482" i="2"/>
  <c r="M432" i="2"/>
  <c r="AC482" i="2"/>
  <c r="AC432" i="2"/>
  <c r="T482" i="2"/>
  <c r="T432" i="2"/>
  <c r="O482" i="2"/>
  <c r="O432" i="2"/>
  <c r="N482" i="2"/>
  <c r="N432" i="2"/>
  <c r="AE482" i="2"/>
  <c r="AE432" i="2"/>
  <c r="W482" i="2"/>
  <c r="W432" i="2"/>
  <c r="AJ482" i="2"/>
  <c r="AJ432" i="2"/>
  <c r="AR482" i="2"/>
  <c r="AR432" i="2"/>
  <c r="AH482" i="2"/>
  <c r="AH432" i="2"/>
  <c r="AI482" i="2"/>
  <c r="AI432" i="2"/>
  <c r="AO482" i="2"/>
  <c r="AO432" i="2"/>
  <c r="AQ482" i="2"/>
  <c r="AQ432" i="2"/>
  <c r="AL482" i="2"/>
  <c r="AL432" i="2"/>
  <c r="AM482" i="2"/>
  <c r="AM432" i="2"/>
  <c r="U482" i="2"/>
  <c r="U432" i="2"/>
  <c r="Z482" i="2"/>
  <c r="Z432" i="2"/>
  <c r="BA482" i="2"/>
  <c r="BA432" i="2"/>
  <c r="AT482" i="2"/>
  <c r="AT432" i="2"/>
  <c r="I482" i="2"/>
  <c r="I432" i="2"/>
  <c r="AA482" i="2"/>
  <c r="AA432" i="2"/>
  <c r="AZ482" i="2"/>
  <c r="AZ432" i="2"/>
  <c r="AU482" i="2"/>
  <c r="AU432" i="2"/>
  <c r="X482" i="2"/>
  <c r="X432" i="2"/>
  <c r="AX482" i="2"/>
  <c r="AX432" i="2"/>
  <c r="BB482" i="2"/>
  <c r="BB432" i="2"/>
  <c r="P482" i="2"/>
  <c r="P432" i="2"/>
  <c r="AY482" i="2"/>
  <c r="AY432" i="2"/>
  <c r="AN482" i="2"/>
  <c r="AN432" i="2"/>
  <c r="BC482" i="2"/>
  <c r="BC432" i="2"/>
  <c r="Y482" i="2"/>
  <c r="Y432" i="2"/>
  <c r="AG482" i="2"/>
  <c r="AG432" i="2"/>
  <c r="L482" i="2"/>
  <c r="L432" i="2"/>
  <c r="AK482" i="2"/>
  <c r="AK432" i="2"/>
  <c r="BD482" i="2"/>
  <c r="BD432" i="2"/>
  <c r="AW482" i="2"/>
  <c r="AW432" i="2"/>
  <c r="I33" i="2"/>
  <c r="U58" i="2"/>
  <c r="Z239" i="2"/>
  <c r="Z58" i="2"/>
  <c r="AS243" i="2"/>
  <c r="M243" i="2"/>
  <c r="AC243" i="2"/>
  <c r="AZ243" i="2"/>
  <c r="AU243" i="2"/>
  <c r="AB243" i="2"/>
  <c r="AP243" i="2"/>
  <c r="R243" i="2"/>
  <c r="BB243" i="2"/>
  <c r="AE243" i="2"/>
  <c r="AY243" i="2"/>
  <c r="AN243" i="2"/>
  <c r="W243" i="2"/>
  <c r="BC243" i="2"/>
  <c r="AJ243" i="2"/>
  <c r="Y243" i="2"/>
  <c r="AT243" i="2"/>
  <c r="I243" i="2"/>
  <c r="AA243" i="2"/>
  <c r="P243" i="2"/>
  <c r="BA243" i="2"/>
  <c r="T243" i="2"/>
  <c r="O243" i="2"/>
  <c r="X243" i="2"/>
  <c r="AX243" i="2"/>
  <c r="S243" i="2"/>
  <c r="AF243" i="2"/>
  <c r="K243" i="2"/>
  <c r="V243" i="2"/>
  <c r="Q243" i="2"/>
  <c r="AG243" i="2"/>
  <c r="L243" i="2"/>
  <c r="AR243" i="2"/>
  <c r="AK243" i="2"/>
  <c r="BD243" i="2"/>
  <c r="AH243" i="2"/>
  <c r="AI243" i="2"/>
  <c r="AO243" i="2"/>
  <c r="AQ243" i="2"/>
  <c r="AL243" i="2"/>
  <c r="AM243" i="2"/>
  <c r="AW243" i="2"/>
  <c r="U243" i="2"/>
  <c r="N243" i="2"/>
  <c r="U239" i="2"/>
  <c r="Z243" i="2"/>
  <c r="AR239" i="2"/>
  <c r="AR58" i="2"/>
  <c r="AH239" i="2"/>
  <c r="AH58" i="2"/>
  <c r="AO239" i="2"/>
  <c r="AO58" i="2"/>
  <c r="AL239" i="2"/>
  <c r="AL58" i="2"/>
  <c r="AW58" i="2"/>
  <c r="AW239" i="2"/>
  <c r="AT58" i="2"/>
  <c r="AT239" i="2"/>
  <c r="I239" i="2"/>
  <c r="I58" i="2"/>
  <c r="AA58" i="2"/>
  <c r="AA239" i="2"/>
  <c r="AS58" i="2"/>
  <c r="AS239" i="2"/>
  <c r="P239" i="2"/>
  <c r="P58" i="2"/>
  <c r="M58" i="2"/>
  <c r="M239" i="2"/>
  <c r="AC239" i="2"/>
  <c r="AC58" i="2"/>
  <c r="BA58" i="2"/>
  <c r="BA239" i="2"/>
  <c r="T239" i="2"/>
  <c r="T58" i="2"/>
  <c r="AZ58" i="2"/>
  <c r="AZ239" i="2"/>
  <c r="AG239" i="2"/>
  <c r="AG58" i="2"/>
  <c r="L58" i="2"/>
  <c r="L239" i="2"/>
  <c r="AK239" i="2"/>
  <c r="AK58" i="2"/>
  <c r="BD239" i="2"/>
  <c r="BD58" i="2"/>
  <c r="AI58" i="2"/>
  <c r="AI239" i="2"/>
  <c r="AM58" i="2"/>
  <c r="AM239" i="2"/>
  <c r="O58" i="2"/>
  <c r="O239" i="2"/>
  <c r="AU58" i="2"/>
  <c r="AU239" i="2"/>
  <c r="AB239" i="2"/>
  <c r="AB58" i="2"/>
  <c r="AP239" i="2"/>
  <c r="AP58" i="2"/>
  <c r="X239" i="2"/>
  <c r="X58" i="2"/>
  <c r="R58" i="2"/>
  <c r="R239" i="2"/>
  <c r="AX58" i="2"/>
  <c r="AX239" i="2"/>
  <c r="S58" i="2"/>
  <c r="S239" i="2"/>
  <c r="AF239" i="2"/>
  <c r="AF58" i="2"/>
  <c r="K58" i="2"/>
  <c r="K239" i="2"/>
  <c r="V58" i="2"/>
  <c r="V239" i="2"/>
  <c r="BB58" i="2"/>
  <c r="BB239" i="2"/>
  <c r="Q58" i="2"/>
  <c r="Q239" i="2"/>
  <c r="AQ58" i="2"/>
  <c r="AQ239" i="2"/>
  <c r="N58" i="2"/>
  <c r="N239" i="2"/>
  <c r="AE239" i="2"/>
  <c r="AE58" i="2"/>
  <c r="AY58" i="2"/>
  <c r="AY239" i="2"/>
  <c r="J58" i="2"/>
  <c r="AN239" i="2"/>
  <c r="AN58" i="2"/>
  <c r="W239" i="2"/>
  <c r="W58" i="2"/>
  <c r="BC58" i="2"/>
  <c r="BC239" i="2"/>
  <c r="AJ239" i="2"/>
  <c r="AJ58" i="2"/>
  <c r="Y239" i="2"/>
  <c r="Y58" i="2"/>
  <c r="L1084" i="2"/>
  <c r="L841" i="2"/>
  <c r="L968" i="2"/>
  <c r="L1028" i="2"/>
  <c r="L1056" i="2"/>
  <c r="L11" i="2"/>
  <c r="M6" i="2"/>
  <c r="L46" i="2"/>
  <c r="L444" i="2"/>
  <c r="C66" i="2"/>
  <c r="C67" i="2"/>
  <c r="G79" i="2"/>
  <c r="C478" i="2"/>
  <c r="C56" i="2" l="1"/>
  <c r="J406" i="2"/>
  <c r="C406" i="2" s="1"/>
  <c r="J243" i="2"/>
  <c r="J432" i="2"/>
  <c r="C432" i="2" s="1"/>
  <c r="J482" i="2"/>
  <c r="C482" i="2" s="1"/>
  <c r="J239" i="2"/>
  <c r="W1179" i="2"/>
  <c r="W1207" i="2"/>
  <c r="K1207" i="2"/>
  <c r="K1179" i="2"/>
  <c r="J1117" i="2"/>
  <c r="J1118" i="2" s="1"/>
  <c r="X1117" i="2"/>
  <c r="X1118" i="2" s="1"/>
  <c r="I332" i="2"/>
  <c r="I329" i="2"/>
  <c r="I244" i="2"/>
  <c r="T75" i="2"/>
  <c r="I75" i="2"/>
  <c r="AT75" i="2"/>
  <c r="AW75" i="2"/>
  <c r="AC75" i="2"/>
  <c r="S75" i="2"/>
  <c r="AF75" i="2"/>
  <c r="AU75" i="2"/>
  <c r="W75" i="2"/>
  <c r="L75" i="2"/>
  <c r="O75" i="2"/>
  <c r="H75" i="2"/>
  <c r="K75" i="2"/>
  <c r="N75" i="2"/>
  <c r="AI75" i="2"/>
  <c r="AE75" i="2"/>
  <c r="AA75" i="2"/>
  <c r="Q75" i="2"/>
  <c r="BD75" i="2"/>
  <c r="AL75" i="2"/>
  <c r="AR75" i="2"/>
  <c r="AX75" i="2"/>
  <c r="AM75" i="2"/>
  <c r="AK75" i="2"/>
  <c r="AJ75" i="2"/>
  <c r="Z75" i="2"/>
  <c r="AY75" i="2"/>
  <c r="X75" i="2"/>
  <c r="AG75" i="2"/>
  <c r="AZ75" i="2"/>
  <c r="AQ75" i="2"/>
  <c r="P75" i="2"/>
  <c r="BA75" i="2"/>
  <c r="Y75" i="2"/>
  <c r="U75" i="2"/>
  <c r="AV75" i="2"/>
  <c r="R75" i="2"/>
  <c r="AB75" i="2"/>
  <c r="AO75" i="2"/>
  <c r="AN75" i="2"/>
  <c r="AP75" i="2"/>
  <c r="J75" i="2"/>
  <c r="AH75" i="2"/>
  <c r="V75" i="2"/>
  <c r="AS75" i="2"/>
  <c r="AD75" i="2"/>
  <c r="BB75" i="2"/>
  <c r="BC75" i="2"/>
  <c r="M75" i="2"/>
  <c r="B348" i="2"/>
  <c r="B349" i="2" s="1"/>
  <c r="B350" i="2" s="1"/>
  <c r="B351" i="2" s="1"/>
  <c r="B352" i="2" s="1"/>
  <c r="B353" i="2" s="1"/>
  <c r="I326" i="2"/>
  <c r="J33" i="2"/>
  <c r="I357" i="2"/>
  <c r="H359" i="2"/>
  <c r="I359" i="2"/>
  <c r="M83" i="2"/>
  <c r="M968" i="2"/>
  <c r="M1028" i="2"/>
  <c r="M1056" i="2"/>
  <c r="M1084" i="2"/>
  <c r="M841" i="2"/>
  <c r="N6" i="2"/>
  <c r="M46" i="2"/>
  <c r="M11" i="2"/>
  <c r="M444" i="2"/>
  <c r="X1179" i="2" l="1"/>
  <c r="X1207" i="2"/>
  <c r="J1207" i="2"/>
  <c r="J1179" i="2"/>
  <c r="Y1117" i="2"/>
  <c r="Y1118" i="2" s="1"/>
  <c r="I1117" i="2"/>
  <c r="I1118" i="2" s="1"/>
  <c r="J244" i="2"/>
  <c r="J329" i="2"/>
  <c r="J332" i="2"/>
  <c r="J326" i="2"/>
  <c r="J357" i="2"/>
  <c r="M361" i="2" s="1"/>
  <c r="K33" i="2"/>
  <c r="I360" i="2"/>
  <c r="J360" i="2"/>
  <c r="K360" i="2"/>
  <c r="J359" i="2"/>
  <c r="I358" i="2"/>
  <c r="N83" i="2"/>
  <c r="N1028" i="2"/>
  <c r="N1056" i="2"/>
  <c r="N1084" i="2"/>
  <c r="N841" i="2"/>
  <c r="N968" i="2"/>
  <c r="N46" i="2"/>
  <c r="N11" i="2"/>
  <c r="O6" i="2"/>
  <c r="N444" i="2"/>
  <c r="I1179" i="2" l="1"/>
  <c r="I1207" i="2"/>
  <c r="Y1179" i="2"/>
  <c r="Y1207" i="2"/>
  <c r="H1117" i="2"/>
  <c r="H1118" i="2" s="1"/>
  <c r="Z1117" i="2"/>
  <c r="Z1118" i="2" s="1"/>
  <c r="K329" i="2"/>
  <c r="K244" i="2"/>
  <c r="K332" i="2"/>
  <c r="L360" i="2"/>
  <c r="K326" i="2"/>
  <c r="J358" i="2"/>
  <c r="K359" i="2"/>
  <c r="K357" i="2"/>
  <c r="N361" i="2" s="1"/>
  <c r="L33" i="2"/>
  <c r="J361" i="2"/>
  <c r="K361" i="2"/>
  <c r="L361" i="2"/>
  <c r="O83" i="2"/>
  <c r="O1084" i="2"/>
  <c r="O1056" i="2"/>
  <c r="O841" i="2"/>
  <c r="O968" i="2"/>
  <c r="O1028" i="2"/>
  <c r="O46" i="2"/>
  <c r="O11" i="2"/>
  <c r="P6" i="2"/>
  <c r="O444" i="2"/>
  <c r="Z1207" i="2" l="1"/>
  <c r="Z1179" i="2"/>
  <c r="H1179" i="2"/>
  <c r="H1207" i="2"/>
  <c r="AA1117" i="2"/>
  <c r="AA1118" i="2" s="1"/>
  <c r="G1117" i="2"/>
  <c r="G1118" i="2" s="1"/>
  <c r="L332" i="2"/>
  <c r="L244" i="2"/>
  <c r="L329" i="2"/>
  <c r="L326" i="2"/>
  <c r="L359" i="2"/>
  <c r="O362" i="2"/>
  <c r="M360" i="2"/>
  <c r="L357" i="2"/>
  <c r="L358" i="2" s="1"/>
  <c r="K358" i="2"/>
  <c r="M33" i="2"/>
  <c r="M332" i="2" s="1"/>
  <c r="K362" i="2"/>
  <c r="L362" i="2"/>
  <c r="M362" i="2"/>
  <c r="N362" i="2"/>
  <c r="P83" i="2"/>
  <c r="P841" i="2"/>
  <c r="P1084" i="2"/>
  <c r="P968" i="2"/>
  <c r="P1028" i="2"/>
  <c r="P1056" i="2"/>
  <c r="P11" i="2"/>
  <c r="Q6" i="2"/>
  <c r="P46" i="2"/>
  <c r="P444" i="2"/>
  <c r="AA1207" i="2" l="1"/>
  <c r="AA1179" i="2"/>
  <c r="G1179" i="2"/>
  <c r="G1207" i="2"/>
  <c r="AB1117" i="2"/>
  <c r="AB1118" i="2" s="1"/>
  <c r="Q83" i="2"/>
  <c r="M329" i="2"/>
  <c r="M244" i="2"/>
  <c r="Q363" i="2"/>
  <c r="M359" i="2"/>
  <c r="N360" i="2"/>
  <c r="O361" i="2"/>
  <c r="P362" i="2"/>
  <c r="M357" i="2"/>
  <c r="O360" i="2" s="1"/>
  <c r="M326" i="2"/>
  <c r="N33" i="2"/>
  <c r="N332" i="2" s="1"/>
  <c r="L363" i="2"/>
  <c r="M363" i="2"/>
  <c r="O363" i="2"/>
  <c r="N363" i="2"/>
  <c r="P363" i="2"/>
  <c r="Q1084" i="2"/>
  <c r="Q968" i="2"/>
  <c r="Q1028" i="2"/>
  <c r="Q1056" i="2"/>
  <c r="Q841" i="2"/>
  <c r="R6" i="2"/>
  <c r="Q46" i="2"/>
  <c r="Q11" i="2"/>
  <c r="Q444" i="2"/>
  <c r="AB1179" i="2" l="1"/>
  <c r="AB1207" i="2"/>
  <c r="AC1117" i="2"/>
  <c r="AC1118" i="2" s="1"/>
  <c r="R83" i="2"/>
  <c r="N244" i="2"/>
  <c r="N329" i="2"/>
  <c r="P361" i="2"/>
  <c r="Q362" i="2"/>
  <c r="M358" i="2"/>
  <c r="R363" i="2"/>
  <c r="N359" i="2"/>
  <c r="S364" i="2"/>
  <c r="N357" i="2"/>
  <c r="T364" i="2" s="1"/>
  <c r="N326" i="2"/>
  <c r="O33" i="2"/>
  <c r="M364" i="2"/>
  <c r="N364" i="2"/>
  <c r="O364" i="2"/>
  <c r="P364" i="2"/>
  <c r="Q364" i="2"/>
  <c r="R364" i="2"/>
  <c r="R1084" i="2"/>
  <c r="R1028" i="2"/>
  <c r="R1056" i="2"/>
  <c r="R841" i="2"/>
  <c r="R968" i="2"/>
  <c r="R46" i="2"/>
  <c r="R11" i="2"/>
  <c r="S6" i="2"/>
  <c r="R444" i="2"/>
  <c r="AC1179" i="2" l="1"/>
  <c r="AC1207" i="2"/>
  <c r="AD1117" i="2"/>
  <c r="AD1118" i="2" s="1"/>
  <c r="S83" i="2"/>
  <c r="O244" i="2"/>
  <c r="O329" i="2"/>
  <c r="O332" i="2"/>
  <c r="N358" i="2"/>
  <c r="Q361" i="2"/>
  <c r="O359" i="2"/>
  <c r="S363" i="2"/>
  <c r="R362" i="2"/>
  <c r="P360" i="2"/>
  <c r="O357" i="2"/>
  <c r="V365" i="2" s="1"/>
  <c r="O326" i="2"/>
  <c r="P33" i="2"/>
  <c r="N365" i="2"/>
  <c r="O365" i="2"/>
  <c r="Q365" i="2"/>
  <c r="P365" i="2"/>
  <c r="R365" i="2"/>
  <c r="S365" i="2"/>
  <c r="T365" i="2"/>
  <c r="U365" i="2"/>
  <c r="S1084" i="2"/>
  <c r="S1056" i="2"/>
  <c r="S841" i="2"/>
  <c r="S968" i="2"/>
  <c r="S1028" i="2"/>
  <c r="S46" i="2"/>
  <c r="S11" i="2"/>
  <c r="T6" i="2"/>
  <c r="S444" i="2"/>
  <c r="AD1179" i="2" l="1"/>
  <c r="AD1207" i="2"/>
  <c r="AE1117" i="2"/>
  <c r="AE1118" i="2" s="1"/>
  <c r="T83" i="2"/>
  <c r="P244" i="2"/>
  <c r="P329" i="2"/>
  <c r="P332" i="2"/>
  <c r="P359" i="2"/>
  <c r="Q360" i="2"/>
  <c r="T363" i="2"/>
  <c r="W366" i="2"/>
  <c r="R361" i="2"/>
  <c r="S362" i="2"/>
  <c r="U364" i="2"/>
  <c r="O358" i="2"/>
  <c r="P357" i="2"/>
  <c r="V364" i="2" s="1"/>
  <c r="P326" i="2"/>
  <c r="Q33" i="2"/>
  <c r="O366" i="2"/>
  <c r="P366" i="2"/>
  <c r="R366" i="2"/>
  <c r="Q366" i="2"/>
  <c r="S366" i="2"/>
  <c r="T366" i="2"/>
  <c r="U366" i="2"/>
  <c r="V366" i="2"/>
  <c r="T841" i="2"/>
  <c r="T968" i="2"/>
  <c r="T1028" i="2"/>
  <c r="T1084" i="2"/>
  <c r="T1056" i="2"/>
  <c r="T11" i="2"/>
  <c r="U6" i="2"/>
  <c r="T46" i="2"/>
  <c r="T444" i="2"/>
  <c r="AE1179" i="2" l="1"/>
  <c r="AE1207" i="2"/>
  <c r="AF1117" i="2"/>
  <c r="AF1118" i="2" s="1"/>
  <c r="U83" i="2"/>
  <c r="Q244" i="2"/>
  <c r="Q329" i="2"/>
  <c r="Q332" i="2"/>
  <c r="W365" i="2"/>
  <c r="R360" i="2"/>
  <c r="X366" i="2"/>
  <c r="U363" i="2"/>
  <c r="Q359" i="2"/>
  <c r="Y367" i="2"/>
  <c r="S361" i="2"/>
  <c r="P358" i="2"/>
  <c r="T362" i="2"/>
  <c r="Q357" i="2"/>
  <c r="W364" i="2" s="1"/>
  <c r="Q326" i="2"/>
  <c r="R33" i="2"/>
  <c r="P367" i="2"/>
  <c r="Q367" i="2"/>
  <c r="R367" i="2"/>
  <c r="S367" i="2"/>
  <c r="T367" i="2"/>
  <c r="U367" i="2"/>
  <c r="V367" i="2"/>
  <c r="W367" i="2"/>
  <c r="X367" i="2"/>
  <c r="U968" i="2"/>
  <c r="U1028" i="2"/>
  <c r="U1084" i="2"/>
  <c r="U1056" i="2"/>
  <c r="U841" i="2"/>
  <c r="V6" i="2"/>
  <c r="U46" i="2"/>
  <c r="U11" i="2"/>
  <c r="U444" i="2"/>
  <c r="AF1179" i="2" l="1"/>
  <c r="AF1207" i="2"/>
  <c r="AG1117" i="2"/>
  <c r="AG1118" i="2" s="1"/>
  <c r="V83" i="2"/>
  <c r="R244" i="2"/>
  <c r="R329" i="2"/>
  <c r="R332" i="2"/>
  <c r="Z367" i="2"/>
  <c r="T361" i="2"/>
  <c r="V363" i="2"/>
  <c r="X365" i="2"/>
  <c r="AA368" i="2"/>
  <c r="R359" i="2"/>
  <c r="Q358" i="2"/>
  <c r="S360" i="2"/>
  <c r="Y366" i="2"/>
  <c r="U362" i="2"/>
  <c r="R357" i="2"/>
  <c r="AB368" i="2" s="1"/>
  <c r="R326" i="2"/>
  <c r="S33" i="2"/>
  <c r="Q368" i="2"/>
  <c r="R368" i="2"/>
  <c r="T368" i="2"/>
  <c r="S368" i="2"/>
  <c r="U368" i="2"/>
  <c r="V368" i="2"/>
  <c r="W368" i="2"/>
  <c r="X368" i="2"/>
  <c r="Y368" i="2"/>
  <c r="Z368" i="2"/>
  <c r="V1084" i="2"/>
  <c r="V1028" i="2"/>
  <c r="V1056" i="2"/>
  <c r="V841" i="2"/>
  <c r="V968" i="2"/>
  <c r="V46" i="2"/>
  <c r="V11" i="2"/>
  <c r="W6" i="2"/>
  <c r="V444" i="2"/>
  <c r="AG1207" i="2" l="1"/>
  <c r="AG1179" i="2"/>
  <c r="AH1117" i="2"/>
  <c r="AH1118" i="2" s="1"/>
  <c r="W83" i="2"/>
  <c r="S244" i="2"/>
  <c r="S332" i="2"/>
  <c r="S329" i="2"/>
  <c r="S357" i="2"/>
  <c r="W362" i="2" s="1"/>
  <c r="AC369" i="2"/>
  <c r="Y365" i="2"/>
  <c r="R358" i="2"/>
  <c r="W363" i="2"/>
  <c r="Z366" i="2"/>
  <c r="AA367" i="2"/>
  <c r="U361" i="2"/>
  <c r="V362" i="2"/>
  <c r="X364" i="2"/>
  <c r="T33" i="2"/>
  <c r="T360" i="2"/>
  <c r="S359" i="2"/>
  <c r="S326" i="2"/>
  <c r="R369" i="2"/>
  <c r="S369" i="2"/>
  <c r="U369" i="2"/>
  <c r="T369" i="2"/>
  <c r="V369" i="2"/>
  <c r="W369" i="2"/>
  <c r="X369" i="2"/>
  <c r="Y369" i="2"/>
  <c r="Z369" i="2"/>
  <c r="AA369" i="2"/>
  <c r="AB369" i="2"/>
  <c r="W1084" i="2"/>
  <c r="W1056" i="2"/>
  <c r="W841" i="2"/>
  <c r="W968" i="2"/>
  <c r="W1028" i="2"/>
  <c r="W46" i="2"/>
  <c r="W11" i="2"/>
  <c r="X6" i="2"/>
  <c r="W444" i="2"/>
  <c r="AH1207" i="2" l="1"/>
  <c r="AH1179" i="2"/>
  <c r="AI1117" i="2"/>
  <c r="AI1118" i="2" s="1"/>
  <c r="X83" i="2"/>
  <c r="T244" i="2"/>
  <c r="T329" i="2"/>
  <c r="T332" i="2"/>
  <c r="S358" i="2"/>
  <c r="X363" i="2"/>
  <c r="AB367" i="2"/>
  <c r="U360" i="2"/>
  <c r="AA366" i="2"/>
  <c r="AD369" i="2"/>
  <c r="Y364" i="2"/>
  <c r="Z365" i="2"/>
  <c r="AC368" i="2"/>
  <c r="V361" i="2"/>
  <c r="T359" i="2"/>
  <c r="U33" i="2"/>
  <c r="T357" i="2"/>
  <c r="Y363" i="2" s="1"/>
  <c r="T326" i="2"/>
  <c r="S370" i="2"/>
  <c r="T370" i="2"/>
  <c r="V370" i="2"/>
  <c r="U370" i="2"/>
  <c r="W370" i="2"/>
  <c r="X370" i="2"/>
  <c r="Y370" i="2"/>
  <c r="Z370" i="2"/>
  <c r="AA370" i="2"/>
  <c r="AB370" i="2"/>
  <c r="AC370" i="2"/>
  <c r="AD370" i="2"/>
  <c r="AE370" i="2"/>
  <c r="X1084" i="2"/>
  <c r="X841" i="2"/>
  <c r="X968" i="2"/>
  <c r="X1028" i="2"/>
  <c r="X1056" i="2"/>
  <c r="X11" i="2"/>
  <c r="Y6" i="2"/>
  <c r="X46" i="2"/>
  <c r="X444" i="2"/>
  <c r="AI1207" i="2" l="1"/>
  <c r="AI1179" i="2"/>
  <c r="Y83" i="2"/>
  <c r="U329" i="2"/>
  <c r="U332" i="2"/>
  <c r="U326" i="2"/>
  <c r="U244" i="2"/>
  <c r="U357" i="2"/>
  <c r="AE368" i="2" s="1"/>
  <c r="V33" i="2"/>
  <c r="Z364" i="2"/>
  <c r="AD368" i="2"/>
  <c r="AG371" i="2"/>
  <c r="AB366" i="2"/>
  <c r="U359" i="2"/>
  <c r="AE369" i="2"/>
  <c r="AF370" i="2"/>
  <c r="V360" i="2"/>
  <c r="X362" i="2"/>
  <c r="W361" i="2"/>
  <c r="T358" i="2"/>
  <c r="AA365" i="2"/>
  <c r="AC367" i="2"/>
  <c r="T371" i="2"/>
  <c r="U371" i="2"/>
  <c r="V371" i="2"/>
  <c r="W371" i="2"/>
  <c r="X371" i="2"/>
  <c r="Y371" i="2"/>
  <c r="Z371" i="2"/>
  <c r="AA371" i="2"/>
  <c r="AB371" i="2"/>
  <c r="AC371" i="2"/>
  <c r="AD371" i="2"/>
  <c r="AE371" i="2"/>
  <c r="AF371" i="2"/>
  <c r="Y968" i="2"/>
  <c r="Y1084" i="2"/>
  <c r="Y1028" i="2"/>
  <c r="Y1056" i="2"/>
  <c r="Y841" i="2"/>
  <c r="Z6" i="2"/>
  <c r="Y46" i="2"/>
  <c r="Y11" i="2"/>
  <c r="Y444" i="2"/>
  <c r="Z83" i="2" l="1"/>
  <c r="V329" i="2"/>
  <c r="V332" i="2"/>
  <c r="V244" i="2"/>
  <c r="V326" i="2"/>
  <c r="AH371" i="2"/>
  <c r="AB365" i="2"/>
  <c r="Z363" i="2"/>
  <c r="AA364" i="2"/>
  <c r="AG370" i="2"/>
  <c r="U358" i="2"/>
  <c r="AD367" i="2"/>
  <c r="AC366" i="2"/>
  <c r="Y362" i="2"/>
  <c r="V359" i="2"/>
  <c r="W360" i="2"/>
  <c r="AF369" i="2"/>
  <c r="AI372" i="2"/>
  <c r="X361" i="2"/>
  <c r="V357" i="2"/>
  <c r="AD366" i="2" s="1"/>
  <c r="W33" i="2"/>
  <c r="U372" i="2"/>
  <c r="V372" i="2"/>
  <c r="W372" i="2"/>
  <c r="X372" i="2"/>
  <c r="Y372" i="2"/>
  <c r="Z372" i="2"/>
  <c r="AA372" i="2"/>
  <c r="AB372" i="2"/>
  <c r="AC372" i="2"/>
  <c r="AD372" i="2"/>
  <c r="AE372" i="2"/>
  <c r="AF372" i="2"/>
  <c r="AG372" i="2"/>
  <c r="AH372" i="2"/>
  <c r="Z1084" i="2"/>
  <c r="Z1028" i="2"/>
  <c r="Z1056" i="2"/>
  <c r="Z841" i="2"/>
  <c r="Z968" i="2"/>
  <c r="Z46" i="2"/>
  <c r="Z11" i="2"/>
  <c r="AA6" i="2"/>
  <c r="Z444" i="2"/>
  <c r="AA83" i="2" l="1"/>
  <c r="W332" i="2"/>
  <c r="W329" i="2"/>
  <c r="W326" i="2"/>
  <c r="W244" i="2"/>
  <c r="AJ372" i="2"/>
  <c r="AG369" i="2"/>
  <c r="V358" i="2"/>
  <c r="Z362" i="2"/>
  <c r="AF368" i="2"/>
  <c r="AK373" i="2"/>
  <c r="X360" i="2"/>
  <c r="AH370" i="2"/>
  <c r="Y361" i="2"/>
  <c r="AC365" i="2"/>
  <c r="AI371" i="2"/>
  <c r="AE367" i="2"/>
  <c r="AB364" i="2"/>
  <c r="W359" i="2"/>
  <c r="AA363" i="2"/>
  <c r="W357" i="2"/>
  <c r="Z361" i="2" s="1"/>
  <c r="X33" i="2"/>
  <c r="V373" i="2"/>
  <c r="W373" i="2"/>
  <c r="X373" i="2"/>
  <c r="Y373" i="2"/>
  <c r="Z373" i="2"/>
  <c r="AA373" i="2"/>
  <c r="AB373" i="2"/>
  <c r="AC373" i="2"/>
  <c r="AD373" i="2"/>
  <c r="AE373" i="2"/>
  <c r="AF373" i="2"/>
  <c r="AG373" i="2"/>
  <c r="AH373" i="2"/>
  <c r="AI373" i="2"/>
  <c r="AJ373" i="2"/>
  <c r="AA1084" i="2"/>
  <c r="AA1056" i="2"/>
  <c r="AA841" i="2"/>
  <c r="AA968" i="2"/>
  <c r="AA1028" i="2"/>
  <c r="AA46" i="2"/>
  <c r="AA11" i="2"/>
  <c r="AB6" i="2"/>
  <c r="AA444" i="2"/>
  <c r="AB83" i="2" l="1"/>
  <c r="X329" i="2"/>
  <c r="X332" i="2"/>
  <c r="X244" i="2"/>
  <c r="X326" i="2"/>
  <c r="X357" i="2"/>
  <c r="AC363" i="2" s="1"/>
  <c r="Y33" i="2"/>
  <c r="AJ371" i="2"/>
  <c r="AE366" i="2"/>
  <c r="W358" i="2"/>
  <c r="AF367" i="2"/>
  <c r="AG368" i="2"/>
  <c r="AA362" i="2"/>
  <c r="AB363" i="2"/>
  <c r="AL373" i="2"/>
  <c r="AH369" i="2"/>
  <c r="AM374" i="2"/>
  <c r="X359" i="2"/>
  <c r="AC364" i="2"/>
  <c r="AK372" i="2"/>
  <c r="AI370" i="2"/>
  <c r="Y360" i="2"/>
  <c r="AD365" i="2"/>
  <c r="W374" i="2"/>
  <c r="X374" i="2"/>
  <c r="Z374" i="2"/>
  <c r="Y374" i="2"/>
  <c r="AA374" i="2"/>
  <c r="AB374" i="2"/>
  <c r="AC374" i="2"/>
  <c r="AD374" i="2"/>
  <c r="AE374" i="2"/>
  <c r="AF374" i="2"/>
  <c r="AG374" i="2"/>
  <c r="AH374" i="2"/>
  <c r="AI374" i="2"/>
  <c r="AJ374" i="2"/>
  <c r="AK374" i="2"/>
  <c r="AL374" i="2"/>
  <c r="AB1084" i="2"/>
  <c r="AB841" i="2"/>
  <c r="AB968" i="2"/>
  <c r="AB1028" i="2"/>
  <c r="AB1056" i="2"/>
  <c r="AB11" i="2"/>
  <c r="AC6" i="2"/>
  <c r="AB46" i="2"/>
  <c r="AB444" i="2"/>
  <c r="AC83" i="2" l="1"/>
  <c r="Y332" i="2"/>
  <c r="Y329" i="2"/>
  <c r="Y326" i="2"/>
  <c r="Y244" i="2"/>
  <c r="AL372" i="2"/>
  <c r="AO375" i="2"/>
  <c r="AG367" i="2"/>
  <c r="X358" i="2"/>
  <c r="AA361" i="2"/>
  <c r="AH368" i="2"/>
  <c r="AD364" i="2"/>
  <c r="AK371" i="2"/>
  <c r="AM373" i="2"/>
  <c r="Y359" i="2"/>
  <c r="Z360" i="2"/>
  <c r="AF366" i="2"/>
  <c r="AE365" i="2"/>
  <c r="AB362" i="2"/>
  <c r="AJ370" i="2"/>
  <c r="AI369" i="2"/>
  <c r="AN374" i="2"/>
  <c r="Z33" i="2"/>
  <c r="Y357" i="2"/>
  <c r="AO374" i="2" s="1"/>
  <c r="X375" i="2"/>
  <c r="Y375" i="2"/>
  <c r="Z375" i="2"/>
  <c r="AA375" i="2"/>
  <c r="AB375" i="2"/>
  <c r="AC375" i="2"/>
  <c r="AD375" i="2"/>
  <c r="AE375" i="2"/>
  <c r="AF375" i="2"/>
  <c r="AG375" i="2"/>
  <c r="AH375" i="2"/>
  <c r="AI375" i="2"/>
  <c r="AJ375" i="2"/>
  <c r="AK375" i="2"/>
  <c r="AL375" i="2"/>
  <c r="AM375" i="2"/>
  <c r="AN375" i="2"/>
  <c r="AC1084" i="2"/>
  <c r="AC968" i="2"/>
  <c r="AC1028" i="2"/>
  <c r="AC1056" i="2"/>
  <c r="AC841" i="2"/>
  <c r="AD6" i="2"/>
  <c r="AC46" i="2"/>
  <c r="AC11" i="2"/>
  <c r="AC444" i="2"/>
  <c r="AD83" i="2" l="1"/>
  <c r="Z329" i="2"/>
  <c r="Z332" i="2"/>
  <c r="Z357" i="2"/>
  <c r="AQ375" i="2" s="1"/>
  <c r="Z244" i="2"/>
  <c r="AA33" i="2"/>
  <c r="Z326" i="2"/>
  <c r="Z359" i="2"/>
  <c r="AC362" i="2"/>
  <c r="AG366" i="2"/>
  <c r="AP375" i="2"/>
  <c r="AH367" i="2"/>
  <c r="AM372" i="2"/>
  <c r="AF365" i="2"/>
  <c r="AL371" i="2"/>
  <c r="AE364" i="2"/>
  <c r="AK370" i="2"/>
  <c r="Y358" i="2"/>
  <c r="AI368" i="2"/>
  <c r="AB361" i="2"/>
  <c r="AJ369" i="2"/>
  <c r="AA360" i="2"/>
  <c r="AN373" i="2"/>
  <c r="AD363" i="2"/>
  <c r="Y376" i="2"/>
  <c r="Z376" i="2"/>
  <c r="AB376" i="2"/>
  <c r="AA376" i="2"/>
  <c r="AC376" i="2"/>
  <c r="AD376" i="2"/>
  <c r="AE376" i="2"/>
  <c r="AF376" i="2"/>
  <c r="AG376" i="2"/>
  <c r="AH376" i="2"/>
  <c r="AI376" i="2"/>
  <c r="AJ376" i="2"/>
  <c r="AK376" i="2"/>
  <c r="AL376" i="2"/>
  <c r="AM376" i="2"/>
  <c r="AN376" i="2"/>
  <c r="AO376" i="2"/>
  <c r="AP376" i="2"/>
  <c r="AQ376" i="2"/>
  <c r="AD1084" i="2"/>
  <c r="AD1028" i="2"/>
  <c r="AD1056" i="2"/>
  <c r="AD841" i="2"/>
  <c r="AD968" i="2"/>
  <c r="AD46" i="2"/>
  <c r="AD11" i="2"/>
  <c r="AE6" i="2"/>
  <c r="AD444" i="2"/>
  <c r="AE83" i="2" l="1"/>
  <c r="AA332" i="2"/>
  <c r="AA329" i="2"/>
  <c r="AG365" i="2"/>
  <c r="AH366" i="2"/>
  <c r="AN372" i="2"/>
  <c r="AI367" i="2"/>
  <c r="AB360" i="2"/>
  <c r="AL370" i="2"/>
  <c r="AJ368" i="2"/>
  <c r="AM371" i="2"/>
  <c r="AO373" i="2"/>
  <c r="Z358" i="2"/>
  <c r="AP374" i="2"/>
  <c r="AC361" i="2"/>
  <c r="AE363" i="2"/>
  <c r="AD362" i="2"/>
  <c r="AS377" i="2"/>
  <c r="AK369" i="2"/>
  <c r="AA359" i="2"/>
  <c r="AF364" i="2"/>
  <c r="AR376" i="2"/>
  <c r="AA357" i="2"/>
  <c r="AN371" i="2" s="1"/>
  <c r="AA244" i="2"/>
  <c r="AA326" i="2"/>
  <c r="AB33" i="2"/>
  <c r="Z377" i="2"/>
  <c r="AA377" i="2"/>
  <c r="AB377" i="2"/>
  <c r="AC377" i="2"/>
  <c r="AD377" i="2"/>
  <c r="AE377" i="2"/>
  <c r="AF377" i="2"/>
  <c r="AG377" i="2"/>
  <c r="AH377" i="2"/>
  <c r="AI377" i="2"/>
  <c r="AJ377" i="2"/>
  <c r="AK377" i="2"/>
  <c r="AL377" i="2"/>
  <c r="AM377" i="2"/>
  <c r="AN377" i="2"/>
  <c r="AO377" i="2"/>
  <c r="AP377" i="2"/>
  <c r="AQ377" i="2"/>
  <c r="AR377" i="2"/>
  <c r="AE1084" i="2"/>
  <c r="AE1056" i="2"/>
  <c r="AE841" i="2"/>
  <c r="AE968" i="2"/>
  <c r="AE1028" i="2"/>
  <c r="AE46" i="2"/>
  <c r="AE11" i="2"/>
  <c r="AF6" i="2"/>
  <c r="AE444" i="2"/>
  <c r="AF83" i="2" l="1"/>
  <c r="AB329" i="2"/>
  <c r="AB332" i="2"/>
  <c r="AQ374" i="2"/>
  <c r="AR375" i="2"/>
  <c r="AT377" i="2"/>
  <c r="AF363" i="2"/>
  <c r="AO372" i="2"/>
  <c r="AA358" i="2"/>
  <c r="AE362" i="2"/>
  <c r="AB359" i="2"/>
  <c r="AK368" i="2"/>
  <c r="AD361" i="2"/>
  <c r="AC360" i="2"/>
  <c r="AJ367" i="2"/>
  <c r="AS376" i="2"/>
  <c r="AM370" i="2"/>
  <c r="AP373" i="2"/>
  <c r="AH365" i="2"/>
  <c r="AI366" i="2"/>
  <c r="AL369" i="2"/>
  <c r="AG364" i="2"/>
  <c r="AB357" i="2"/>
  <c r="AF362" i="2" s="1"/>
  <c r="AB244" i="2"/>
  <c r="AB326" i="2"/>
  <c r="AC33" i="2"/>
  <c r="AF1084" i="2"/>
  <c r="AF841" i="2"/>
  <c r="AF968" i="2"/>
  <c r="AF1028" i="2"/>
  <c r="AF1056" i="2"/>
  <c r="AF11" i="2"/>
  <c r="AG6" i="2"/>
  <c r="AF46" i="2"/>
  <c r="AF444" i="2"/>
  <c r="AG83" i="2" l="1"/>
  <c r="AC332" i="2"/>
  <c r="AC329" i="2"/>
  <c r="AL368" i="2"/>
  <c r="AR374" i="2"/>
  <c r="AB358" i="2"/>
  <c r="AE361" i="2"/>
  <c r="AU377" i="2"/>
  <c r="AD360" i="2"/>
  <c r="AC359" i="2"/>
  <c r="AM369" i="2"/>
  <c r="AK367" i="2"/>
  <c r="AJ366" i="2"/>
  <c r="AG363" i="2"/>
  <c r="AT376" i="2"/>
  <c r="AN370" i="2"/>
  <c r="AO371" i="2"/>
  <c r="AQ373" i="2"/>
  <c r="AS375" i="2"/>
  <c r="AI365" i="2"/>
  <c r="AH364" i="2"/>
  <c r="AP372" i="2"/>
  <c r="AC326" i="2"/>
  <c r="AC244" i="2"/>
  <c r="AC357" i="2"/>
  <c r="AL367" i="2" s="1"/>
  <c r="AD33" i="2"/>
  <c r="AG968" i="2"/>
  <c r="AG1028" i="2"/>
  <c r="AG1056" i="2"/>
  <c r="AG1084" i="2"/>
  <c r="AG841" i="2"/>
  <c r="AH6" i="2"/>
  <c r="AG46" i="2"/>
  <c r="AG11" i="2"/>
  <c r="AG444" i="2"/>
  <c r="AH83" i="2" l="1"/>
  <c r="AD329" i="2"/>
  <c r="AD332" i="2"/>
  <c r="AD244" i="2"/>
  <c r="AD359" i="2"/>
  <c r="AE360" i="2"/>
  <c r="AM368" i="2"/>
  <c r="AK366" i="2"/>
  <c r="AG362" i="2"/>
  <c r="AI364" i="2"/>
  <c r="AV377" i="2"/>
  <c r="AE33" i="2"/>
  <c r="AF361" i="2"/>
  <c r="AD357" i="2"/>
  <c r="AU375" i="2" s="1"/>
  <c r="AD326" i="2"/>
  <c r="AS374" i="2"/>
  <c r="AU376" i="2"/>
  <c r="AP371" i="2"/>
  <c r="AR373" i="2"/>
  <c r="AC358" i="2"/>
  <c r="AN369" i="2"/>
  <c r="AQ372" i="2"/>
  <c r="AO370" i="2"/>
  <c r="AJ365" i="2"/>
  <c r="AH363" i="2"/>
  <c r="AT375" i="2"/>
  <c r="AH1084" i="2"/>
  <c r="AH1028" i="2"/>
  <c r="AH1056" i="2"/>
  <c r="AH841" i="2"/>
  <c r="AH968" i="2"/>
  <c r="AH46" i="2"/>
  <c r="AH11" i="2"/>
  <c r="AI6" i="2"/>
  <c r="AH444" i="2"/>
  <c r="AI83" i="2" l="1"/>
  <c r="AE332" i="2"/>
  <c r="AE329" i="2"/>
  <c r="AE244" i="2"/>
  <c r="AE326" i="2"/>
  <c r="AQ371" i="2"/>
  <c r="AF360" i="2"/>
  <c r="AL366" i="2"/>
  <c r="AG361" i="2"/>
  <c r="AW377" i="2"/>
  <c r="AO369" i="2"/>
  <c r="AE359" i="2"/>
  <c r="AS373" i="2"/>
  <c r="AH362" i="2"/>
  <c r="AF33" i="2"/>
  <c r="AV376" i="2"/>
  <c r="AT374" i="2"/>
  <c r="AN368" i="2"/>
  <c r="AD358" i="2"/>
  <c r="AK365" i="2"/>
  <c r="AE357" i="2"/>
  <c r="AU374" i="2" s="1"/>
  <c r="AM367" i="2"/>
  <c r="AI363" i="2"/>
  <c r="AR372" i="2"/>
  <c r="AJ364" i="2"/>
  <c r="AP370" i="2"/>
  <c r="AI1084" i="2"/>
  <c r="AI1056" i="2"/>
  <c r="AI841" i="2"/>
  <c r="AI968" i="2"/>
  <c r="AI1028" i="2"/>
  <c r="AI46" i="2"/>
  <c r="AI11" i="2"/>
  <c r="AJ6" i="2"/>
  <c r="AI444" i="2"/>
  <c r="AJ83" i="2" l="1"/>
  <c r="AF332" i="2"/>
  <c r="AF329" i="2"/>
  <c r="AF357" i="2"/>
  <c r="AT372" i="2" s="1"/>
  <c r="AF244" i="2"/>
  <c r="AF326" i="2"/>
  <c r="AW376" i="2"/>
  <c r="AS372" i="2"/>
  <c r="AG33" i="2"/>
  <c r="AM366" i="2"/>
  <c r="AV375" i="2"/>
  <c r="AO368" i="2"/>
  <c r="AF359" i="2"/>
  <c r="AH361" i="2"/>
  <c r="AL365" i="2"/>
  <c r="AG360" i="2"/>
  <c r="AE358" i="2"/>
  <c r="AX377" i="2"/>
  <c r="AT373" i="2"/>
  <c r="AN367" i="2"/>
  <c r="AK364" i="2"/>
  <c r="AJ363" i="2"/>
  <c r="AP369" i="2"/>
  <c r="AI362" i="2"/>
  <c r="AR371" i="2"/>
  <c r="AQ370" i="2"/>
  <c r="AJ1084" i="2"/>
  <c r="AJ841" i="2"/>
  <c r="AJ968" i="2"/>
  <c r="AJ1028" i="2"/>
  <c r="AJ1056" i="2"/>
  <c r="AJ11" i="2"/>
  <c r="AK6" i="2"/>
  <c r="AJ46" i="2"/>
  <c r="AJ444" i="2"/>
  <c r="AK83" i="2" l="1"/>
  <c r="AG332" i="2"/>
  <c r="AG329" i="2"/>
  <c r="AO367" i="2"/>
  <c r="AL364" i="2"/>
  <c r="AF358" i="2"/>
  <c r="AS371" i="2"/>
  <c r="AM365" i="2"/>
  <c r="AX376" i="2"/>
  <c r="AW375" i="2"/>
  <c r="AU373" i="2"/>
  <c r="AR370" i="2"/>
  <c r="AV374" i="2"/>
  <c r="AI361" i="2"/>
  <c r="AN366" i="2"/>
  <c r="AQ369" i="2"/>
  <c r="AJ362" i="2"/>
  <c r="AG359" i="2"/>
  <c r="AH360" i="2"/>
  <c r="AK363" i="2"/>
  <c r="AP368" i="2"/>
  <c r="AY377" i="2"/>
  <c r="AG357" i="2"/>
  <c r="AX375" i="2" s="1"/>
  <c r="AG244" i="2"/>
  <c r="AG326" i="2"/>
  <c r="AH33" i="2"/>
  <c r="AK968" i="2"/>
  <c r="AK1028" i="2"/>
  <c r="AK1084" i="2"/>
  <c r="AK1056" i="2"/>
  <c r="AK841" i="2"/>
  <c r="AL6" i="2"/>
  <c r="AK46" i="2"/>
  <c r="AK11" i="2"/>
  <c r="AK444" i="2"/>
  <c r="AL83" i="2" l="1"/>
  <c r="AH332" i="2"/>
  <c r="AH329" i="2"/>
  <c r="AU372" i="2"/>
  <c r="AG358" i="2"/>
  <c r="AH359" i="2"/>
  <c r="AT371" i="2"/>
  <c r="AI360" i="2"/>
  <c r="AM364" i="2"/>
  <c r="AQ368" i="2"/>
  <c r="AO366" i="2"/>
  <c r="AZ377" i="2"/>
  <c r="AY376" i="2"/>
  <c r="AN365" i="2"/>
  <c r="AP367" i="2"/>
  <c r="AS370" i="2"/>
  <c r="AR369" i="2"/>
  <c r="AW374" i="2"/>
  <c r="AJ361" i="2"/>
  <c r="AL363" i="2"/>
  <c r="AK362" i="2"/>
  <c r="AV373" i="2"/>
  <c r="AH244" i="2"/>
  <c r="AH326" i="2"/>
  <c r="AH357" i="2"/>
  <c r="BA377" i="2" s="1"/>
  <c r="AI33" i="2"/>
  <c r="AL1084" i="2"/>
  <c r="AL1028" i="2"/>
  <c r="AL1056" i="2"/>
  <c r="AL841" i="2"/>
  <c r="AL968" i="2"/>
  <c r="AL46" i="2"/>
  <c r="AL11" i="2"/>
  <c r="AM6" i="2"/>
  <c r="AL444" i="2"/>
  <c r="AM83" i="2" l="1"/>
  <c r="AI244" i="2"/>
  <c r="AI329" i="2"/>
  <c r="AI332" i="2"/>
  <c r="AI326" i="2"/>
  <c r="AI357" i="2"/>
  <c r="BB377" i="2" s="1"/>
  <c r="AJ33" i="2"/>
  <c r="AZ376" i="2"/>
  <c r="AY375" i="2"/>
  <c r="AU371" i="2"/>
  <c r="AI359" i="2"/>
  <c r="AJ360" i="2"/>
  <c r="AL362" i="2"/>
  <c r="AW373" i="2"/>
  <c r="AP366" i="2"/>
  <c r="AV372" i="2"/>
  <c r="AQ367" i="2"/>
  <c r="AR368" i="2"/>
  <c r="AS369" i="2"/>
  <c r="AK361" i="2"/>
  <c r="AN364" i="2"/>
  <c r="AM363" i="2"/>
  <c r="AO365" i="2"/>
  <c r="AX374" i="2"/>
  <c r="AT370" i="2"/>
  <c r="AH358" i="2"/>
  <c r="AM1084" i="2"/>
  <c r="AM1056" i="2"/>
  <c r="AM841" i="2"/>
  <c r="AM968" i="2"/>
  <c r="AM1028" i="2"/>
  <c r="AM46" i="2"/>
  <c r="AM11" i="2"/>
  <c r="AN6" i="2"/>
  <c r="AM444" i="2"/>
  <c r="AN83" i="2" l="1"/>
  <c r="AJ244" i="2"/>
  <c r="AJ332" i="2"/>
  <c r="AJ329" i="2"/>
  <c r="AJ326" i="2"/>
  <c r="AM362" i="2"/>
  <c r="AZ375" i="2"/>
  <c r="AO364" i="2"/>
  <c r="AK33" i="2"/>
  <c r="AL361" i="2"/>
  <c r="AJ357" i="2"/>
  <c r="AW371" i="2" s="1"/>
  <c r="AS368" i="2"/>
  <c r="AJ359" i="2"/>
  <c r="AU370" i="2"/>
  <c r="AV371" i="2"/>
  <c r="AI358" i="2"/>
  <c r="AX373" i="2"/>
  <c r="AP365" i="2"/>
  <c r="AY374" i="2"/>
  <c r="AW372" i="2"/>
  <c r="AQ366" i="2"/>
  <c r="AR367" i="2"/>
  <c r="AT369" i="2"/>
  <c r="BA376" i="2"/>
  <c r="AK360" i="2"/>
  <c r="AN363" i="2"/>
  <c r="AN1084" i="2"/>
  <c r="AN841" i="2"/>
  <c r="AN968" i="2"/>
  <c r="AN1028" i="2"/>
  <c r="AN1056" i="2"/>
  <c r="AN11" i="2"/>
  <c r="AO6" i="2"/>
  <c r="AN46" i="2"/>
  <c r="AN444" i="2"/>
  <c r="AO83" i="2" l="1"/>
  <c r="AK332" i="2"/>
  <c r="AK329" i="2"/>
  <c r="AK357" i="2"/>
  <c r="AZ373" i="2" s="1"/>
  <c r="AK244" i="2"/>
  <c r="AK326" i="2"/>
  <c r="AL33" i="2"/>
  <c r="AU369" i="2"/>
  <c r="AT368" i="2"/>
  <c r="AM361" i="2"/>
  <c r="BA375" i="2"/>
  <c r="AS367" i="2"/>
  <c r="AK359" i="2"/>
  <c r="AQ365" i="2"/>
  <c r="BB376" i="2"/>
  <c r="AJ358" i="2"/>
  <c r="BC377" i="2"/>
  <c r="AO363" i="2"/>
  <c r="AZ374" i="2"/>
  <c r="AX372" i="2"/>
  <c r="AR366" i="2"/>
  <c r="AY373" i="2"/>
  <c r="AN362" i="2"/>
  <c r="AP364" i="2"/>
  <c r="AV370" i="2"/>
  <c r="AL360" i="2"/>
  <c r="AO968" i="2"/>
  <c r="AO1084" i="2"/>
  <c r="AO1028" i="2"/>
  <c r="AO1056" i="2"/>
  <c r="AO841" i="2"/>
  <c r="AP6" i="2"/>
  <c r="AO46" i="2"/>
  <c r="AO11" i="2"/>
  <c r="AO444" i="2"/>
  <c r="AP83" i="2" l="1"/>
  <c r="AL244" i="2"/>
  <c r="AL329" i="2"/>
  <c r="AL332" i="2"/>
  <c r="AY372" i="2"/>
  <c r="AN361" i="2"/>
  <c r="AK358" i="2"/>
  <c r="AR365" i="2"/>
  <c r="AV369" i="2"/>
  <c r="AT367" i="2"/>
  <c r="BB375" i="2"/>
  <c r="AW370" i="2"/>
  <c r="AQ364" i="2"/>
  <c r="AP363" i="2"/>
  <c r="BA374" i="2"/>
  <c r="AU368" i="2"/>
  <c r="BD377" i="2"/>
  <c r="AL359" i="2"/>
  <c r="AO362" i="2"/>
  <c r="BC376" i="2"/>
  <c r="AX371" i="2"/>
  <c r="AS366" i="2"/>
  <c r="AM360" i="2"/>
  <c r="AL326" i="2"/>
  <c r="AM33" i="2"/>
  <c r="AL357" i="2"/>
  <c r="AU367" i="2" s="1"/>
  <c r="AP1084" i="2"/>
  <c r="AP1028" i="2"/>
  <c r="AP1056" i="2"/>
  <c r="AP841" i="2"/>
  <c r="AP968" i="2"/>
  <c r="AP46" i="2"/>
  <c r="AP11" i="2"/>
  <c r="AQ6" i="2"/>
  <c r="AP444" i="2"/>
  <c r="AQ83" i="2" l="1"/>
  <c r="AM244" i="2"/>
  <c r="AM332" i="2"/>
  <c r="AM329" i="2"/>
  <c r="AM326" i="2"/>
  <c r="AN33" i="2"/>
  <c r="AM357" i="2"/>
  <c r="AX369" i="2" s="1"/>
  <c r="AM359" i="2"/>
  <c r="AQ363" i="2"/>
  <c r="AR364" i="2"/>
  <c r="AZ372" i="2"/>
  <c r="AX370" i="2"/>
  <c r="AV368" i="2"/>
  <c r="BB374" i="2"/>
  <c r="AS365" i="2"/>
  <c r="AN360" i="2"/>
  <c r="AY371" i="2"/>
  <c r="AO361" i="2"/>
  <c r="AL358" i="2"/>
  <c r="BA373" i="2"/>
  <c r="BC375" i="2"/>
  <c r="AP362" i="2"/>
  <c r="BD376" i="2"/>
  <c r="AT366" i="2"/>
  <c r="AW369" i="2"/>
  <c r="AQ1084" i="2"/>
  <c r="AQ1056" i="2"/>
  <c r="AQ841" i="2"/>
  <c r="AQ968" i="2"/>
  <c r="AQ1028" i="2"/>
  <c r="AQ46" i="2"/>
  <c r="AQ11" i="2"/>
  <c r="AR6" i="2"/>
  <c r="AQ444" i="2"/>
  <c r="AR83" i="2" l="1"/>
  <c r="AN332" i="2"/>
  <c r="AN329" i="2"/>
  <c r="AN357" i="2"/>
  <c r="AU365" i="2" s="1"/>
  <c r="AN244" i="2"/>
  <c r="AN326" i="2"/>
  <c r="AO33" i="2"/>
  <c r="BB373" i="2"/>
  <c r="AM358" i="2"/>
  <c r="AN359" i="2"/>
  <c r="BD375" i="2"/>
  <c r="AW368" i="2"/>
  <c r="AZ371" i="2"/>
  <c r="AQ362" i="2"/>
  <c r="AV367" i="2"/>
  <c r="AS364" i="2"/>
  <c r="AT365" i="2"/>
  <c r="AR363" i="2"/>
  <c r="AY370" i="2"/>
  <c r="AO360" i="2"/>
  <c r="AP361" i="2"/>
  <c r="BC374" i="2"/>
  <c r="AU366" i="2"/>
  <c r="BA372" i="2"/>
  <c r="AR1084" i="2"/>
  <c r="AR841" i="2"/>
  <c r="AR968" i="2"/>
  <c r="AR1028" i="2"/>
  <c r="AR1056" i="2"/>
  <c r="AR11" i="2"/>
  <c r="AS6" i="2"/>
  <c r="AR46" i="2"/>
  <c r="AR444" i="2"/>
  <c r="AS83" i="2" l="1"/>
  <c r="AO332" i="2"/>
  <c r="AO329" i="2"/>
  <c r="AS363" i="2"/>
  <c r="BB372" i="2"/>
  <c r="AO359" i="2"/>
  <c r="AP360" i="2"/>
  <c r="AW367" i="2"/>
  <c r="AV366" i="2"/>
  <c r="AX368" i="2"/>
  <c r="AT364" i="2"/>
  <c r="AY369" i="2"/>
  <c r="AR362" i="2"/>
  <c r="BD374" i="2"/>
  <c r="AZ370" i="2"/>
  <c r="AN358" i="2"/>
  <c r="BA371" i="2"/>
  <c r="AQ361" i="2"/>
  <c r="BC373" i="2"/>
  <c r="AO244" i="2"/>
  <c r="AO326" i="2"/>
  <c r="AP33" i="2"/>
  <c r="AO357" i="2"/>
  <c r="AV365" i="2" s="1"/>
  <c r="AS1084" i="2"/>
  <c r="AS968" i="2"/>
  <c r="AS1028" i="2"/>
  <c r="AS1056" i="2"/>
  <c r="AS841" i="2"/>
  <c r="AT6" i="2"/>
  <c r="AS46" i="2"/>
  <c r="AS11" i="2"/>
  <c r="AS444" i="2"/>
  <c r="AT83" i="2" l="1"/>
  <c r="AP332" i="2"/>
  <c r="AP329" i="2"/>
  <c r="AP244" i="2"/>
  <c r="BD373" i="2"/>
  <c r="AP357" i="2"/>
  <c r="BD372" i="2" s="1"/>
  <c r="AY368" i="2"/>
  <c r="BA370" i="2"/>
  <c r="AW366" i="2"/>
  <c r="AU364" i="2"/>
  <c r="AZ369" i="2"/>
  <c r="BB371" i="2"/>
  <c r="AQ360" i="2"/>
  <c r="AR361" i="2"/>
  <c r="AO358" i="2"/>
  <c r="AT363" i="2"/>
  <c r="AX367" i="2"/>
  <c r="BC372" i="2"/>
  <c r="AS362" i="2"/>
  <c r="AP359" i="2"/>
  <c r="AP326" i="2"/>
  <c r="AQ33" i="2"/>
  <c r="AT1084" i="2"/>
  <c r="AT1028" i="2"/>
  <c r="AT1056" i="2"/>
  <c r="AT841" i="2"/>
  <c r="AT968" i="2"/>
  <c r="AT46" i="2"/>
  <c r="AT11" i="2"/>
  <c r="AU6" i="2"/>
  <c r="AT444" i="2"/>
  <c r="AU83" i="2" l="1"/>
  <c r="AQ332" i="2"/>
  <c r="AQ329" i="2"/>
  <c r="AQ244" i="2"/>
  <c r="AV364" i="2"/>
  <c r="AY367" i="2"/>
  <c r="AZ368" i="2"/>
  <c r="BA369" i="2"/>
  <c r="AU363" i="2"/>
  <c r="BC371" i="2"/>
  <c r="AW365" i="2"/>
  <c r="AQ359" i="2"/>
  <c r="AR360" i="2"/>
  <c r="AX366" i="2"/>
  <c r="AP358" i="2"/>
  <c r="BB370" i="2"/>
  <c r="AT362" i="2"/>
  <c r="AS361" i="2"/>
  <c r="AQ357" i="2"/>
  <c r="AT361" i="2" s="1"/>
  <c r="AQ326" i="2"/>
  <c r="AR33" i="2"/>
  <c r="AU1084" i="2"/>
  <c r="AU1056" i="2"/>
  <c r="AU841" i="2"/>
  <c r="AU968" i="2"/>
  <c r="AU1028" i="2"/>
  <c r="AU46" i="2"/>
  <c r="AU11" i="2"/>
  <c r="AV6" i="2"/>
  <c r="AU444" i="2"/>
  <c r="AV83" i="2" l="1"/>
  <c r="AR329" i="2"/>
  <c r="AR332" i="2"/>
  <c r="AR244" i="2"/>
  <c r="BC370" i="2"/>
  <c r="AX365" i="2"/>
  <c r="AS360" i="2"/>
  <c r="AZ367" i="2"/>
  <c r="AR359" i="2"/>
  <c r="AW364" i="2"/>
  <c r="AU362" i="2"/>
  <c r="AQ358" i="2"/>
  <c r="AV363" i="2"/>
  <c r="BA368" i="2"/>
  <c r="AR326" i="2"/>
  <c r="AY366" i="2"/>
  <c r="BB369" i="2"/>
  <c r="BD371" i="2"/>
  <c r="AS33" i="2"/>
  <c r="AR357" i="2"/>
  <c r="AX364" i="2" s="1"/>
  <c r="AV1084" i="2"/>
  <c r="AV841" i="2"/>
  <c r="AV968" i="2"/>
  <c r="AV1028" i="2"/>
  <c r="AV1056" i="2"/>
  <c r="AV11" i="2"/>
  <c r="AW6" i="2"/>
  <c r="AV46" i="2"/>
  <c r="AV444" i="2"/>
  <c r="AW83" i="2" l="1"/>
  <c r="AS329" i="2"/>
  <c r="AS332" i="2"/>
  <c r="AS357" i="2"/>
  <c r="AV361" i="2" s="1"/>
  <c r="AS244" i="2"/>
  <c r="AU361" i="2"/>
  <c r="BB368" i="2"/>
  <c r="BD370" i="2"/>
  <c r="AS359" i="2"/>
  <c r="AT360" i="2"/>
  <c r="AT33" i="2"/>
  <c r="AS326" i="2"/>
  <c r="AZ366" i="2"/>
  <c r="AR358" i="2"/>
  <c r="AW363" i="2"/>
  <c r="AY365" i="2"/>
  <c r="AV362" i="2"/>
  <c r="BA367" i="2"/>
  <c r="BC369" i="2"/>
  <c r="AW968" i="2"/>
  <c r="AW1028" i="2"/>
  <c r="AW1056" i="2"/>
  <c r="AW1084" i="2"/>
  <c r="AW841" i="2"/>
  <c r="AX6" i="2"/>
  <c r="AW46" i="2"/>
  <c r="AW11" i="2"/>
  <c r="AW444" i="2"/>
  <c r="AX83" i="2" l="1"/>
  <c r="AT332" i="2"/>
  <c r="AT329" i="2"/>
  <c r="BA366" i="2"/>
  <c r="AX363" i="2"/>
  <c r="BB367" i="2"/>
  <c r="BD369" i="2"/>
  <c r="BC368" i="2"/>
  <c r="AT359" i="2"/>
  <c r="AU360" i="2"/>
  <c r="AZ365" i="2"/>
  <c r="AW362" i="2"/>
  <c r="AY364" i="2"/>
  <c r="AS358" i="2"/>
  <c r="AT326" i="2"/>
  <c r="AT244" i="2"/>
  <c r="AU33" i="2"/>
  <c r="AT357" i="2"/>
  <c r="AX362" i="2" s="1"/>
  <c r="AX1084" i="2"/>
  <c r="AX1028" i="2"/>
  <c r="AX1056" i="2"/>
  <c r="AX841" i="2"/>
  <c r="AX968" i="2"/>
  <c r="AX46" i="2"/>
  <c r="AX11" i="2"/>
  <c r="AY6" i="2"/>
  <c r="AX444" i="2"/>
  <c r="AY83" i="2" l="1"/>
  <c r="AU332" i="2"/>
  <c r="AU329" i="2"/>
  <c r="AU357" i="2"/>
  <c r="AZ363" i="2" s="1"/>
  <c r="AU244" i="2"/>
  <c r="AU326" i="2"/>
  <c r="AV33" i="2"/>
  <c r="AW361" i="2"/>
  <c r="AU359" i="2"/>
  <c r="AZ364" i="2"/>
  <c r="BA365" i="2"/>
  <c r="BB366" i="2"/>
  <c r="BC367" i="2"/>
  <c r="AV360" i="2"/>
  <c r="BD368" i="2"/>
  <c r="AY363" i="2"/>
  <c r="AT358" i="2"/>
  <c r="AY1084" i="2"/>
  <c r="AY1056" i="2"/>
  <c r="AY841" i="2"/>
  <c r="AY968" i="2"/>
  <c r="AY1028" i="2"/>
  <c r="AY46" i="2"/>
  <c r="AY11" i="2"/>
  <c r="AZ6" i="2"/>
  <c r="AY444" i="2"/>
  <c r="AZ83" i="2" l="1"/>
  <c r="AV332" i="2"/>
  <c r="AV329" i="2"/>
  <c r="BD367" i="2"/>
  <c r="AY362" i="2"/>
  <c r="BB365" i="2"/>
  <c r="AW360" i="2"/>
  <c r="AX361" i="2"/>
  <c r="BC366" i="2"/>
  <c r="BA364" i="2"/>
  <c r="AV359" i="2"/>
  <c r="AU358" i="2"/>
  <c r="AV326" i="2"/>
  <c r="AV244" i="2"/>
  <c r="AV357" i="2"/>
  <c r="BD366" i="2" s="1"/>
  <c r="AW33" i="2"/>
  <c r="AZ1084" i="2"/>
  <c r="AZ841" i="2"/>
  <c r="AZ968" i="2"/>
  <c r="AZ1028" i="2"/>
  <c r="AZ1056" i="2"/>
  <c r="AZ11" i="2"/>
  <c r="BA6" i="2"/>
  <c r="AZ46" i="2"/>
  <c r="AZ444" i="2"/>
  <c r="BA83" i="2" l="1"/>
  <c r="AW329" i="2"/>
  <c r="AW332" i="2"/>
  <c r="AX33" i="2"/>
  <c r="AX326" i="2" s="1"/>
  <c r="AW244" i="2"/>
  <c r="AW326" i="2"/>
  <c r="AW357" i="2"/>
  <c r="AY360" i="2" s="1"/>
  <c r="BB364" i="2"/>
  <c r="AZ362" i="2"/>
  <c r="BA363" i="2"/>
  <c r="AX360" i="2"/>
  <c r="BC365" i="2"/>
  <c r="AY361" i="2"/>
  <c r="AW359" i="2"/>
  <c r="AV358" i="2"/>
  <c r="BA968" i="2"/>
  <c r="BA1028" i="2"/>
  <c r="BA1084" i="2"/>
  <c r="BA1056" i="2"/>
  <c r="BA841" i="2"/>
  <c r="BB6" i="2"/>
  <c r="BA46" i="2"/>
  <c r="BA11" i="2"/>
  <c r="BA444" i="2"/>
  <c r="BB83" i="2" l="1"/>
  <c r="AX244" i="2"/>
  <c r="AX329" i="2"/>
  <c r="AX332" i="2"/>
  <c r="AY33" i="2"/>
  <c r="AY326" i="2" s="1"/>
  <c r="AX357" i="2"/>
  <c r="AY359" i="2" s="1"/>
  <c r="BB363" i="2"/>
  <c r="BD365" i="2"/>
  <c r="AW358" i="2"/>
  <c r="BC364" i="2"/>
  <c r="AX359" i="2"/>
  <c r="AZ361" i="2"/>
  <c r="BA362" i="2"/>
  <c r="BB1084" i="2"/>
  <c r="BB1028" i="2"/>
  <c r="BB1056" i="2"/>
  <c r="BB841" i="2"/>
  <c r="BB968" i="2"/>
  <c r="BB46" i="2"/>
  <c r="BB11" i="2"/>
  <c r="BC6" i="2"/>
  <c r="BB444" i="2"/>
  <c r="BC83" i="2" l="1"/>
  <c r="AY244" i="2"/>
  <c r="AY332" i="2"/>
  <c r="AY329" i="2"/>
  <c r="BB362" i="2"/>
  <c r="BD364" i="2"/>
  <c r="AX358" i="2"/>
  <c r="BA361" i="2"/>
  <c r="BC363" i="2"/>
  <c r="AZ360" i="2"/>
  <c r="AZ33" i="2"/>
  <c r="AZ326" i="2" s="1"/>
  <c r="AY357" i="2"/>
  <c r="BA360" i="2" s="1"/>
  <c r="BC1084" i="2"/>
  <c r="BC1056" i="2"/>
  <c r="BC841" i="2"/>
  <c r="BC968" i="2"/>
  <c r="BC1028" i="2"/>
  <c r="BC46" i="2"/>
  <c r="BC11" i="2"/>
  <c r="BD6" i="2"/>
  <c r="BC444" i="2"/>
  <c r="AZ244" i="2" l="1"/>
  <c r="AZ329" i="2"/>
  <c r="AZ332" i="2"/>
  <c r="AZ357" i="2"/>
  <c r="BD362" i="2" s="1"/>
  <c r="BA33" i="2"/>
  <c r="BB361" i="2"/>
  <c r="BC362" i="2"/>
  <c r="AZ359" i="2"/>
  <c r="AY358" i="2"/>
  <c r="BD363" i="2"/>
  <c r="BD83" i="2"/>
  <c r="BD1084" i="2"/>
  <c r="BD841" i="2"/>
  <c r="BD968" i="2"/>
  <c r="BD1028" i="2"/>
  <c r="BD1056" i="2"/>
  <c r="BD11" i="2"/>
  <c r="BD46" i="2"/>
  <c r="BD444" i="2"/>
  <c r="BA244" i="2" l="1"/>
  <c r="BA332" i="2"/>
  <c r="BA329" i="2"/>
  <c r="BA326" i="2"/>
  <c r="BB360" i="2"/>
  <c r="AZ358" i="2"/>
  <c r="BC361" i="2"/>
  <c r="BA359" i="2"/>
  <c r="BB33" i="2"/>
  <c r="BB326" i="2" s="1"/>
  <c r="BA357" i="2"/>
  <c r="BB359" i="2" s="1"/>
  <c r="BB244" i="2" l="1"/>
  <c r="BB332" i="2"/>
  <c r="BB329" i="2"/>
  <c r="BC33" i="2"/>
  <c r="BB357" i="2"/>
  <c r="BC359" i="2" s="1"/>
  <c r="BA358" i="2"/>
  <c r="BC360" i="2"/>
  <c r="BD361" i="2"/>
  <c r="BC244" i="2" l="1"/>
  <c r="BC329" i="2"/>
  <c r="BC332" i="2"/>
  <c r="BC326" i="2"/>
  <c r="BD33" i="2"/>
  <c r="K36" i="2" s="1"/>
  <c r="BB358" i="2"/>
  <c r="BD360" i="2"/>
  <c r="BC357" i="2"/>
  <c r="BD359" i="2" s="1"/>
  <c r="BD326" i="2" l="1"/>
  <c r="C326" i="2" s="1"/>
  <c r="AZ36" i="2"/>
  <c r="AX36" i="2"/>
  <c r="AD36" i="2"/>
  <c r="AK36" i="2"/>
  <c r="BD357" i="2"/>
  <c r="BD358" i="2" s="1"/>
  <c r="AU36" i="2"/>
  <c r="BA36" i="2"/>
  <c r="AS36" i="2"/>
  <c r="R36" i="2"/>
  <c r="BB36" i="2"/>
  <c r="AQ36" i="2"/>
  <c r="N36" i="2"/>
  <c r="V36" i="2"/>
  <c r="BC36" i="2"/>
  <c r="AR36" i="2"/>
  <c r="L36" i="2"/>
  <c r="AT36" i="2"/>
  <c r="AY36" i="2"/>
  <c r="AM36" i="2"/>
  <c r="J36" i="2"/>
  <c r="T36" i="2"/>
  <c r="M36" i="2"/>
  <c r="AF36" i="2"/>
  <c r="S36" i="2"/>
  <c r="BD244" i="2"/>
  <c r="BD332" i="2"/>
  <c r="BD329" i="2"/>
  <c r="C329" i="2" s="1"/>
  <c r="AW36" i="2"/>
  <c r="AC36" i="2"/>
  <c r="Q36" i="2"/>
  <c r="I36" i="2"/>
  <c r="AO36" i="2"/>
  <c r="P36" i="2"/>
  <c r="H36" i="2"/>
  <c r="AV36" i="2"/>
  <c r="O36" i="2"/>
  <c r="G36" i="2"/>
  <c r="BD36" i="2"/>
  <c r="BC358" i="2"/>
  <c r="F1249" i="2"/>
  <c r="D11" i="18"/>
  <c r="G192" i="2"/>
  <c r="G186" i="2"/>
  <c r="G183" i="2"/>
  <c r="G187" i="2"/>
  <c r="G190" i="2"/>
  <c r="G193" i="2"/>
  <c r="G181" i="2"/>
  <c r="G48" i="2"/>
  <c r="G115" i="2" s="1"/>
  <c r="G189" i="2"/>
  <c r="G185" i="2"/>
  <c r="G191" i="2"/>
  <c r="G194" i="2"/>
  <c r="G184" i="2"/>
  <c r="G182" i="2"/>
  <c r="W210" i="13"/>
  <c r="AN210" i="13"/>
  <c r="G188" i="2"/>
  <c r="AI210" i="13"/>
  <c r="AX210" i="13"/>
  <c r="L210" i="13"/>
  <c r="AO210" i="13"/>
  <c r="S210" i="13"/>
  <c r="AG210" i="13"/>
  <c r="AA210" i="13"/>
  <c r="U210" i="13"/>
  <c r="T210" i="13"/>
  <c r="M158" i="2" l="1"/>
  <c r="M157" i="2"/>
  <c r="M156" i="2"/>
  <c r="M154" i="2"/>
  <c r="M146" i="2"/>
  <c r="M148" i="2"/>
  <c r="M155" i="2"/>
  <c r="M147" i="2"/>
  <c r="M145" i="2"/>
  <c r="M152" i="2"/>
  <c r="M153" i="2"/>
  <c r="M149" i="2"/>
  <c r="M150" i="2"/>
  <c r="M151" i="2"/>
  <c r="AP155" i="2"/>
  <c r="AP154" i="2"/>
  <c r="AP150" i="2"/>
  <c r="AP152" i="2"/>
  <c r="AP147" i="2"/>
  <c r="AP149" i="2"/>
  <c r="AP148" i="2"/>
  <c r="AP146" i="2"/>
  <c r="AP157" i="2"/>
  <c r="AP156" i="2"/>
  <c r="AP153" i="2"/>
  <c r="AP145" i="2"/>
  <c r="AP158" i="2"/>
  <c r="AP151" i="2"/>
  <c r="U158" i="2"/>
  <c r="U157" i="2"/>
  <c r="U156" i="2"/>
  <c r="U151" i="2"/>
  <c r="U154" i="2"/>
  <c r="U155" i="2"/>
  <c r="U147" i="2"/>
  <c r="U145" i="2"/>
  <c r="U152" i="2"/>
  <c r="U146" i="2"/>
  <c r="U153" i="2"/>
  <c r="U149" i="2"/>
  <c r="U148" i="2"/>
  <c r="U150" i="2"/>
  <c r="AJ145" i="2"/>
  <c r="AJ149" i="2"/>
  <c r="AJ153" i="2"/>
  <c r="AJ148" i="2"/>
  <c r="AJ151" i="2"/>
  <c r="AJ152" i="2"/>
  <c r="AJ158" i="2"/>
  <c r="AJ157" i="2"/>
  <c r="AJ156" i="2"/>
  <c r="AJ147" i="2"/>
  <c r="AJ155" i="2"/>
  <c r="AJ154" i="2"/>
  <c r="AJ146" i="2"/>
  <c r="AJ150" i="2"/>
  <c r="V152" i="2"/>
  <c r="V145" i="2"/>
  <c r="V158" i="2"/>
  <c r="V157" i="2"/>
  <c r="V156" i="2"/>
  <c r="V151" i="2"/>
  <c r="V149" i="2"/>
  <c r="V155" i="2"/>
  <c r="V154" i="2"/>
  <c r="V146" i="2"/>
  <c r="V153" i="2"/>
  <c r="V148" i="2"/>
  <c r="V147" i="2"/>
  <c r="V150" i="2"/>
  <c r="T152" i="2"/>
  <c r="T145" i="2"/>
  <c r="T148" i="2"/>
  <c r="T147" i="2"/>
  <c r="T150" i="2"/>
  <c r="T149" i="2"/>
  <c r="T151" i="2"/>
  <c r="T158" i="2"/>
  <c r="T157" i="2"/>
  <c r="T156" i="2"/>
  <c r="T153" i="2"/>
  <c r="T146" i="2"/>
  <c r="T155" i="2"/>
  <c r="T154" i="2"/>
  <c r="AY145" i="2"/>
  <c r="AY158" i="2"/>
  <c r="AY157" i="2"/>
  <c r="AY146" i="2"/>
  <c r="AY155" i="2"/>
  <c r="AY154" i="2"/>
  <c r="AY153" i="2"/>
  <c r="AY152" i="2"/>
  <c r="AY151" i="2"/>
  <c r="AY149" i="2"/>
  <c r="AY150" i="2"/>
  <c r="AY148" i="2"/>
  <c r="AY147" i="2"/>
  <c r="AY156" i="2"/>
  <c r="AB149" i="2"/>
  <c r="AB145" i="2"/>
  <c r="AB152" i="2"/>
  <c r="AB148" i="2"/>
  <c r="AB151" i="2"/>
  <c r="AB153" i="2"/>
  <c r="AB158" i="2"/>
  <c r="AB157" i="2"/>
  <c r="AB156" i="2"/>
  <c r="AB147" i="2"/>
  <c r="AB155" i="2"/>
  <c r="AB154" i="2"/>
  <c r="AB146" i="2"/>
  <c r="AB150" i="2"/>
  <c r="AO151" i="2"/>
  <c r="AO146" i="2"/>
  <c r="AO150" i="2"/>
  <c r="AO152" i="2"/>
  <c r="AO149" i="2"/>
  <c r="AO158" i="2"/>
  <c r="AO157" i="2"/>
  <c r="AO156" i="2"/>
  <c r="AO153" i="2"/>
  <c r="AO145" i="2"/>
  <c r="AO155" i="2"/>
  <c r="AO154" i="2"/>
  <c r="AO148" i="2"/>
  <c r="AO147" i="2"/>
  <c r="AH145" i="2"/>
  <c r="AH158" i="2"/>
  <c r="AH148" i="2"/>
  <c r="AH155" i="2"/>
  <c r="AH154" i="2"/>
  <c r="AH150" i="2"/>
  <c r="AH152" i="2"/>
  <c r="AH146" i="2"/>
  <c r="AH149" i="2"/>
  <c r="AH151" i="2"/>
  <c r="AH157" i="2"/>
  <c r="AH156" i="2"/>
  <c r="AH153" i="2"/>
  <c r="AH147" i="2"/>
  <c r="X151" i="2"/>
  <c r="X146" i="2"/>
  <c r="X145" i="2"/>
  <c r="X148" i="2"/>
  <c r="X147" i="2"/>
  <c r="X158" i="2"/>
  <c r="X157" i="2"/>
  <c r="X156" i="2"/>
  <c r="X153" i="2"/>
  <c r="X149" i="2"/>
  <c r="X152" i="2"/>
  <c r="X155" i="2"/>
  <c r="X154" i="2"/>
  <c r="X150" i="2"/>
  <c r="T316" i="2"/>
  <c r="T13" i="2"/>
  <c r="T14" i="2" s="1"/>
  <c r="T175" i="2"/>
  <c r="T190" i="2" s="1"/>
  <c r="T173" i="2"/>
  <c r="T188" i="2" s="1"/>
  <c r="T172" i="2"/>
  <c r="T187" i="2" s="1"/>
  <c r="T179" i="2"/>
  <c r="T194" i="2" s="1"/>
  <c r="T166" i="2"/>
  <c r="T181" i="2" s="1"/>
  <c r="T167" i="2"/>
  <c r="T182" i="2" s="1"/>
  <c r="T174" i="2"/>
  <c r="T189" i="2" s="1"/>
  <c r="T170" i="2"/>
  <c r="T185" i="2" s="1"/>
  <c r="T176" i="2"/>
  <c r="T191" i="2" s="1"/>
  <c r="T169" i="2"/>
  <c r="T184" i="2" s="1"/>
  <c r="T177" i="2"/>
  <c r="T192" i="2" s="1"/>
  <c r="T168" i="2"/>
  <c r="T183" i="2" s="1"/>
  <c r="T178" i="2"/>
  <c r="T193" i="2" s="1"/>
  <c r="T171" i="2"/>
  <c r="T186" i="2" s="1"/>
  <c r="AY316" i="2"/>
  <c r="AY13" i="2"/>
  <c r="AY14" i="2" s="1"/>
  <c r="AY174" i="2"/>
  <c r="AY189" i="2" s="1"/>
  <c r="AY175" i="2"/>
  <c r="AY190" i="2" s="1"/>
  <c r="AY167" i="2"/>
  <c r="AY182" i="2" s="1"/>
  <c r="AY172" i="2"/>
  <c r="AY187" i="2" s="1"/>
  <c r="AY166" i="2"/>
  <c r="AY181" i="2" s="1"/>
  <c r="AY173" i="2"/>
  <c r="AY188" i="2" s="1"/>
  <c r="AY177" i="2"/>
  <c r="AY192" i="2" s="1"/>
  <c r="AY179" i="2"/>
  <c r="AY194" i="2" s="1"/>
  <c r="AY176" i="2"/>
  <c r="AY191" i="2" s="1"/>
  <c r="AY169" i="2"/>
  <c r="AY184" i="2" s="1"/>
  <c r="AY168" i="2"/>
  <c r="AY183" i="2" s="1"/>
  <c r="AY178" i="2"/>
  <c r="AY193" i="2" s="1"/>
  <c r="AY170" i="2"/>
  <c r="AY185" i="2" s="1"/>
  <c r="AY171" i="2"/>
  <c r="AY186" i="2" s="1"/>
  <c r="AJ316" i="2"/>
  <c r="AJ13" i="2"/>
  <c r="AJ47" i="2" s="1"/>
  <c r="AJ108" i="2" s="1"/>
  <c r="AJ179" i="2"/>
  <c r="AJ194" i="2" s="1"/>
  <c r="AJ172" i="2"/>
  <c r="AJ187" i="2" s="1"/>
  <c r="AJ167" i="2"/>
  <c r="AJ182" i="2" s="1"/>
  <c r="AJ166" i="2"/>
  <c r="AJ181" i="2" s="1"/>
  <c r="AJ174" i="2"/>
  <c r="AJ189" i="2" s="1"/>
  <c r="AJ175" i="2"/>
  <c r="AJ190" i="2" s="1"/>
  <c r="AJ173" i="2"/>
  <c r="AJ188" i="2" s="1"/>
  <c r="AJ170" i="2"/>
  <c r="AJ185" i="2" s="1"/>
  <c r="AJ177" i="2"/>
  <c r="AJ192" i="2" s="1"/>
  <c r="AJ169" i="2"/>
  <c r="AJ184" i="2" s="1"/>
  <c r="AJ168" i="2"/>
  <c r="AJ183" i="2" s="1"/>
  <c r="AJ178" i="2"/>
  <c r="AJ193" i="2" s="1"/>
  <c r="AJ176" i="2"/>
  <c r="AJ191" i="2" s="1"/>
  <c r="AJ171" i="2"/>
  <c r="AJ186" i="2" s="1"/>
  <c r="M316" i="2"/>
  <c r="M13" i="2"/>
  <c r="M14" i="2" s="1"/>
  <c r="M174" i="2"/>
  <c r="M189" i="2" s="1"/>
  <c r="M172" i="2"/>
  <c r="M187" i="2" s="1"/>
  <c r="M175" i="2"/>
  <c r="M190" i="2" s="1"/>
  <c r="M173" i="2"/>
  <c r="M188" i="2" s="1"/>
  <c r="M167" i="2"/>
  <c r="M182" i="2" s="1"/>
  <c r="M166" i="2"/>
  <c r="M181" i="2" s="1"/>
  <c r="M179" i="2"/>
  <c r="M194" i="2" s="1"/>
  <c r="M178" i="2"/>
  <c r="M193" i="2" s="1"/>
  <c r="M170" i="2"/>
  <c r="M185" i="2" s="1"/>
  <c r="M176" i="2"/>
  <c r="M191" i="2" s="1"/>
  <c r="M177" i="2"/>
  <c r="M192" i="2" s="1"/>
  <c r="M168" i="2"/>
  <c r="M183" i="2" s="1"/>
  <c r="M169" i="2"/>
  <c r="M184" i="2" s="1"/>
  <c r="M171" i="2"/>
  <c r="M186" i="2" s="1"/>
  <c r="V13" i="2"/>
  <c r="V14" i="2" s="1"/>
  <c r="V316" i="2"/>
  <c r="V167" i="2"/>
  <c r="V182" i="2" s="1"/>
  <c r="V174" i="2"/>
  <c r="V189" i="2" s="1"/>
  <c r="V166" i="2"/>
  <c r="V181" i="2" s="1"/>
  <c r="V172" i="2"/>
  <c r="V187" i="2" s="1"/>
  <c r="V179" i="2"/>
  <c r="V194" i="2" s="1"/>
  <c r="V175" i="2"/>
  <c r="V190" i="2" s="1"/>
  <c r="V173" i="2"/>
  <c r="V188" i="2" s="1"/>
  <c r="V168" i="2"/>
  <c r="V183" i="2" s="1"/>
  <c r="V177" i="2"/>
  <c r="V192" i="2" s="1"/>
  <c r="V176" i="2"/>
  <c r="V191" i="2" s="1"/>
  <c r="V178" i="2"/>
  <c r="V193" i="2" s="1"/>
  <c r="V169" i="2"/>
  <c r="V184" i="2" s="1"/>
  <c r="V170" i="2"/>
  <c r="V185" i="2" s="1"/>
  <c r="V171" i="2"/>
  <c r="V186" i="2" s="1"/>
  <c r="AB316" i="2"/>
  <c r="AB13" i="2"/>
  <c r="AB14" i="2" s="1"/>
  <c r="AB173" i="2"/>
  <c r="AB188" i="2" s="1"/>
  <c r="AB172" i="2"/>
  <c r="AB187" i="2" s="1"/>
  <c r="AB179" i="2"/>
  <c r="AB194" i="2" s="1"/>
  <c r="AB174" i="2"/>
  <c r="AB189" i="2" s="1"/>
  <c r="AB166" i="2"/>
  <c r="AB181" i="2" s="1"/>
  <c r="AB175" i="2"/>
  <c r="AB190" i="2" s="1"/>
  <c r="AB167" i="2"/>
  <c r="AB182" i="2" s="1"/>
  <c r="AB170" i="2"/>
  <c r="AB185" i="2" s="1"/>
  <c r="AB177" i="2"/>
  <c r="AB192" i="2" s="1"/>
  <c r="AB169" i="2"/>
  <c r="AB184" i="2" s="1"/>
  <c r="AB168" i="2"/>
  <c r="AB183" i="2" s="1"/>
  <c r="AB178" i="2"/>
  <c r="AB193" i="2" s="1"/>
  <c r="AB176" i="2"/>
  <c r="AB191" i="2" s="1"/>
  <c r="AB171" i="2"/>
  <c r="AB186" i="2" s="1"/>
  <c r="AO316" i="2"/>
  <c r="AO13" i="2"/>
  <c r="AO14" i="2" s="1"/>
  <c r="AO166" i="2"/>
  <c r="AO181" i="2" s="1"/>
  <c r="AO173" i="2"/>
  <c r="AO188" i="2" s="1"/>
  <c r="AO172" i="2"/>
  <c r="AO187" i="2" s="1"/>
  <c r="AO179" i="2"/>
  <c r="AO194" i="2" s="1"/>
  <c r="AO174" i="2"/>
  <c r="AO189" i="2" s="1"/>
  <c r="AO167" i="2"/>
  <c r="AO182" i="2" s="1"/>
  <c r="AO175" i="2"/>
  <c r="AO190" i="2" s="1"/>
  <c r="AO178" i="2"/>
  <c r="AO193" i="2" s="1"/>
  <c r="AO170" i="2"/>
  <c r="AO185" i="2" s="1"/>
  <c r="AO169" i="2"/>
  <c r="AO184" i="2" s="1"/>
  <c r="AO168" i="2"/>
  <c r="AO183" i="2" s="1"/>
  <c r="AO177" i="2"/>
  <c r="AO192" i="2" s="1"/>
  <c r="AO176" i="2"/>
  <c r="AO191" i="2" s="1"/>
  <c r="AO171" i="2"/>
  <c r="AO186" i="2" s="1"/>
  <c r="AP13" i="2"/>
  <c r="AP14" i="2" s="1"/>
  <c r="AP316" i="2"/>
  <c r="AP175" i="2"/>
  <c r="AP190" i="2" s="1"/>
  <c r="AP173" i="2"/>
  <c r="AP188" i="2" s="1"/>
  <c r="AP167" i="2"/>
  <c r="AP182" i="2" s="1"/>
  <c r="AP172" i="2"/>
  <c r="AP187" i="2" s="1"/>
  <c r="AP174" i="2"/>
  <c r="AP189" i="2" s="1"/>
  <c r="AP166" i="2"/>
  <c r="AP181" i="2" s="1"/>
  <c r="AP179" i="2"/>
  <c r="AP194" i="2" s="1"/>
  <c r="AP176" i="2"/>
  <c r="AP191" i="2" s="1"/>
  <c r="AP169" i="2"/>
  <c r="AP184" i="2" s="1"/>
  <c r="AP178" i="2"/>
  <c r="AP193" i="2" s="1"/>
  <c r="AP170" i="2"/>
  <c r="AP185" i="2" s="1"/>
  <c r="AP168" i="2"/>
  <c r="AP183" i="2" s="1"/>
  <c r="AP177" i="2"/>
  <c r="AP192" i="2" s="1"/>
  <c r="AP171" i="2"/>
  <c r="AP186" i="2" s="1"/>
  <c r="U316" i="2"/>
  <c r="U13" i="2"/>
  <c r="U14" i="2" s="1"/>
  <c r="U174" i="2"/>
  <c r="U189" i="2" s="1"/>
  <c r="U166" i="2"/>
  <c r="U181" i="2" s="1"/>
  <c r="U172" i="2"/>
  <c r="U187" i="2" s="1"/>
  <c r="U175" i="2"/>
  <c r="U190" i="2" s="1"/>
  <c r="U179" i="2"/>
  <c r="U194" i="2" s="1"/>
  <c r="U173" i="2"/>
  <c r="U188" i="2" s="1"/>
  <c r="U167" i="2"/>
  <c r="U182" i="2" s="1"/>
  <c r="U168" i="2"/>
  <c r="U183" i="2" s="1"/>
  <c r="U178" i="2"/>
  <c r="U193" i="2" s="1"/>
  <c r="U170" i="2"/>
  <c r="U185" i="2" s="1"/>
  <c r="U176" i="2"/>
  <c r="U191" i="2" s="1"/>
  <c r="U177" i="2"/>
  <c r="U192" i="2" s="1"/>
  <c r="U169" i="2"/>
  <c r="U184" i="2" s="1"/>
  <c r="U171" i="2"/>
  <c r="U186" i="2" s="1"/>
  <c r="AH13" i="2"/>
  <c r="AH14" i="2" s="1"/>
  <c r="AH316" i="2"/>
  <c r="AH167" i="2"/>
  <c r="AH182" i="2" s="1"/>
  <c r="AH179" i="2"/>
  <c r="AH194" i="2" s="1"/>
  <c r="AH175" i="2"/>
  <c r="AH190" i="2" s="1"/>
  <c r="AH166" i="2"/>
  <c r="AH181" i="2" s="1"/>
  <c r="AH172" i="2"/>
  <c r="AH187" i="2" s="1"/>
  <c r="AH173" i="2"/>
  <c r="AH188" i="2" s="1"/>
  <c r="AH174" i="2"/>
  <c r="AH189" i="2" s="1"/>
  <c r="AH177" i="2"/>
  <c r="AH192" i="2" s="1"/>
  <c r="AH171" i="2"/>
  <c r="AH186" i="2" s="1"/>
  <c r="AH176" i="2"/>
  <c r="AH191" i="2" s="1"/>
  <c r="AH168" i="2"/>
  <c r="AH183" i="2" s="1"/>
  <c r="AH178" i="2"/>
  <c r="AH193" i="2" s="1"/>
  <c r="AH170" i="2"/>
  <c r="AH185" i="2" s="1"/>
  <c r="AH169" i="2"/>
  <c r="AH184" i="2" s="1"/>
  <c r="X13" i="2"/>
  <c r="X14" i="2" s="1"/>
  <c r="X316" i="2"/>
  <c r="X173" i="2"/>
  <c r="X188" i="2" s="1"/>
  <c r="X166" i="2"/>
  <c r="X181" i="2" s="1"/>
  <c r="X174" i="2"/>
  <c r="X189" i="2" s="1"/>
  <c r="X175" i="2"/>
  <c r="X190" i="2" s="1"/>
  <c r="X167" i="2"/>
  <c r="X182" i="2" s="1"/>
  <c r="X172" i="2"/>
  <c r="X187" i="2" s="1"/>
  <c r="X179" i="2"/>
  <c r="X194" i="2" s="1"/>
  <c r="X168" i="2"/>
  <c r="X183" i="2" s="1"/>
  <c r="X169" i="2"/>
  <c r="X184" i="2" s="1"/>
  <c r="X176" i="2"/>
  <c r="X191" i="2" s="1"/>
  <c r="X178" i="2"/>
  <c r="X193" i="2" s="1"/>
  <c r="X170" i="2"/>
  <c r="X185" i="2" s="1"/>
  <c r="X177" i="2"/>
  <c r="X192" i="2" s="1"/>
  <c r="X171" i="2"/>
  <c r="X186" i="2" s="1"/>
  <c r="AJ210" i="13"/>
  <c r="J210" i="13"/>
  <c r="Y210" i="13"/>
  <c r="AM210" i="13"/>
  <c r="G210" i="13"/>
  <c r="O210" i="13"/>
  <c r="AY210" i="13"/>
  <c r="I210" i="13"/>
  <c r="AP210" i="13"/>
  <c r="N210" i="13"/>
  <c r="AF210" i="13"/>
  <c r="AW210" i="13"/>
  <c r="Z210" i="13"/>
  <c r="K210" i="13"/>
  <c r="AK210" i="13"/>
  <c r="AE210" i="13"/>
  <c r="AR210" i="13"/>
  <c r="R210" i="13"/>
  <c r="AT210" i="13"/>
  <c r="H210" i="13"/>
  <c r="AS210" i="13"/>
  <c r="AH210" i="13"/>
  <c r="AV210" i="13"/>
  <c r="Q210" i="13"/>
  <c r="BB210" i="13"/>
  <c r="BA210" i="13"/>
  <c r="BC210" i="13"/>
  <c r="AB210" i="13"/>
  <c r="X210" i="13"/>
  <c r="AZ210" i="13"/>
  <c r="AQ210" i="13"/>
  <c r="P210" i="13"/>
  <c r="AU210" i="13"/>
  <c r="M210" i="13"/>
  <c r="AC210" i="13"/>
  <c r="AL210" i="13"/>
  <c r="AD210" i="13"/>
  <c r="V210" i="13"/>
  <c r="G196" i="2"/>
  <c r="G15" i="2"/>
  <c r="G17" i="2" s="1"/>
  <c r="G47" i="2"/>
  <c r="AR146" i="2" l="1"/>
  <c r="AR153" i="2"/>
  <c r="AR152" i="2"/>
  <c r="AR149" i="2"/>
  <c r="AR148" i="2"/>
  <c r="AR151" i="2"/>
  <c r="AR158" i="2"/>
  <c r="AR157" i="2"/>
  <c r="AR156" i="2"/>
  <c r="AR155" i="2"/>
  <c r="AR154" i="2"/>
  <c r="AR147" i="2"/>
  <c r="AR145" i="2"/>
  <c r="AR150" i="2"/>
  <c r="AE151" i="2"/>
  <c r="AE152" i="2"/>
  <c r="AE149" i="2"/>
  <c r="AE153" i="2"/>
  <c r="AE158" i="2"/>
  <c r="AE157" i="2"/>
  <c r="AE156" i="2"/>
  <c r="AE145" i="2"/>
  <c r="AE148" i="2"/>
  <c r="AE155" i="2"/>
  <c r="AE154" i="2"/>
  <c r="AE146" i="2"/>
  <c r="AE147" i="2"/>
  <c r="AE150" i="2"/>
  <c r="Y155" i="2"/>
  <c r="Y154" i="2"/>
  <c r="Y147" i="2"/>
  <c r="Y151" i="2"/>
  <c r="Y146" i="2"/>
  <c r="Y152" i="2"/>
  <c r="Y158" i="2"/>
  <c r="Y157" i="2"/>
  <c r="Y156" i="2"/>
  <c r="Y153" i="2"/>
  <c r="Y149" i="2"/>
  <c r="Y145" i="2"/>
  <c r="Y148" i="2"/>
  <c r="Y150" i="2"/>
  <c r="AW146" i="2"/>
  <c r="AW148" i="2"/>
  <c r="AW147" i="2"/>
  <c r="AW158" i="2"/>
  <c r="AW157" i="2"/>
  <c r="AW156" i="2"/>
  <c r="AW153" i="2"/>
  <c r="AW155" i="2"/>
  <c r="AW154" i="2"/>
  <c r="AW152" i="2"/>
  <c r="AW149" i="2"/>
  <c r="AW145" i="2"/>
  <c r="AW151" i="2"/>
  <c r="AW150" i="2"/>
  <c r="AQ156" i="2"/>
  <c r="AQ147" i="2"/>
  <c r="AQ158" i="2"/>
  <c r="AQ157" i="2"/>
  <c r="AQ151" i="2"/>
  <c r="AQ145" i="2"/>
  <c r="AQ155" i="2"/>
  <c r="AQ154" i="2"/>
  <c r="AQ146" i="2"/>
  <c r="AQ153" i="2"/>
  <c r="AQ152" i="2"/>
  <c r="AQ148" i="2"/>
  <c r="AQ149" i="2"/>
  <c r="AQ150" i="2"/>
  <c r="K148" i="2"/>
  <c r="K147" i="2"/>
  <c r="K149" i="2"/>
  <c r="K153" i="2"/>
  <c r="K156" i="2"/>
  <c r="K151" i="2"/>
  <c r="K145" i="2"/>
  <c r="K158" i="2"/>
  <c r="K157" i="2"/>
  <c r="K146" i="2"/>
  <c r="K155" i="2"/>
  <c r="K154" i="2"/>
  <c r="K152" i="2"/>
  <c r="K150" i="2"/>
  <c r="AG145" i="2"/>
  <c r="AG151" i="2"/>
  <c r="AG149" i="2"/>
  <c r="AG146" i="2"/>
  <c r="AG158" i="2"/>
  <c r="AG157" i="2"/>
  <c r="AG156" i="2"/>
  <c r="AG153" i="2"/>
  <c r="AG147" i="2"/>
  <c r="AG148" i="2"/>
  <c r="AG152" i="2"/>
  <c r="AG155" i="2"/>
  <c r="AG154" i="2"/>
  <c r="AG150" i="2"/>
  <c r="AI145" i="2"/>
  <c r="AI151" i="2"/>
  <c r="AI147" i="2"/>
  <c r="AI146" i="2"/>
  <c r="AI156" i="2"/>
  <c r="AI158" i="2"/>
  <c r="AI157" i="2"/>
  <c r="AI155" i="2"/>
  <c r="AI154" i="2"/>
  <c r="AI153" i="2"/>
  <c r="AI152" i="2"/>
  <c r="AI148" i="2"/>
  <c r="AI149" i="2"/>
  <c r="AI150" i="2"/>
  <c r="AK155" i="2"/>
  <c r="AK147" i="2"/>
  <c r="AK145" i="2"/>
  <c r="AK151" i="2"/>
  <c r="AK153" i="2"/>
  <c r="AK149" i="2"/>
  <c r="AK148" i="2"/>
  <c r="AK150" i="2"/>
  <c r="AK146" i="2"/>
  <c r="AK158" i="2"/>
  <c r="AK157" i="2"/>
  <c r="AK156" i="2"/>
  <c r="AK152" i="2"/>
  <c r="AK154" i="2"/>
  <c r="AD148" i="2"/>
  <c r="AD147" i="2"/>
  <c r="AD158" i="2"/>
  <c r="AD157" i="2"/>
  <c r="AD156" i="2"/>
  <c r="AD149" i="2"/>
  <c r="AD152" i="2"/>
  <c r="AD155" i="2"/>
  <c r="AD154" i="2"/>
  <c r="AD146" i="2"/>
  <c r="AD145" i="2"/>
  <c r="AD153" i="2"/>
  <c r="AD151" i="2"/>
  <c r="AD150" i="2"/>
  <c r="AT149" i="2"/>
  <c r="AT155" i="2"/>
  <c r="AT154" i="2"/>
  <c r="AT152" i="2"/>
  <c r="AT148" i="2"/>
  <c r="AT145" i="2"/>
  <c r="AT146" i="2"/>
  <c r="AT153" i="2"/>
  <c r="AT158" i="2"/>
  <c r="AT157" i="2"/>
  <c r="AT156" i="2"/>
  <c r="AT151" i="2"/>
  <c r="AT147" i="2"/>
  <c r="AT150" i="2"/>
  <c r="AL145" i="2"/>
  <c r="AL158" i="2"/>
  <c r="AL157" i="2"/>
  <c r="AL156" i="2"/>
  <c r="AL149" i="2"/>
  <c r="AL155" i="2"/>
  <c r="AL154" i="2"/>
  <c r="AL152" i="2"/>
  <c r="AL146" i="2"/>
  <c r="AL153" i="2"/>
  <c r="AL148" i="2"/>
  <c r="AL151" i="2"/>
  <c r="AL147" i="2"/>
  <c r="AL150" i="2"/>
  <c r="BC158" i="2"/>
  <c r="BC157" i="2"/>
  <c r="BC156" i="2"/>
  <c r="BC145" i="2"/>
  <c r="BC148" i="2"/>
  <c r="BC155" i="2"/>
  <c r="BC154" i="2"/>
  <c r="BC151" i="2"/>
  <c r="BC147" i="2"/>
  <c r="BC152" i="2"/>
  <c r="BC146" i="2"/>
  <c r="BC153" i="2"/>
  <c r="BC149" i="2"/>
  <c r="BC150" i="2"/>
  <c r="AN147" i="2"/>
  <c r="AN158" i="2"/>
  <c r="AN157" i="2"/>
  <c r="AN156" i="2"/>
  <c r="AN153" i="2"/>
  <c r="AN148" i="2"/>
  <c r="AN145" i="2"/>
  <c r="AN146" i="2"/>
  <c r="AN152" i="2"/>
  <c r="AN155" i="2"/>
  <c r="AN154" i="2"/>
  <c r="AN151" i="2"/>
  <c r="AN149" i="2"/>
  <c r="AN150" i="2"/>
  <c r="BD158" i="2"/>
  <c r="BD157" i="2"/>
  <c r="BD156" i="2"/>
  <c r="BD153" i="2"/>
  <c r="BD150" i="2"/>
  <c r="BD149" i="2"/>
  <c r="BD145" i="2"/>
  <c r="BD152" i="2"/>
  <c r="BD155" i="2"/>
  <c r="BD154" i="2"/>
  <c r="BD151" i="2"/>
  <c r="BD146" i="2"/>
  <c r="BD148" i="2"/>
  <c r="BD147" i="2"/>
  <c r="I158" i="2"/>
  <c r="I157" i="2"/>
  <c r="I156" i="2"/>
  <c r="I153" i="2"/>
  <c r="I152" i="2"/>
  <c r="I148" i="2"/>
  <c r="I155" i="2"/>
  <c r="I154" i="2"/>
  <c r="I147" i="2"/>
  <c r="I145" i="2"/>
  <c r="I151" i="2"/>
  <c r="I146" i="2"/>
  <c r="I149" i="2"/>
  <c r="I150" i="2"/>
  <c r="L155" i="2"/>
  <c r="L154" i="2"/>
  <c r="L146" i="2"/>
  <c r="L152" i="2"/>
  <c r="L153" i="2"/>
  <c r="L149" i="2"/>
  <c r="L148" i="2"/>
  <c r="L147" i="2"/>
  <c r="L151" i="2"/>
  <c r="L145" i="2"/>
  <c r="L158" i="2"/>
  <c r="L157" i="2"/>
  <c r="L156" i="2"/>
  <c r="L150" i="2"/>
  <c r="AZ150" i="2"/>
  <c r="AZ151" i="2"/>
  <c r="AZ158" i="2"/>
  <c r="AZ157" i="2"/>
  <c r="AZ156" i="2"/>
  <c r="AZ152" i="2"/>
  <c r="AZ155" i="2"/>
  <c r="AZ154" i="2"/>
  <c r="AZ145" i="2"/>
  <c r="AZ146" i="2"/>
  <c r="AZ149" i="2"/>
  <c r="AZ147" i="2"/>
  <c r="AZ153" i="2"/>
  <c r="AZ148" i="2"/>
  <c r="AM153" i="2"/>
  <c r="AM146" i="2"/>
  <c r="AM158" i="2"/>
  <c r="AM157" i="2"/>
  <c r="AM156" i="2"/>
  <c r="AM145" i="2"/>
  <c r="AM151" i="2"/>
  <c r="AM148" i="2"/>
  <c r="AM155" i="2"/>
  <c r="AM154" i="2"/>
  <c r="AM147" i="2"/>
  <c r="AM152" i="2"/>
  <c r="AM149" i="2"/>
  <c r="AM150" i="2"/>
  <c r="J146" i="2"/>
  <c r="J157" i="2"/>
  <c r="J156" i="2"/>
  <c r="J151" i="2"/>
  <c r="J153" i="2"/>
  <c r="J158" i="2"/>
  <c r="J148" i="2"/>
  <c r="J155" i="2"/>
  <c r="J154" i="2"/>
  <c r="J152" i="2"/>
  <c r="J149" i="2"/>
  <c r="J145" i="2"/>
  <c r="J147" i="2"/>
  <c r="J150" i="2"/>
  <c r="N146" i="2"/>
  <c r="N153" i="2"/>
  <c r="N148" i="2"/>
  <c r="N151" i="2"/>
  <c r="N147" i="2"/>
  <c r="N158" i="2"/>
  <c r="N157" i="2"/>
  <c r="N156" i="2"/>
  <c r="N145" i="2"/>
  <c r="N149" i="2"/>
  <c r="N152" i="2"/>
  <c r="N155" i="2"/>
  <c r="N154" i="2"/>
  <c r="N150" i="2"/>
  <c r="AV147" i="2"/>
  <c r="AV145" i="2"/>
  <c r="AV158" i="2"/>
  <c r="AV157" i="2"/>
  <c r="AV156" i="2"/>
  <c r="AV153" i="2"/>
  <c r="AV149" i="2"/>
  <c r="AV148" i="2"/>
  <c r="AV152" i="2"/>
  <c r="AV155" i="2"/>
  <c r="AV154" i="2"/>
  <c r="AV146" i="2"/>
  <c r="AV151" i="2"/>
  <c r="AV150" i="2"/>
  <c r="AU158" i="2"/>
  <c r="AU157" i="2"/>
  <c r="AU156" i="2"/>
  <c r="AU145" i="2"/>
  <c r="AU151" i="2"/>
  <c r="AU148" i="2"/>
  <c r="AU155" i="2"/>
  <c r="AU154" i="2"/>
  <c r="AU147" i="2"/>
  <c r="AU146" i="2"/>
  <c r="AU150" i="2"/>
  <c r="AU152" i="2"/>
  <c r="AU153" i="2"/>
  <c r="AU149" i="2"/>
  <c r="AA146" i="2"/>
  <c r="AA151" i="2"/>
  <c r="AA149" i="2"/>
  <c r="AA148" i="2"/>
  <c r="AA156" i="2"/>
  <c r="AA147" i="2"/>
  <c r="AA145" i="2"/>
  <c r="AA158" i="2"/>
  <c r="AA157" i="2"/>
  <c r="AA155" i="2"/>
  <c r="AA154" i="2"/>
  <c r="AA153" i="2"/>
  <c r="AA152" i="2"/>
  <c r="AA150" i="2"/>
  <c r="P146" i="2"/>
  <c r="P153" i="2"/>
  <c r="P152" i="2"/>
  <c r="P148" i="2"/>
  <c r="P155" i="2"/>
  <c r="P154" i="2"/>
  <c r="P151" i="2"/>
  <c r="P145" i="2"/>
  <c r="P147" i="2"/>
  <c r="P149" i="2"/>
  <c r="P158" i="2"/>
  <c r="P157" i="2"/>
  <c r="P156" i="2"/>
  <c r="P150" i="2"/>
  <c r="AC154" i="2"/>
  <c r="AC149" i="2"/>
  <c r="AC155" i="2"/>
  <c r="AC147" i="2"/>
  <c r="AC145" i="2"/>
  <c r="AC151" i="2"/>
  <c r="AC153" i="2"/>
  <c r="AC148" i="2"/>
  <c r="AC152" i="2"/>
  <c r="AC146" i="2"/>
  <c r="AC158" i="2"/>
  <c r="AC157" i="2"/>
  <c r="AC156" i="2"/>
  <c r="AC150" i="2"/>
  <c r="Q147" i="2"/>
  <c r="Q149" i="2"/>
  <c r="Q155" i="2"/>
  <c r="Q154" i="2"/>
  <c r="Q145" i="2"/>
  <c r="Q151" i="2"/>
  <c r="Q146" i="2"/>
  <c r="Q150" i="2"/>
  <c r="Q148" i="2"/>
  <c r="Q158" i="2"/>
  <c r="Q157" i="2"/>
  <c r="Q156" i="2"/>
  <c r="Q153" i="2"/>
  <c r="Q152" i="2"/>
  <c r="BB151" i="2"/>
  <c r="BB155" i="2"/>
  <c r="BB154" i="2"/>
  <c r="BB152" i="2"/>
  <c r="BB146" i="2"/>
  <c r="BB153" i="2"/>
  <c r="BB150" i="2"/>
  <c r="BB148" i="2"/>
  <c r="BB145" i="2"/>
  <c r="BB158" i="2"/>
  <c r="BB157" i="2"/>
  <c r="BB156" i="2"/>
  <c r="BB149" i="2"/>
  <c r="BB147" i="2"/>
  <c r="S151" i="2"/>
  <c r="S150" i="2"/>
  <c r="S145" i="2"/>
  <c r="S149" i="2"/>
  <c r="S148" i="2"/>
  <c r="S147" i="2"/>
  <c r="S146" i="2"/>
  <c r="S156" i="2"/>
  <c r="S158" i="2"/>
  <c r="S157" i="2"/>
  <c r="S155" i="2"/>
  <c r="S154" i="2"/>
  <c r="S152" i="2"/>
  <c r="S153" i="2"/>
  <c r="AX152" i="2"/>
  <c r="AX146" i="2"/>
  <c r="AX151" i="2"/>
  <c r="AX149" i="2"/>
  <c r="AX148" i="2"/>
  <c r="AX147" i="2"/>
  <c r="AX157" i="2"/>
  <c r="AX156" i="2"/>
  <c r="AX153" i="2"/>
  <c r="AX145" i="2"/>
  <c r="AX158" i="2"/>
  <c r="AX155" i="2"/>
  <c r="AX154" i="2"/>
  <c r="AX150" i="2"/>
  <c r="H149" i="2"/>
  <c r="H151" i="2"/>
  <c r="H152" i="2"/>
  <c r="H155" i="2"/>
  <c r="H154" i="2"/>
  <c r="H145" i="2"/>
  <c r="H153" i="2"/>
  <c r="H147" i="2"/>
  <c r="H146" i="2"/>
  <c r="H158" i="2"/>
  <c r="H157" i="2"/>
  <c r="H156" i="2"/>
  <c r="H148" i="2"/>
  <c r="H150" i="2"/>
  <c r="AS146" i="2"/>
  <c r="AS148" i="2"/>
  <c r="AS153" i="2"/>
  <c r="AS150" i="2"/>
  <c r="AS145" i="2"/>
  <c r="AS149" i="2"/>
  <c r="AS151" i="2"/>
  <c r="AS158" i="2"/>
  <c r="AS157" i="2"/>
  <c r="AS156" i="2"/>
  <c r="AS152" i="2"/>
  <c r="AS154" i="2"/>
  <c r="AS155" i="2"/>
  <c r="AS147" i="2"/>
  <c r="W152" i="2"/>
  <c r="W153" i="2"/>
  <c r="W149" i="2"/>
  <c r="W158" i="2"/>
  <c r="W157" i="2"/>
  <c r="W156" i="2"/>
  <c r="W145" i="2"/>
  <c r="W148" i="2"/>
  <c r="W147" i="2"/>
  <c r="W151" i="2"/>
  <c r="W155" i="2"/>
  <c r="W154" i="2"/>
  <c r="W146" i="2"/>
  <c r="W150" i="2"/>
  <c r="BA145" i="2"/>
  <c r="BA153" i="2"/>
  <c r="BA148" i="2"/>
  <c r="BA150" i="2"/>
  <c r="BA146" i="2"/>
  <c r="BA149" i="2"/>
  <c r="BA158" i="2"/>
  <c r="BA157" i="2"/>
  <c r="BA156" i="2"/>
  <c r="BA154" i="2"/>
  <c r="BA151" i="2"/>
  <c r="BA152" i="2"/>
  <c r="BA155" i="2"/>
  <c r="BA147" i="2"/>
  <c r="R146" i="2"/>
  <c r="R157" i="2"/>
  <c r="R156" i="2"/>
  <c r="R153" i="2"/>
  <c r="R145" i="2"/>
  <c r="R158" i="2"/>
  <c r="R155" i="2"/>
  <c r="R154" i="2"/>
  <c r="R150" i="2"/>
  <c r="R152" i="2"/>
  <c r="R151" i="2"/>
  <c r="R149" i="2"/>
  <c r="R148" i="2"/>
  <c r="R147" i="2"/>
  <c r="AF151" i="2"/>
  <c r="AF148" i="2"/>
  <c r="AF147" i="2"/>
  <c r="AF145" i="2"/>
  <c r="AF146" i="2"/>
  <c r="AF158" i="2"/>
  <c r="AF157" i="2"/>
  <c r="AF156" i="2"/>
  <c r="AF153" i="2"/>
  <c r="AF149" i="2"/>
  <c r="AF150" i="2"/>
  <c r="AF152" i="2"/>
  <c r="AF155" i="2"/>
  <c r="AF154" i="2"/>
  <c r="O146" i="2"/>
  <c r="O150" i="2"/>
  <c r="O149" i="2"/>
  <c r="O152" i="2"/>
  <c r="O153" i="2"/>
  <c r="O158" i="2"/>
  <c r="O157" i="2"/>
  <c r="O156" i="2"/>
  <c r="O151" i="2"/>
  <c r="O145" i="2"/>
  <c r="O148" i="2"/>
  <c r="O147" i="2"/>
  <c r="O155" i="2"/>
  <c r="O154" i="2"/>
  <c r="Z157" i="2"/>
  <c r="Z156" i="2"/>
  <c r="Z153" i="2"/>
  <c r="Z145" i="2"/>
  <c r="Z158" i="2"/>
  <c r="Z155" i="2"/>
  <c r="Z154" i="2"/>
  <c r="Z150" i="2"/>
  <c r="Z151" i="2"/>
  <c r="Z152" i="2"/>
  <c r="Z149" i="2"/>
  <c r="Z147" i="2"/>
  <c r="Z148" i="2"/>
  <c r="Z146" i="2"/>
  <c r="AJ14" i="2"/>
  <c r="AJ48" i="2" s="1"/>
  <c r="AJ115" i="2" s="1"/>
  <c r="Y316" i="2"/>
  <c r="Y13" i="2"/>
  <c r="Y14" i="2" s="1"/>
  <c r="Y167" i="2"/>
  <c r="Y182" i="2" s="1"/>
  <c r="Y175" i="2"/>
  <c r="Y190" i="2" s="1"/>
  <c r="Y174" i="2"/>
  <c r="Y189" i="2" s="1"/>
  <c r="Y173" i="2"/>
  <c r="Y188" i="2" s="1"/>
  <c r="Y166" i="2"/>
  <c r="Y181" i="2" s="1"/>
  <c r="Y172" i="2"/>
  <c r="Y187" i="2" s="1"/>
  <c r="Y179" i="2"/>
  <c r="Y194" i="2" s="1"/>
  <c r="Y169" i="2"/>
  <c r="Y184" i="2" s="1"/>
  <c r="Y176" i="2"/>
  <c r="Y191" i="2" s="1"/>
  <c r="Y168" i="2"/>
  <c r="Y183" i="2" s="1"/>
  <c r="Y178" i="2"/>
  <c r="Y193" i="2" s="1"/>
  <c r="Y170" i="2"/>
  <c r="Y185" i="2" s="1"/>
  <c r="Y177" i="2"/>
  <c r="Y192" i="2" s="1"/>
  <c r="Y171" i="2"/>
  <c r="Y186" i="2" s="1"/>
  <c r="AA13" i="2"/>
  <c r="AA14" i="2" s="1"/>
  <c r="AA316" i="2"/>
  <c r="AA173" i="2"/>
  <c r="AA188" i="2" s="1"/>
  <c r="AA167" i="2"/>
  <c r="AA182" i="2" s="1"/>
  <c r="AA166" i="2"/>
  <c r="AA181" i="2" s="1"/>
  <c r="AA174" i="2"/>
  <c r="AA189" i="2" s="1"/>
  <c r="AA172" i="2"/>
  <c r="AA187" i="2" s="1"/>
  <c r="AA175" i="2"/>
  <c r="AA190" i="2" s="1"/>
  <c r="AA179" i="2"/>
  <c r="AA194" i="2" s="1"/>
  <c r="AA169" i="2"/>
  <c r="AA184" i="2" s="1"/>
  <c r="AA178" i="2"/>
  <c r="AA193" i="2" s="1"/>
  <c r="AA170" i="2"/>
  <c r="AA185" i="2" s="1"/>
  <c r="AA177" i="2"/>
  <c r="AA192" i="2" s="1"/>
  <c r="AA176" i="2"/>
  <c r="AA191" i="2" s="1"/>
  <c r="AA168" i="2"/>
  <c r="AA183" i="2" s="1"/>
  <c r="AA171" i="2"/>
  <c r="AA186" i="2" s="1"/>
  <c r="AE316" i="2"/>
  <c r="AE13" i="2"/>
  <c r="AE14" i="2" s="1"/>
  <c r="AE175" i="2"/>
  <c r="AE190" i="2" s="1"/>
  <c r="AE174" i="2"/>
  <c r="AE189" i="2" s="1"/>
  <c r="AE172" i="2"/>
  <c r="AE187" i="2" s="1"/>
  <c r="AE167" i="2"/>
  <c r="AE182" i="2" s="1"/>
  <c r="AE173" i="2"/>
  <c r="AE188" i="2" s="1"/>
  <c r="AE166" i="2"/>
  <c r="AE181" i="2" s="1"/>
  <c r="AE179" i="2"/>
  <c r="AE194" i="2" s="1"/>
  <c r="AE170" i="2"/>
  <c r="AE185" i="2" s="1"/>
  <c r="AE178" i="2"/>
  <c r="AE193" i="2" s="1"/>
  <c r="AE168" i="2"/>
  <c r="AE183" i="2" s="1"/>
  <c r="AE177" i="2"/>
  <c r="AE192" i="2" s="1"/>
  <c r="AE169" i="2"/>
  <c r="AE184" i="2" s="1"/>
  <c r="AE176" i="2"/>
  <c r="AE191" i="2" s="1"/>
  <c r="AE171" i="2"/>
  <c r="AE186" i="2" s="1"/>
  <c r="N13" i="2"/>
  <c r="N14" i="2" s="1"/>
  <c r="N316" i="2"/>
  <c r="N167" i="2"/>
  <c r="N182" i="2" s="1"/>
  <c r="N174" i="2"/>
  <c r="N189" i="2" s="1"/>
  <c r="N166" i="2"/>
  <c r="N181" i="2" s="1"/>
  <c r="N172" i="2"/>
  <c r="N187" i="2" s="1"/>
  <c r="N175" i="2"/>
  <c r="N190" i="2" s="1"/>
  <c r="N173" i="2"/>
  <c r="N188" i="2" s="1"/>
  <c r="N179" i="2"/>
  <c r="N194" i="2" s="1"/>
  <c r="N178" i="2"/>
  <c r="N193" i="2" s="1"/>
  <c r="N177" i="2"/>
  <c r="N192" i="2" s="1"/>
  <c r="N169" i="2"/>
  <c r="N184" i="2" s="1"/>
  <c r="N176" i="2"/>
  <c r="N191" i="2" s="1"/>
  <c r="N170" i="2"/>
  <c r="N185" i="2" s="1"/>
  <c r="N168" i="2"/>
  <c r="N183" i="2" s="1"/>
  <c r="N171" i="2"/>
  <c r="N186" i="2" s="1"/>
  <c r="AT13" i="2"/>
  <c r="AT14" i="2" s="1"/>
  <c r="AT316" i="2"/>
  <c r="AT172" i="2"/>
  <c r="AT187" i="2" s="1"/>
  <c r="AT167" i="2"/>
  <c r="AT182" i="2" s="1"/>
  <c r="AT179" i="2"/>
  <c r="AT194" i="2" s="1"/>
  <c r="AT175" i="2"/>
  <c r="AT190" i="2" s="1"/>
  <c r="AT173" i="2"/>
  <c r="AT188" i="2" s="1"/>
  <c r="AT174" i="2"/>
  <c r="AT189" i="2" s="1"/>
  <c r="AT166" i="2"/>
  <c r="AT181" i="2" s="1"/>
  <c r="AT171" i="2"/>
  <c r="AT186" i="2" s="1"/>
  <c r="AT178" i="2"/>
  <c r="AT193" i="2" s="1"/>
  <c r="AT177" i="2"/>
  <c r="AT192" i="2" s="1"/>
  <c r="AT176" i="2"/>
  <c r="AT191" i="2" s="1"/>
  <c r="AT170" i="2"/>
  <c r="AT185" i="2" s="1"/>
  <c r="AT169" i="2"/>
  <c r="AT184" i="2" s="1"/>
  <c r="AT168" i="2"/>
  <c r="AT183" i="2" s="1"/>
  <c r="O316" i="2"/>
  <c r="O13" i="2"/>
  <c r="O14" i="2" s="1"/>
  <c r="O173" i="2"/>
  <c r="O188" i="2" s="1"/>
  <c r="O166" i="2"/>
  <c r="O181" i="2" s="1"/>
  <c r="O175" i="2"/>
  <c r="O190" i="2" s="1"/>
  <c r="O174" i="2"/>
  <c r="O189" i="2" s="1"/>
  <c r="O172" i="2"/>
  <c r="O187" i="2" s="1"/>
  <c r="O167" i="2"/>
  <c r="O182" i="2" s="1"/>
  <c r="O179" i="2"/>
  <c r="O194" i="2" s="1"/>
  <c r="O168" i="2"/>
  <c r="O183" i="2" s="1"/>
  <c r="O178" i="2"/>
  <c r="O193" i="2" s="1"/>
  <c r="O177" i="2"/>
  <c r="O192" i="2" s="1"/>
  <c r="O170" i="2"/>
  <c r="O185" i="2" s="1"/>
  <c r="O169" i="2"/>
  <c r="O184" i="2" s="1"/>
  <c r="O176" i="2"/>
  <c r="O191" i="2" s="1"/>
  <c r="O171" i="2"/>
  <c r="O186" i="2" s="1"/>
  <c r="AZ13" i="2"/>
  <c r="AZ14" i="2" s="1"/>
  <c r="AZ316" i="2"/>
  <c r="AZ172" i="2"/>
  <c r="AZ187" i="2" s="1"/>
  <c r="AZ174" i="2"/>
  <c r="AZ189" i="2" s="1"/>
  <c r="AZ166" i="2"/>
  <c r="AZ181" i="2" s="1"/>
  <c r="AZ175" i="2"/>
  <c r="AZ190" i="2" s="1"/>
  <c r="AZ173" i="2"/>
  <c r="AZ188" i="2" s="1"/>
  <c r="AZ167" i="2"/>
  <c r="AZ182" i="2" s="1"/>
  <c r="AZ179" i="2"/>
  <c r="AZ194" i="2" s="1"/>
  <c r="AZ170" i="2"/>
  <c r="AZ185" i="2" s="1"/>
  <c r="AZ177" i="2"/>
  <c r="AZ192" i="2" s="1"/>
  <c r="AZ169" i="2"/>
  <c r="AZ184" i="2" s="1"/>
  <c r="AZ168" i="2"/>
  <c r="AZ183" i="2" s="1"/>
  <c r="AZ178" i="2"/>
  <c r="AZ193" i="2" s="1"/>
  <c r="AZ176" i="2"/>
  <c r="AZ191" i="2" s="1"/>
  <c r="AZ171" i="2"/>
  <c r="AZ186" i="2" s="1"/>
  <c r="AQ316" i="2"/>
  <c r="AQ13" i="2"/>
  <c r="AQ14" i="2" s="1"/>
  <c r="AQ174" i="2"/>
  <c r="AQ189" i="2" s="1"/>
  <c r="AQ166" i="2"/>
  <c r="AQ181" i="2" s="1"/>
  <c r="AQ175" i="2"/>
  <c r="AQ190" i="2" s="1"/>
  <c r="AQ173" i="2"/>
  <c r="AQ188" i="2" s="1"/>
  <c r="AQ179" i="2"/>
  <c r="AQ194" i="2" s="1"/>
  <c r="AQ172" i="2"/>
  <c r="AQ187" i="2" s="1"/>
  <c r="AQ167" i="2"/>
  <c r="AQ182" i="2" s="1"/>
  <c r="AQ177" i="2"/>
  <c r="AQ192" i="2" s="1"/>
  <c r="AQ168" i="2"/>
  <c r="AQ183" i="2" s="1"/>
  <c r="AQ176" i="2"/>
  <c r="AQ191" i="2" s="1"/>
  <c r="AQ169" i="2"/>
  <c r="AQ184" i="2" s="1"/>
  <c r="AQ178" i="2"/>
  <c r="AQ193" i="2" s="1"/>
  <c r="AQ170" i="2"/>
  <c r="AQ185" i="2" s="1"/>
  <c r="AQ171" i="2"/>
  <c r="AQ186" i="2" s="1"/>
  <c r="K316" i="2"/>
  <c r="K13" i="2"/>
  <c r="K14" i="2" s="1"/>
  <c r="K172" i="2"/>
  <c r="K187" i="2" s="1"/>
  <c r="K179" i="2"/>
  <c r="K194" i="2" s="1"/>
  <c r="K174" i="2"/>
  <c r="K189" i="2" s="1"/>
  <c r="K173" i="2"/>
  <c r="K188" i="2" s="1"/>
  <c r="K175" i="2"/>
  <c r="K190" i="2" s="1"/>
  <c r="K168" i="2"/>
  <c r="K183" i="2" s="1"/>
  <c r="K169" i="2"/>
  <c r="K184" i="2" s="1"/>
  <c r="K178" i="2"/>
  <c r="K193" i="2" s="1"/>
  <c r="K170" i="2"/>
  <c r="K185" i="2" s="1"/>
  <c r="K167" i="2"/>
  <c r="K182" i="2" s="1"/>
  <c r="K166" i="2"/>
  <c r="K181" i="2" s="1"/>
  <c r="K177" i="2"/>
  <c r="K192" i="2" s="1"/>
  <c r="K176" i="2"/>
  <c r="K191" i="2" s="1"/>
  <c r="K171" i="2"/>
  <c r="K186" i="2" s="1"/>
  <c r="AM316" i="2"/>
  <c r="AM13" i="2"/>
  <c r="AM14" i="2" s="1"/>
  <c r="AM175" i="2"/>
  <c r="AM190" i="2" s="1"/>
  <c r="AM166" i="2"/>
  <c r="AM181" i="2" s="1"/>
  <c r="AM167" i="2"/>
  <c r="AM182" i="2" s="1"/>
  <c r="AM174" i="2"/>
  <c r="AM189" i="2" s="1"/>
  <c r="AM172" i="2"/>
  <c r="AM187" i="2" s="1"/>
  <c r="AM179" i="2"/>
  <c r="AM194" i="2" s="1"/>
  <c r="AM173" i="2"/>
  <c r="AM188" i="2" s="1"/>
  <c r="AM178" i="2"/>
  <c r="AM193" i="2" s="1"/>
  <c r="AM177" i="2"/>
  <c r="AM192" i="2" s="1"/>
  <c r="AM176" i="2"/>
  <c r="AM191" i="2" s="1"/>
  <c r="AM168" i="2"/>
  <c r="AM183" i="2" s="1"/>
  <c r="AM170" i="2"/>
  <c r="AM185" i="2" s="1"/>
  <c r="AM169" i="2"/>
  <c r="AM184" i="2" s="1"/>
  <c r="AM171" i="2"/>
  <c r="AM186" i="2" s="1"/>
  <c r="I13" i="2"/>
  <c r="I14" i="2" s="1"/>
  <c r="I316" i="2"/>
  <c r="I175" i="2"/>
  <c r="I190" i="2" s="1"/>
  <c r="I173" i="2"/>
  <c r="I188" i="2" s="1"/>
  <c r="I172" i="2"/>
  <c r="I187" i="2" s="1"/>
  <c r="I179" i="2"/>
  <c r="I194" i="2" s="1"/>
  <c r="I174" i="2"/>
  <c r="I189" i="2" s="1"/>
  <c r="I177" i="2"/>
  <c r="I192" i="2" s="1"/>
  <c r="I166" i="2"/>
  <c r="I181" i="2" s="1"/>
  <c r="I167" i="2"/>
  <c r="I182" i="2" s="1"/>
  <c r="I176" i="2"/>
  <c r="I191" i="2" s="1"/>
  <c r="I178" i="2"/>
  <c r="I193" i="2" s="1"/>
  <c r="I170" i="2"/>
  <c r="I185" i="2" s="1"/>
  <c r="I169" i="2"/>
  <c r="I184" i="2" s="1"/>
  <c r="I168" i="2"/>
  <c r="I183" i="2" s="1"/>
  <c r="I171" i="2"/>
  <c r="I186" i="2" s="1"/>
  <c r="AL316" i="2"/>
  <c r="AL13" i="2"/>
  <c r="AL14" i="2" s="1"/>
  <c r="AL174" i="2"/>
  <c r="AL189" i="2" s="1"/>
  <c r="AL166" i="2"/>
  <c r="AL181" i="2" s="1"/>
  <c r="AL172" i="2"/>
  <c r="AL187" i="2" s="1"/>
  <c r="AL179" i="2"/>
  <c r="AL194" i="2" s="1"/>
  <c r="AL175" i="2"/>
  <c r="AL190" i="2" s="1"/>
  <c r="AL173" i="2"/>
  <c r="AL188" i="2" s="1"/>
  <c r="AL167" i="2"/>
  <c r="AL182" i="2" s="1"/>
  <c r="AL178" i="2"/>
  <c r="AL193" i="2" s="1"/>
  <c r="AL170" i="2"/>
  <c r="AL185" i="2" s="1"/>
  <c r="AL177" i="2"/>
  <c r="AL192" i="2" s="1"/>
  <c r="AL176" i="2"/>
  <c r="AL191" i="2" s="1"/>
  <c r="AL169" i="2"/>
  <c r="AL184" i="2" s="1"/>
  <c r="AL168" i="2"/>
  <c r="AL183" i="2" s="1"/>
  <c r="AL171" i="2"/>
  <c r="AL186" i="2" s="1"/>
  <c r="P316" i="2"/>
  <c r="P13" i="2"/>
  <c r="P14" i="2" s="1"/>
  <c r="P173" i="2"/>
  <c r="P188" i="2" s="1"/>
  <c r="P166" i="2"/>
  <c r="P181" i="2" s="1"/>
  <c r="P167" i="2"/>
  <c r="P182" i="2" s="1"/>
  <c r="P174" i="2"/>
  <c r="P189" i="2" s="1"/>
  <c r="P175" i="2"/>
  <c r="P190" i="2" s="1"/>
  <c r="P172" i="2"/>
  <c r="P187" i="2" s="1"/>
  <c r="P179" i="2"/>
  <c r="P194" i="2" s="1"/>
  <c r="P169" i="2"/>
  <c r="P184" i="2" s="1"/>
  <c r="P170" i="2"/>
  <c r="P185" i="2" s="1"/>
  <c r="P168" i="2"/>
  <c r="P183" i="2" s="1"/>
  <c r="P178" i="2"/>
  <c r="P193" i="2" s="1"/>
  <c r="P177" i="2"/>
  <c r="P192" i="2" s="1"/>
  <c r="P176" i="2"/>
  <c r="P191" i="2" s="1"/>
  <c r="P171" i="2"/>
  <c r="P186" i="2" s="1"/>
  <c r="Q13" i="2"/>
  <c r="Q14" i="2" s="1"/>
  <c r="Q316" i="2"/>
  <c r="Q172" i="2"/>
  <c r="Q187" i="2" s="1"/>
  <c r="Q179" i="2"/>
  <c r="Q194" i="2" s="1"/>
  <c r="Q175" i="2"/>
  <c r="Q190" i="2" s="1"/>
  <c r="Q174" i="2"/>
  <c r="Q189" i="2" s="1"/>
  <c r="Q167" i="2"/>
  <c r="Q182" i="2" s="1"/>
  <c r="Q166" i="2"/>
  <c r="Q181" i="2" s="1"/>
  <c r="Q173" i="2"/>
  <c r="Q188" i="2" s="1"/>
  <c r="Q177" i="2"/>
  <c r="Q192" i="2" s="1"/>
  <c r="Q171" i="2"/>
  <c r="Q186" i="2" s="1"/>
  <c r="Q176" i="2"/>
  <c r="Q191" i="2" s="1"/>
  <c r="Q169" i="2"/>
  <c r="Q184" i="2" s="1"/>
  <c r="Q178" i="2"/>
  <c r="Q193" i="2" s="1"/>
  <c r="Q170" i="2"/>
  <c r="Q185" i="2" s="1"/>
  <c r="Q168" i="2"/>
  <c r="Q183" i="2" s="1"/>
  <c r="BB316" i="2"/>
  <c r="BB13" i="2"/>
  <c r="BB14" i="2" s="1"/>
  <c r="BB175" i="2"/>
  <c r="BB190" i="2" s="1"/>
  <c r="BB173" i="2"/>
  <c r="BB188" i="2" s="1"/>
  <c r="BB167" i="2"/>
  <c r="BB182" i="2" s="1"/>
  <c r="BB174" i="2"/>
  <c r="BB189" i="2" s="1"/>
  <c r="BB166" i="2"/>
  <c r="BB181" i="2" s="1"/>
  <c r="BB172" i="2"/>
  <c r="BB187" i="2" s="1"/>
  <c r="BB179" i="2"/>
  <c r="BB194" i="2" s="1"/>
  <c r="BB168" i="2"/>
  <c r="BB183" i="2" s="1"/>
  <c r="BB177" i="2"/>
  <c r="BB192" i="2" s="1"/>
  <c r="BB176" i="2"/>
  <c r="BB191" i="2" s="1"/>
  <c r="BB178" i="2"/>
  <c r="BB193" i="2" s="1"/>
  <c r="BB170" i="2"/>
  <c r="BB185" i="2" s="1"/>
  <c r="BB169" i="2"/>
  <c r="BB184" i="2" s="1"/>
  <c r="BB171" i="2"/>
  <c r="BB186" i="2" s="1"/>
  <c r="AU13" i="2"/>
  <c r="AU316" i="2"/>
  <c r="AU174" i="2"/>
  <c r="AU189" i="2" s="1"/>
  <c r="AU172" i="2"/>
  <c r="AU187" i="2" s="1"/>
  <c r="AU179" i="2"/>
  <c r="AU194" i="2" s="1"/>
  <c r="AU173" i="2"/>
  <c r="AU188" i="2" s="1"/>
  <c r="AU167" i="2"/>
  <c r="AU182" i="2" s="1"/>
  <c r="AU175" i="2"/>
  <c r="AU190" i="2" s="1"/>
  <c r="AU178" i="2"/>
  <c r="AU193" i="2" s="1"/>
  <c r="AU177" i="2"/>
  <c r="AU192" i="2" s="1"/>
  <c r="AU169" i="2"/>
  <c r="AU184" i="2" s="1"/>
  <c r="AU168" i="2"/>
  <c r="AU183" i="2" s="1"/>
  <c r="AU176" i="2"/>
  <c r="AU191" i="2" s="1"/>
  <c r="AU170" i="2"/>
  <c r="AU185" i="2" s="1"/>
  <c r="AU166" i="2"/>
  <c r="AU181" i="2" s="1"/>
  <c r="AU171" i="2"/>
  <c r="AU186" i="2" s="1"/>
  <c r="L316" i="2"/>
  <c r="L13" i="2"/>
  <c r="L14" i="2" s="1"/>
  <c r="L175" i="2"/>
  <c r="L190" i="2" s="1"/>
  <c r="L166" i="2"/>
  <c r="L181" i="2" s="1"/>
  <c r="L173" i="2"/>
  <c r="L188" i="2" s="1"/>
  <c r="L167" i="2"/>
  <c r="L182" i="2" s="1"/>
  <c r="L179" i="2"/>
  <c r="L194" i="2" s="1"/>
  <c r="L172" i="2"/>
  <c r="L187" i="2" s="1"/>
  <c r="L174" i="2"/>
  <c r="L189" i="2" s="1"/>
  <c r="L178" i="2"/>
  <c r="L193" i="2" s="1"/>
  <c r="L176" i="2"/>
  <c r="L191" i="2" s="1"/>
  <c r="L170" i="2"/>
  <c r="L185" i="2" s="1"/>
  <c r="L169" i="2"/>
  <c r="L184" i="2" s="1"/>
  <c r="L177" i="2"/>
  <c r="L192" i="2" s="1"/>
  <c r="L168" i="2"/>
  <c r="L183" i="2" s="1"/>
  <c r="L171" i="2"/>
  <c r="L186" i="2" s="1"/>
  <c r="H316" i="2"/>
  <c r="H13" i="2"/>
  <c r="H14" i="2" s="1"/>
  <c r="H172" i="2"/>
  <c r="H187" i="2" s="1"/>
  <c r="H179" i="2"/>
  <c r="H194" i="2" s="1"/>
  <c r="H173" i="2"/>
  <c r="H188" i="2" s="1"/>
  <c r="H175" i="2"/>
  <c r="H190" i="2" s="1"/>
  <c r="H174" i="2"/>
  <c r="H189" i="2" s="1"/>
  <c r="H167" i="2"/>
  <c r="H182" i="2" s="1"/>
  <c r="H166" i="2"/>
  <c r="H181" i="2" s="1"/>
  <c r="H177" i="2"/>
  <c r="H192" i="2" s="1"/>
  <c r="H170" i="2"/>
  <c r="H185" i="2" s="1"/>
  <c r="H171" i="2"/>
  <c r="H186" i="2" s="1"/>
  <c r="H169" i="2"/>
  <c r="H184" i="2" s="1"/>
  <c r="H178" i="2"/>
  <c r="H193" i="2" s="1"/>
  <c r="H176" i="2"/>
  <c r="H191" i="2" s="1"/>
  <c r="H168" i="2"/>
  <c r="H183" i="2" s="1"/>
  <c r="AK316" i="2"/>
  <c r="AK13" i="2"/>
  <c r="AK14" i="2" s="1"/>
  <c r="AK175" i="2"/>
  <c r="AK190" i="2" s="1"/>
  <c r="AK173" i="2"/>
  <c r="AK188" i="2" s="1"/>
  <c r="AK167" i="2"/>
  <c r="AK182" i="2" s="1"/>
  <c r="AK166" i="2"/>
  <c r="AK181" i="2" s="1"/>
  <c r="AK174" i="2"/>
  <c r="AK189" i="2" s="1"/>
  <c r="AK172" i="2"/>
  <c r="AK187" i="2" s="1"/>
  <c r="AK179" i="2"/>
  <c r="AK194" i="2" s="1"/>
  <c r="AK176" i="2"/>
  <c r="AK191" i="2" s="1"/>
  <c r="AK177" i="2"/>
  <c r="AK192" i="2" s="1"/>
  <c r="AK169" i="2"/>
  <c r="AK184" i="2" s="1"/>
  <c r="AK170" i="2"/>
  <c r="AK185" i="2" s="1"/>
  <c r="AK178" i="2"/>
  <c r="AK193" i="2" s="1"/>
  <c r="AK168" i="2"/>
  <c r="AK183" i="2" s="1"/>
  <c r="AK171" i="2"/>
  <c r="AK186" i="2" s="1"/>
  <c r="AV13" i="2"/>
  <c r="AV14" i="2" s="1"/>
  <c r="AV316" i="2"/>
  <c r="AV166" i="2"/>
  <c r="AV181" i="2" s="1"/>
  <c r="AV167" i="2"/>
  <c r="AV182" i="2" s="1"/>
  <c r="AV175" i="2"/>
  <c r="AV190" i="2" s="1"/>
  <c r="AV172" i="2"/>
  <c r="AV187" i="2" s="1"/>
  <c r="AV179" i="2"/>
  <c r="AV194" i="2" s="1"/>
  <c r="AV173" i="2"/>
  <c r="AV188" i="2" s="1"/>
  <c r="AV174" i="2"/>
  <c r="AV189" i="2" s="1"/>
  <c r="AV178" i="2"/>
  <c r="AV193" i="2" s="1"/>
  <c r="AV170" i="2"/>
  <c r="AV185" i="2" s="1"/>
  <c r="AV177" i="2"/>
  <c r="AV192" i="2" s="1"/>
  <c r="AV169" i="2"/>
  <c r="AV184" i="2" s="1"/>
  <c r="AV176" i="2"/>
  <c r="AV191" i="2" s="1"/>
  <c r="AV168" i="2"/>
  <c r="AV183" i="2" s="1"/>
  <c r="AV171" i="2"/>
  <c r="AV186" i="2" s="1"/>
  <c r="AR316" i="2"/>
  <c r="AR13" i="2"/>
  <c r="AR14" i="2" s="1"/>
  <c r="AR174" i="2"/>
  <c r="AR189" i="2" s="1"/>
  <c r="AR167" i="2"/>
  <c r="AR182" i="2" s="1"/>
  <c r="AR166" i="2"/>
  <c r="AR181" i="2" s="1"/>
  <c r="AR175" i="2"/>
  <c r="AR190" i="2" s="1"/>
  <c r="AR172" i="2"/>
  <c r="AR187" i="2" s="1"/>
  <c r="AR173" i="2"/>
  <c r="AR188" i="2" s="1"/>
  <c r="AR179" i="2"/>
  <c r="AR194" i="2" s="1"/>
  <c r="AR170" i="2"/>
  <c r="AR185" i="2" s="1"/>
  <c r="AR177" i="2"/>
  <c r="AR192" i="2" s="1"/>
  <c r="AR169" i="2"/>
  <c r="AR184" i="2" s="1"/>
  <c r="AR168" i="2"/>
  <c r="AR183" i="2" s="1"/>
  <c r="AR178" i="2"/>
  <c r="AR193" i="2" s="1"/>
  <c r="AR176" i="2"/>
  <c r="AR191" i="2" s="1"/>
  <c r="AR171" i="2"/>
  <c r="AR186" i="2" s="1"/>
  <c r="BD316" i="2"/>
  <c r="BD13" i="2"/>
  <c r="BD14" i="2" s="1"/>
  <c r="BD172" i="2"/>
  <c r="BD187" i="2" s="1"/>
  <c r="BD179" i="2"/>
  <c r="BD194" i="2" s="1"/>
  <c r="BD175" i="2"/>
  <c r="BD190" i="2" s="1"/>
  <c r="BD166" i="2"/>
  <c r="BD181" i="2" s="1"/>
  <c r="BD173" i="2"/>
  <c r="BD188" i="2" s="1"/>
  <c r="BD174" i="2"/>
  <c r="BD189" i="2" s="1"/>
  <c r="BD178" i="2"/>
  <c r="BD193" i="2" s="1"/>
  <c r="BD170" i="2"/>
  <c r="BD185" i="2" s="1"/>
  <c r="BD167" i="2"/>
  <c r="BD182" i="2" s="1"/>
  <c r="BD177" i="2"/>
  <c r="BD192" i="2" s="1"/>
  <c r="BD169" i="2"/>
  <c r="BD184" i="2" s="1"/>
  <c r="BD176" i="2"/>
  <c r="BD191" i="2" s="1"/>
  <c r="BD168" i="2"/>
  <c r="BD183" i="2" s="1"/>
  <c r="BD171" i="2"/>
  <c r="BD186" i="2" s="1"/>
  <c r="BC316" i="2"/>
  <c r="BC13" i="2"/>
  <c r="BC14" i="2" s="1"/>
  <c r="BC174" i="2"/>
  <c r="BC189" i="2" s="1"/>
  <c r="BC172" i="2"/>
  <c r="BC187" i="2" s="1"/>
  <c r="BC179" i="2"/>
  <c r="BC194" i="2" s="1"/>
  <c r="BC173" i="2"/>
  <c r="BC188" i="2" s="1"/>
  <c r="BC175" i="2"/>
  <c r="BC190" i="2" s="1"/>
  <c r="BC167" i="2"/>
  <c r="BC182" i="2" s="1"/>
  <c r="BC166" i="2"/>
  <c r="BC181" i="2" s="1"/>
  <c r="BC169" i="2"/>
  <c r="BC184" i="2" s="1"/>
  <c r="BC176" i="2"/>
  <c r="BC191" i="2" s="1"/>
  <c r="BC170" i="2"/>
  <c r="BC185" i="2" s="1"/>
  <c r="BC178" i="2"/>
  <c r="BC193" i="2" s="1"/>
  <c r="BC177" i="2"/>
  <c r="BC192" i="2" s="1"/>
  <c r="BC168" i="2"/>
  <c r="BC183" i="2" s="1"/>
  <c r="BC171" i="2"/>
  <c r="BC186" i="2" s="1"/>
  <c r="S316" i="2"/>
  <c r="S13" i="2"/>
  <c r="S14" i="2" s="1"/>
  <c r="S167" i="2"/>
  <c r="S182" i="2" s="1"/>
  <c r="S179" i="2"/>
  <c r="S194" i="2" s="1"/>
  <c r="S172" i="2"/>
  <c r="S187" i="2" s="1"/>
  <c r="S174" i="2"/>
  <c r="S189" i="2" s="1"/>
  <c r="S175" i="2"/>
  <c r="S190" i="2" s="1"/>
  <c r="S173" i="2"/>
  <c r="S188" i="2" s="1"/>
  <c r="S166" i="2"/>
  <c r="S181" i="2" s="1"/>
  <c r="S169" i="2"/>
  <c r="S184" i="2" s="1"/>
  <c r="S178" i="2"/>
  <c r="S193" i="2" s="1"/>
  <c r="S170" i="2"/>
  <c r="S185" i="2" s="1"/>
  <c r="S177" i="2"/>
  <c r="S192" i="2" s="1"/>
  <c r="S176" i="2"/>
  <c r="S191" i="2" s="1"/>
  <c r="S168" i="2"/>
  <c r="S183" i="2" s="1"/>
  <c r="S171" i="2"/>
  <c r="S186" i="2" s="1"/>
  <c r="AN316" i="2"/>
  <c r="AN13" i="2"/>
  <c r="AN14" i="2" s="1"/>
  <c r="AN174" i="2"/>
  <c r="AN189" i="2" s="1"/>
  <c r="AN167" i="2"/>
  <c r="AN182" i="2" s="1"/>
  <c r="AN175" i="2"/>
  <c r="AN190" i="2" s="1"/>
  <c r="AN172" i="2"/>
  <c r="AN187" i="2" s="1"/>
  <c r="AN173" i="2"/>
  <c r="AN188" i="2" s="1"/>
  <c r="AN166" i="2"/>
  <c r="AN181" i="2" s="1"/>
  <c r="AN168" i="2"/>
  <c r="AN183" i="2" s="1"/>
  <c r="AN178" i="2"/>
  <c r="AN193" i="2" s="1"/>
  <c r="AN170" i="2"/>
  <c r="AN185" i="2" s="1"/>
  <c r="AN169" i="2"/>
  <c r="AN184" i="2" s="1"/>
  <c r="AN177" i="2"/>
  <c r="AN192" i="2" s="1"/>
  <c r="AN176" i="2"/>
  <c r="AN191" i="2" s="1"/>
  <c r="AN179" i="2"/>
  <c r="AN194" i="2" s="1"/>
  <c r="AN171" i="2"/>
  <c r="AN186" i="2" s="1"/>
  <c r="AD316" i="2"/>
  <c r="AD13" i="2"/>
  <c r="AD14" i="2" s="1"/>
  <c r="AD174" i="2"/>
  <c r="AD189" i="2" s="1"/>
  <c r="AD166" i="2"/>
  <c r="AD181" i="2" s="1"/>
  <c r="AD172" i="2"/>
  <c r="AD187" i="2" s="1"/>
  <c r="AD167" i="2"/>
  <c r="AD182" i="2" s="1"/>
  <c r="AD179" i="2"/>
  <c r="AD194" i="2" s="1"/>
  <c r="AD175" i="2"/>
  <c r="AD190" i="2" s="1"/>
  <c r="AD173" i="2"/>
  <c r="AD188" i="2" s="1"/>
  <c r="AD169" i="2"/>
  <c r="AD184" i="2" s="1"/>
  <c r="AD177" i="2"/>
  <c r="AD192" i="2" s="1"/>
  <c r="AD176" i="2"/>
  <c r="AD191" i="2" s="1"/>
  <c r="AD170" i="2"/>
  <c r="AD185" i="2" s="1"/>
  <c r="AD178" i="2"/>
  <c r="AD193" i="2" s="1"/>
  <c r="AD168" i="2"/>
  <c r="AD183" i="2" s="1"/>
  <c r="AD171" i="2"/>
  <c r="AD186" i="2" s="1"/>
  <c r="BA316" i="2"/>
  <c r="BA13" i="2"/>
  <c r="BA14" i="2" s="1"/>
  <c r="BA167" i="2"/>
  <c r="BA182" i="2" s="1"/>
  <c r="BA166" i="2"/>
  <c r="BA181" i="2" s="1"/>
  <c r="BA174" i="2"/>
  <c r="BA189" i="2" s="1"/>
  <c r="BA172" i="2"/>
  <c r="BA187" i="2" s="1"/>
  <c r="BA179" i="2"/>
  <c r="BA194" i="2" s="1"/>
  <c r="BA175" i="2"/>
  <c r="BA190" i="2" s="1"/>
  <c r="BA173" i="2"/>
  <c r="BA188" i="2" s="1"/>
  <c r="BA168" i="2"/>
  <c r="BA183" i="2" s="1"/>
  <c r="BA169" i="2"/>
  <c r="BA184" i="2" s="1"/>
  <c r="BA178" i="2"/>
  <c r="BA193" i="2" s="1"/>
  <c r="BA170" i="2"/>
  <c r="BA185" i="2" s="1"/>
  <c r="BA176" i="2"/>
  <c r="BA191" i="2" s="1"/>
  <c r="BA177" i="2"/>
  <c r="BA192" i="2" s="1"/>
  <c r="BA171" i="2"/>
  <c r="BA186" i="2" s="1"/>
  <c r="R13" i="2"/>
  <c r="R14" i="2" s="1"/>
  <c r="R316" i="2"/>
  <c r="R173" i="2"/>
  <c r="R188" i="2" s="1"/>
  <c r="R179" i="2"/>
  <c r="R194" i="2" s="1"/>
  <c r="R167" i="2"/>
  <c r="R182" i="2" s="1"/>
  <c r="R166" i="2"/>
  <c r="R181" i="2" s="1"/>
  <c r="R175" i="2"/>
  <c r="R190" i="2" s="1"/>
  <c r="R174" i="2"/>
  <c r="R189" i="2" s="1"/>
  <c r="R172" i="2"/>
  <c r="R187" i="2" s="1"/>
  <c r="R178" i="2"/>
  <c r="R193" i="2" s="1"/>
  <c r="R170" i="2"/>
  <c r="R185" i="2" s="1"/>
  <c r="R177" i="2"/>
  <c r="R192" i="2" s="1"/>
  <c r="R176" i="2"/>
  <c r="R191" i="2" s="1"/>
  <c r="R169" i="2"/>
  <c r="R184" i="2" s="1"/>
  <c r="R168" i="2"/>
  <c r="R183" i="2" s="1"/>
  <c r="R171" i="2"/>
  <c r="R186" i="2" s="1"/>
  <c r="AS316" i="2"/>
  <c r="AS13" i="2"/>
  <c r="AS14" i="2" s="1"/>
  <c r="AS173" i="2"/>
  <c r="AS188" i="2" s="1"/>
  <c r="AS166" i="2"/>
  <c r="AS181" i="2" s="1"/>
  <c r="AS167" i="2"/>
  <c r="AS182" i="2" s="1"/>
  <c r="AS179" i="2"/>
  <c r="AS194" i="2" s="1"/>
  <c r="AS174" i="2"/>
  <c r="AS189" i="2" s="1"/>
  <c r="AS172" i="2"/>
  <c r="AS187" i="2" s="1"/>
  <c r="AS175" i="2"/>
  <c r="AS190" i="2" s="1"/>
  <c r="AS177" i="2"/>
  <c r="AS192" i="2" s="1"/>
  <c r="AS168" i="2"/>
  <c r="AS183" i="2" s="1"/>
  <c r="AS178" i="2"/>
  <c r="AS193" i="2" s="1"/>
  <c r="AS170" i="2"/>
  <c r="AS185" i="2" s="1"/>
  <c r="AS169" i="2"/>
  <c r="AS184" i="2" s="1"/>
  <c r="AS176" i="2"/>
  <c r="AS191" i="2" s="1"/>
  <c r="AS171" i="2"/>
  <c r="AS186" i="2" s="1"/>
  <c r="AF316" i="2"/>
  <c r="AF13" i="2"/>
  <c r="AF14" i="2" s="1"/>
  <c r="AF174" i="2"/>
  <c r="AF189" i="2" s="1"/>
  <c r="AF175" i="2"/>
  <c r="AF190" i="2" s="1"/>
  <c r="AF172" i="2"/>
  <c r="AF187" i="2" s="1"/>
  <c r="AF179" i="2"/>
  <c r="AF194" i="2" s="1"/>
  <c r="AF173" i="2"/>
  <c r="AF188" i="2" s="1"/>
  <c r="AF167" i="2"/>
  <c r="AF182" i="2" s="1"/>
  <c r="AF166" i="2"/>
  <c r="AF181" i="2" s="1"/>
  <c r="AF178" i="2"/>
  <c r="AF193" i="2" s="1"/>
  <c r="AF170" i="2"/>
  <c r="AF185" i="2" s="1"/>
  <c r="AF169" i="2"/>
  <c r="AF184" i="2" s="1"/>
  <c r="AF177" i="2"/>
  <c r="AF192" i="2" s="1"/>
  <c r="AF168" i="2"/>
  <c r="AF183" i="2" s="1"/>
  <c r="AF176" i="2"/>
  <c r="AF191" i="2" s="1"/>
  <c r="AF171" i="2"/>
  <c r="AF186" i="2" s="1"/>
  <c r="AW13" i="2"/>
  <c r="AW14" i="2" s="1"/>
  <c r="AW316" i="2"/>
  <c r="AW175" i="2"/>
  <c r="AW190" i="2" s="1"/>
  <c r="AW173" i="2"/>
  <c r="AW188" i="2" s="1"/>
  <c r="AW172" i="2"/>
  <c r="AW187" i="2" s="1"/>
  <c r="AW174" i="2"/>
  <c r="AW189" i="2" s="1"/>
  <c r="AW166" i="2"/>
  <c r="AW181" i="2" s="1"/>
  <c r="AW167" i="2"/>
  <c r="AW182" i="2" s="1"/>
  <c r="AW168" i="2"/>
  <c r="AW183" i="2" s="1"/>
  <c r="AW178" i="2"/>
  <c r="AW193" i="2" s="1"/>
  <c r="AW170" i="2"/>
  <c r="AW185" i="2" s="1"/>
  <c r="AW177" i="2"/>
  <c r="AW192" i="2" s="1"/>
  <c r="AW179" i="2"/>
  <c r="AW194" i="2" s="1"/>
  <c r="AW169" i="2"/>
  <c r="AW184" i="2" s="1"/>
  <c r="AW176" i="2"/>
  <c r="AW191" i="2" s="1"/>
  <c r="AW171" i="2"/>
  <c r="AW186" i="2" s="1"/>
  <c r="AC316" i="2"/>
  <c r="AC13" i="2"/>
  <c r="AC14" i="2" s="1"/>
  <c r="AC172" i="2"/>
  <c r="AC187" i="2" s="1"/>
  <c r="AC175" i="2"/>
  <c r="AC190" i="2" s="1"/>
  <c r="AC173" i="2"/>
  <c r="AC188" i="2" s="1"/>
  <c r="AC166" i="2"/>
  <c r="AC181" i="2" s="1"/>
  <c r="AC167" i="2"/>
  <c r="AC182" i="2" s="1"/>
  <c r="AC174" i="2"/>
  <c r="AC189" i="2" s="1"/>
  <c r="AC178" i="2"/>
  <c r="AC193" i="2" s="1"/>
  <c r="AC169" i="2"/>
  <c r="AC184" i="2" s="1"/>
  <c r="AC179" i="2"/>
  <c r="AC194" i="2" s="1"/>
  <c r="AC170" i="2"/>
  <c r="AC185" i="2" s="1"/>
  <c r="AC176" i="2"/>
  <c r="AC191" i="2" s="1"/>
  <c r="AC177" i="2"/>
  <c r="AC192" i="2" s="1"/>
  <c r="AC168" i="2"/>
  <c r="AC183" i="2" s="1"/>
  <c r="AC171" i="2"/>
  <c r="AC186" i="2" s="1"/>
  <c r="AI316" i="2"/>
  <c r="AI13" i="2"/>
  <c r="AI14" i="2" s="1"/>
  <c r="AI173" i="2"/>
  <c r="AI188" i="2" s="1"/>
  <c r="AI172" i="2"/>
  <c r="AI187" i="2" s="1"/>
  <c r="AI174" i="2"/>
  <c r="AI189" i="2" s="1"/>
  <c r="AI175" i="2"/>
  <c r="AI190" i="2" s="1"/>
  <c r="AI179" i="2"/>
  <c r="AI194" i="2" s="1"/>
  <c r="AI178" i="2"/>
  <c r="AI193" i="2" s="1"/>
  <c r="AI170" i="2"/>
  <c r="AI185" i="2" s="1"/>
  <c r="AI177" i="2"/>
  <c r="AI192" i="2" s="1"/>
  <c r="AI166" i="2"/>
  <c r="AI181" i="2" s="1"/>
  <c r="AI167" i="2"/>
  <c r="AI182" i="2" s="1"/>
  <c r="AI176" i="2"/>
  <c r="AI191" i="2" s="1"/>
  <c r="AI169" i="2"/>
  <c r="AI184" i="2" s="1"/>
  <c r="AI171" i="2"/>
  <c r="AI186" i="2" s="1"/>
  <c r="AI168" i="2"/>
  <c r="AI183" i="2" s="1"/>
  <c r="AX13" i="2"/>
  <c r="AX14" i="2" s="1"/>
  <c r="AX316" i="2"/>
  <c r="AX175" i="2"/>
  <c r="AX190" i="2" s="1"/>
  <c r="AX166" i="2"/>
  <c r="AX181" i="2" s="1"/>
  <c r="AX172" i="2"/>
  <c r="AX187" i="2" s="1"/>
  <c r="AX174" i="2"/>
  <c r="AX189" i="2" s="1"/>
  <c r="AX167" i="2"/>
  <c r="AX182" i="2" s="1"/>
  <c r="AX179" i="2"/>
  <c r="AX194" i="2" s="1"/>
  <c r="AX173" i="2"/>
  <c r="AX188" i="2" s="1"/>
  <c r="AX176" i="2"/>
  <c r="AX191" i="2" s="1"/>
  <c r="AX169" i="2"/>
  <c r="AX184" i="2" s="1"/>
  <c r="AX168" i="2"/>
  <c r="AX183" i="2" s="1"/>
  <c r="AX178" i="2"/>
  <c r="AX193" i="2" s="1"/>
  <c r="AX170" i="2"/>
  <c r="AX185" i="2" s="1"/>
  <c r="AX177" i="2"/>
  <c r="AX192" i="2" s="1"/>
  <c r="AX171" i="2"/>
  <c r="AX186" i="2" s="1"/>
  <c r="Z13" i="2"/>
  <c r="Z14" i="2" s="1"/>
  <c r="Z316" i="2"/>
  <c r="Z179" i="2"/>
  <c r="Z194" i="2" s="1"/>
  <c r="Z174" i="2"/>
  <c r="Z189" i="2" s="1"/>
  <c r="Z175" i="2"/>
  <c r="Z190" i="2" s="1"/>
  <c r="Z167" i="2"/>
  <c r="Z182" i="2" s="1"/>
  <c r="Z166" i="2"/>
  <c r="Z181" i="2" s="1"/>
  <c r="Z172" i="2"/>
  <c r="Z187" i="2" s="1"/>
  <c r="Z173" i="2"/>
  <c r="Z188" i="2" s="1"/>
  <c r="Z177" i="2"/>
  <c r="Z192" i="2" s="1"/>
  <c r="Z169" i="2"/>
  <c r="Z184" i="2" s="1"/>
  <c r="Z176" i="2"/>
  <c r="Z191" i="2" s="1"/>
  <c r="Z178" i="2"/>
  <c r="Z193" i="2" s="1"/>
  <c r="Z170" i="2"/>
  <c r="Z185" i="2" s="1"/>
  <c r="Z168" i="2"/>
  <c r="Z183" i="2" s="1"/>
  <c r="Z171" i="2"/>
  <c r="Z186" i="2" s="1"/>
  <c r="J13" i="2"/>
  <c r="J14" i="2" s="1"/>
  <c r="J316" i="2"/>
  <c r="J172" i="2"/>
  <c r="J187" i="2" s="1"/>
  <c r="J166" i="2"/>
  <c r="J181" i="2" s="1"/>
  <c r="J167" i="2"/>
  <c r="J182" i="2" s="1"/>
  <c r="J179" i="2"/>
  <c r="J194" i="2" s="1"/>
  <c r="J175" i="2"/>
  <c r="J190" i="2" s="1"/>
  <c r="J174" i="2"/>
  <c r="J189" i="2" s="1"/>
  <c r="J178" i="2"/>
  <c r="J193" i="2" s="1"/>
  <c r="J170" i="2"/>
  <c r="J185" i="2" s="1"/>
  <c r="J169" i="2"/>
  <c r="J184" i="2" s="1"/>
  <c r="J173" i="2"/>
  <c r="J188" i="2" s="1"/>
  <c r="J177" i="2"/>
  <c r="J192" i="2" s="1"/>
  <c r="J176" i="2"/>
  <c r="J191" i="2" s="1"/>
  <c r="J168" i="2"/>
  <c r="J183" i="2" s="1"/>
  <c r="J171" i="2"/>
  <c r="J186" i="2" s="1"/>
  <c r="W316" i="2"/>
  <c r="W13" i="2"/>
  <c r="W14" i="2" s="1"/>
  <c r="W167" i="2"/>
  <c r="W182" i="2" s="1"/>
  <c r="W175" i="2"/>
  <c r="W190" i="2" s="1"/>
  <c r="W174" i="2"/>
  <c r="W189" i="2" s="1"/>
  <c r="W172" i="2"/>
  <c r="W187" i="2" s="1"/>
  <c r="W166" i="2"/>
  <c r="W181" i="2" s="1"/>
  <c r="W179" i="2"/>
  <c r="W194" i="2" s="1"/>
  <c r="W173" i="2"/>
  <c r="W188" i="2" s="1"/>
  <c r="W176" i="2"/>
  <c r="W191" i="2" s="1"/>
  <c r="W170" i="2"/>
  <c r="W185" i="2" s="1"/>
  <c r="W178" i="2"/>
  <c r="W193" i="2" s="1"/>
  <c r="W177" i="2"/>
  <c r="W192" i="2" s="1"/>
  <c r="W169" i="2"/>
  <c r="W184" i="2" s="1"/>
  <c r="W168" i="2"/>
  <c r="W183" i="2" s="1"/>
  <c r="W171" i="2"/>
  <c r="W186" i="2" s="1"/>
  <c r="AG13" i="2"/>
  <c r="AG14" i="2" s="1"/>
  <c r="AG316" i="2"/>
  <c r="AG175" i="2"/>
  <c r="AG190" i="2" s="1"/>
  <c r="AG173" i="2"/>
  <c r="AG188" i="2" s="1"/>
  <c r="AG172" i="2"/>
  <c r="AG187" i="2" s="1"/>
  <c r="AG174" i="2"/>
  <c r="AG189" i="2" s="1"/>
  <c r="AG179" i="2"/>
  <c r="AG194" i="2" s="1"/>
  <c r="AG166" i="2"/>
  <c r="AG181" i="2" s="1"/>
  <c r="AG176" i="2"/>
  <c r="AG191" i="2" s="1"/>
  <c r="AG167" i="2"/>
  <c r="AG182" i="2" s="1"/>
  <c r="AG178" i="2"/>
  <c r="AG193" i="2" s="1"/>
  <c r="AG170" i="2"/>
  <c r="AG185" i="2" s="1"/>
  <c r="AG177" i="2"/>
  <c r="AG192" i="2" s="1"/>
  <c r="AG169" i="2"/>
  <c r="AG184" i="2" s="1"/>
  <c r="AG168" i="2"/>
  <c r="AG183" i="2" s="1"/>
  <c r="AG171" i="2"/>
  <c r="AG186" i="2" s="1"/>
  <c r="AU14" i="2"/>
  <c r="V196" i="2"/>
  <c r="AH196" i="2"/>
  <c r="AP196" i="2"/>
  <c r="AH48" i="2"/>
  <c r="AH115" i="2" s="1"/>
  <c r="AH47" i="2"/>
  <c r="AH108" i="2" s="1"/>
  <c r="T48" i="2"/>
  <c r="T115" i="2" s="1"/>
  <c r="T47" i="2"/>
  <c r="T108" i="2" s="1"/>
  <c r="AJ196" i="2"/>
  <c r="AO47" i="2"/>
  <c r="AO108" i="2" s="1"/>
  <c r="AO48" i="2"/>
  <c r="AO115" i="2" s="1"/>
  <c r="G49" i="2"/>
  <c r="G108" i="2"/>
  <c r="M48" i="2"/>
  <c r="M115" i="2" s="1"/>
  <c r="M47" i="2"/>
  <c r="M108" i="2" s="1"/>
  <c r="AP47" i="2"/>
  <c r="AP108" i="2" s="1"/>
  <c r="AP48" i="2"/>
  <c r="AP115" i="2" s="1"/>
  <c r="AY196" i="2"/>
  <c r="U48" i="2"/>
  <c r="U115" i="2" s="1"/>
  <c r="U47" i="2"/>
  <c r="U108" i="2" s="1"/>
  <c r="AB47" i="2"/>
  <c r="AB108" i="2" s="1"/>
  <c r="AB48" i="2"/>
  <c r="AB115" i="2" s="1"/>
  <c r="T196" i="2"/>
  <c r="AB196" i="2"/>
  <c r="M196" i="2"/>
  <c r="X47" i="2"/>
  <c r="X108" i="2" s="1"/>
  <c r="X48" i="2"/>
  <c r="X115" i="2" s="1"/>
  <c r="U196" i="2"/>
  <c r="AY47" i="2"/>
  <c r="AY108" i="2" s="1"/>
  <c r="AY48" i="2"/>
  <c r="AY115" i="2" s="1"/>
  <c r="X196" i="2"/>
  <c r="V47" i="2"/>
  <c r="V108" i="2" s="1"/>
  <c r="V48" i="2"/>
  <c r="V115" i="2" s="1"/>
  <c r="AO196" i="2"/>
  <c r="AJ15" i="2" l="1"/>
  <c r="AJ17" i="2" s="1"/>
  <c r="AY15" i="2"/>
  <c r="AY17" i="2" s="1"/>
  <c r="AB15" i="2"/>
  <c r="T15" i="2"/>
  <c r="T17" i="2" s="1"/>
  <c r="AF196" i="2"/>
  <c r="U15" i="2"/>
  <c r="U17" i="2" s="1"/>
  <c r="AR196" i="2"/>
  <c r="M15" i="2"/>
  <c r="M17" i="2" s="1"/>
  <c r="P196" i="2"/>
  <c r="AN196" i="2"/>
  <c r="AG47" i="2"/>
  <c r="AG108" i="2" s="1"/>
  <c r="AG48" i="2"/>
  <c r="AG115" i="2" s="1"/>
  <c r="AG196" i="2"/>
  <c r="AI196" i="2"/>
  <c r="AN47" i="2"/>
  <c r="AN108" i="2" s="1"/>
  <c r="AN48" i="2"/>
  <c r="AN115" i="2" s="1"/>
  <c r="AF47" i="2"/>
  <c r="AF108" i="2" s="1"/>
  <c r="AF48" i="2"/>
  <c r="AF115" i="2" s="1"/>
  <c r="N47" i="2"/>
  <c r="N108" i="2" s="1"/>
  <c r="N48" i="2"/>
  <c r="N115" i="2" s="1"/>
  <c r="Z48" i="2"/>
  <c r="Z115" i="2" s="1"/>
  <c r="Z47" i="2"/>
  <c r="Z108" i="2" s="1"/>
  <c r="H47" i="2"/>
  <c r="H15" i="2"/>
  <c r="H17" i="2" s="1"/>
  <c r="C13" i="2"/>
  <c r="X15" i="2"/>
  <c r="X17" i="2" s="1"/>
  <c r="AS48" i="2"/>
  <c r="AS115" i="2" s="1"/>
  <c r="AS47" i="2"/>
  <c r="AS108" i="2" s="1"/>
  <c r="AW196" i="2"/>
  <c r="W48" i="2"/>
  <c r="W115" i="2" s="1"/>
  <c r="W47" i="2"/>
  <c r="W108" i="2" s="1"/>
  <c r="AA196" i="2"/>
  <c r="AP15" i="2"/>
  <c r="AP17" i="2" s="1"/>
  <c r="S48" i="2"/>
  <c r="S115" i="2" s="1"/>
  <c r="S47" i="2"/>
  <c r="S108" i="2" s="1"/>
  <c r="AT196" i="2"/>
  <c r="AC47" i="2"/>
  <c r="AC108" i="2" s="1"/>
  <c r="AC48" i="2"/>
  <c r="AC115" i="2" s="1"/>
  <c r="G51" i="2"/>
  <c r="AL196" i="2"/>
  <c r="AL47" i="2"/>
  <c r="AL108" i="2" s="1"/>
  <c r="AL48" i="2"/>
  <c r="AL115" i="2" s="1"/>
  <c r="Y196" i="2"/>
  <c r="AV47" i="2"/>
  <c r="AV108" i="2" s="1"/>
  <c r="AV48" i="2"/>
  <c r="AV115" i="2" s="1"/>
  <c r="AM196" i="2"/>
  <c r="AE48" i="2"/>
  <c r="AE115" i="2" s="1"/>
  <c r="AE47" i="2"/>
  <c r="AE108" i="2" s="1"/>
  <c r="AK196" i="2"/>
  <c r="AK48" i="2"/>
  <c r="AK115" i="2" s="1"/>
  <c r="AK47" i="2"/>
  <c r="AK108" i="2" s="1"/>
  <c r="V15" i="2"/>
  <c r="V17" i="2" s="1"/>
  <c r="BB48" i="2"/>
  <c r="BB115" i="2" s="1"/>
  <c r="BB47" i="2"/>
  <c r="BB108" i="2" s="1"/>
  <c r="BA48" i="2"/>
  <c r="BA115" i="2" s="1"/>
  <c r="BA47" i="2"/>
  <c r="BA108" i="2" s="1"/>
  <c r="N196" i="2"/>
  <c r="BD48" i="2"/>
  <c r="BD115" i="2" s="1"/>
  <c r="BD47" i="2"/>
  <c r="BD108" i="2" s="1"/>
  <c r="BD196" i="2"/>
  <c r="P48" i="2"/>
  <c r="P115" i="2" s="1"/>
  <c r="P47" i="2"/>
  <c r="P108" i="2" s="1"/>
  <c r="J196" i="2"/>
  <c r="AA47" i="2"/>
  <c r="AA108" i="2" s="1"/>
  <c r="AA48" i="2"/>
  <c r="AA115" i="2" s="1"/>
  <c r="AT48" i="2"/>
  <c r="AT115" i="2" s="1"/>
  <c r="AT47" i="2"/>
  <c r="AT108" i="2" s="1"/>
  <c r="R48" i="2"/>
  <c r="R115" i="2" s="1"/>
  <c r="R47" i="2"/>
  <c r="R108" i="2" s="1"/>
  <c r="AD48" i="2"/>
  <c r="AD115" i="2" s="1"/>
  <c r="AD47" i="2"/>
  <c r="AD108" i="2" s="1"/>
  <c r="AZ196" i="2"/>
  <c r="AO15" i="2"/>
  <c r="AO17" i="2" s="1"/>
  <c r="O196" i="2"/>
  <c r="AH15" i="2"/>
  <c r="AH17" i="2" s="1"/>
  <c r="AM47" i="2"/>
  <c r="AM108" i="2" s="1"/>
  <c r="AM48" i="2"/>
  <c r="AM115" i="2" s="1"/>
  <c r="I196" i="2"/>
  <c r="I47" i="2"/>
  <c r="I108" i="2" s="1"/>
  <c r="I48" i="2"/>
  <c r="I115" i="2" s="1"/>
  <c r="AI47" i="2"/>
  <c r="AI108" i="2" s="1"/>
  <c r="AI48" i="2"/>
  <c r="AI115" i="2" s="1"/>
  <c r="BA196" i="2"/>
  <c r="Z196" i="2"/>
  <c r="H196" i="2"/>
  <c r="L196" i="2"/>
  <c r="AW47" i="2"/>
  <c r="AW108" i="2" s="1"/>
  <c r="AW48" i="2"/>
  <c r="AW115" i="2" s="1"/>
  <c r="W196" i="2"/>
  <c r="K196" i="2"/>
  <c r="J48" i="2"/>
  <c r="J115" i="2" s="1"/>
  <c r="J47" i="2"/>
  <c r="J108" i="2" s="1"/>
  <c r="AQ47" i="2"/>
  <c r="AQ108" i="2" s="1"/>
  <c r="AQ48" i="2"/>
  <c r="AQ115" i="2" s="1"/>
  <c r="AQ196" i="2"/>
  <c r="S196" i="2"/>
  <c r="AD196" i="2"/>
  <c r="O48" i="2"/>
  <c r="O115" i="2" s="1"/>
  <c r="O47" i="2"/>
  <c r="O108" i="2" s="1"/>
  <c r="AU47" i="2"/>
  <c r="AU108" i="2" s="1"/>
  <c r="AU48" i="2"/>
  <c r="AU115" i="2" s="1"/>
  <c r="AU196" i="2"/>
  <c r="BC47" i="2"/>
  <c r="BC108" i="2" s="1"/>
  <c r="BC48" i="2"/>
  <c r="BC115" i="2" s="1"/>
  <c r="Y47" i="2"/>
  <c r="Y108" i="2" s="1"/>
  <c r="Y48" i="2"/>
  <c r="Y115" i="2" s="1"/>
  <c r="AV196" i="2"/>
  <c r="AE196" i="2"/>
  <c r="BB196" i="2"/>
  <c r="AX47" i="2"/>
  <c r="AX108" i="2" s="1"/>
  <c r="AX48" i="2"/>
  <c r="AX115" i="2" s="1"/>
  <c r="AX196" i="2"/>
  <c r="L48" i="2"/>
  <c r="L115" i="2" s="1"/>
  <c r="L47" i="2"/>
  <c r="L108" i="2" s="1"/>
  <c r="AS196" i="2"/>
  <c r="AR47" i="2"/>
  <c r="AR108" i="2" s="1"/>
  <c r="AR48" i="2"/>
  <c r="AR115" i="2" s="1"/>
  <c r="K47" i="2"/>
  <c r="K108" i="2" s="1"/>
  <c r="K48" i="2"/>
  <c r="K115" i="2" s="1"/>
  <c r="R196" i="2"/>
  <c r="AC196" i="2"/>
  <c r="Q196" i="2"/>
  <c r="Q48" i="2"/>
  <c r="Q115" i="2" s="1"/>
  <c r="Q47" i="2"/>
  <c r="Q108" i="2" s="1"/>
  <c r="G201" i="2"/>
  <c r="AZ47" i="2"/>
  <c r="AZ108" i="2" s="1"/>
  <c r="AZ48" i="2"/>
  <c r="AZ115" i="2" s="1"/>
  <c r="BC196" i="2"/>
  <c r="G205" i="2" l="1"/>
  <c r="C196" i="2"/>
  <c r="AJ49" i="2"/>
  <c r="AJ201" i="2" s="1"/>
  <c r="AB49" i="2"/>
  <c r="AB201" i="2" s="1"/>
  <c r="AB17" i="2"/>
  <c r="AB25" i="2" s="1"/>
  <c r="G253" i="2"/>
  <c r="G254" i="2" s="1"/>
  <c r="G401" i="2" s="1"/>
  <c r="T49" i="2"/>
  <c r="AW15" i="2"/>
  <c r="M49" i="2"/>
  <c r="AQ15" i="2"/>
  <c r="AQ17" i="2" s="1"/>
  <c r="R15" i="2"/>
  <c r="AZ15" i="2"/>
  <c r="AZ17" i="2" s="1"/>
  <c r="AY49" i="2"/>
  <c r="O15" i="2"/>
  <c r="U49" i="2"/>
  <c r="AR15" i="2"/>
  <c r="AR17" i="2" s="1"/>
  <c r="AM15" i="2"/>
  <c r="AM17" i="2" s="1"/>
  <c r="AD15" i="2"/>
  <c r="AD17" i="2" s="1"/>
  <c r="AT15" i="2"/>
  <c r="BA15" i="2"/>
  <c r="AI15" i="2"/>
  <c r="BC15" i="2"/>
  <c r="BC17" i="2" s="1"/>
  <c r="AU15" i="2"/>
  <c r="AU17" i="2" s="1"/>
  <c r="AV15" i="2"/>
  <c r="AV17" i="2" s="1"/>
  <c r="AC15" i="2"/>
  <c r="AX15" i="2"/>
  <c r="AK15" i="2"/>
  <c r="AK17" i="2" s="1"/>
  <c r="T25" i="2"/>
  <c r="T51" i="2"/>
  <c r="M51" i="2"/>
  <c r="M25" i="2"/>
  <c r="K15" i="2"/>
  <c r="K17" i="2" s="1"/>
  <c r="J15" i="2"/>
  <c r="J17" i="2" s="1"/>
  <c r="G109" i="2"/>
  <c r="AP49" i="2"/>
  <c r="AS15" i="2"/>
  <c r="AS17" i="2" s="1"/>
  <c r="X49" i="2"/>
  <c r="H108" i="2"/>
  <c r="C108" i="2" s="1"/>
  <c r="C47" i="2"/>
  <c r="Q15" i="2"/>
  <c r="Q17" i="2" s="1"/>
  <c r="L15" i="2"/>
  <c r="L17" i="2" s="1"/>
  <c r="I15" i="2"/>
  <c r="I17" i="2" s="1"/>
  <c r="AA15" i="2"/>
  <c r="AA17" i="2" s="1"/>
  <c r="P15" i="2"/>
  <c r="P17" i="2" s="1"/>
  <c r="BD15" i="2"/>
  <c r="BD17" i="2" s="1"/>
  <c r="V49" i="2"/>
  <c r="AE15" i="2"/>
  <c r="AE17" i="2" s="1"/>
  <c r="AL15" i="2"/>
  <c r="AL17" i="2" s="1"/>
  <c r="S15" i="2"/>
  <c r="S17" i="2" s="1"/>
  <c r="H49" i="2"/>
  <c r="AY51" i="2"/>
  <c r="AY25" i="2"/>
  <c r="AJ25" i="2"/>
  <c r="AJ51" i="2"/>
  <c r="Y15" i="2"/>
  <c r="Y17" i="2" s="1"/>
  <c r="AO49" i="2"/>
  <c r="BB15" i="2"/>
  <c r="BB17" i="2" s="1"/>
  <c r="W15" i="2"/>
  <c r="W17" i="2" s="1"/>
  <c r="Z15" i="2"/>
  <c r="Z17" i="2" s="1"/>
  <c r="N15" i="2"/>
  <c r="N17" i="2" s="1"/>
  <c r="AN15" i="2"/>
  <c r="AN17" i="2" s="1"/>
  <c r="AG15" i="2"/>
  <c r="AG17" i="2" s="1"/>
  <c r="U25" i="2"/>
  <c r="U51" i="2"/>
  <c r="AH49" i="2"/>
  <c r="H48" i="2"/>
  <c r="C14" i="2"/>
  <c r="AF15" i="2"/>
  <c r="AF17" i="2" s="1"/>
  <c r="AB205" i="2" l="1"/>
  <c r="AJ205" i="2"/>
  <c r="AC49" i="2"/>
  <c r="AC201" i="2" s="1"/>
  <c r="AC17" i="2"/>
  <c r="AC25" i="2" s="1"/>
  <c r="AW49" i="2"/>
  <c r="AW201" i="2" s="1"/>
  <c r="AW17" i="2"/>
  <c r="AW25" i="2" s="1"/>
  <c r="BA49" i="2"/>
  <c r="BA201" i="2" s="1"/>
  <c r="BA17" i="2"/>
  <c r="BA25" i="2" s="1"/>
  <c r="AI49" i="2"/>
  <c r="AI201" i="2" s="1"/>
  <c r="AI17" i="2"/>
  <c r="AI51" i="2" s="1"/>
  <c r="AT49" i="2"/>
  <c r="AT201" i="2" s="1"/>
  <c r="AT17" i="2"/>
  <c r="AT25" i="2" s="1"/>
  <c r="O49" i="2"/>
  <c r="O201" i="2" s="1"/>
  <c r="O17" i="2"/>
  <c r="O25" i="2" s="1"/>
  <c r="AX49" i="2"/>
  <c r="AX201" i="2" s="1"/>
  <c r="AX17" i="2"/>
  <c r="AX25" i="2" s="1"/>
  <c r="R49" i="2"/>
  <c r="R201" i="2" s="1"/>
  <c r="R17" i="2"/>
  <c r="R51" i="2" s="1"/>
  <c r="G477" i="2"/>
  <c r="G796" i="2"/>
  <c r="AY253" i="2"/>
  <c r="AY254" i="2" s="1"/>
  <c r="AY401" i="2" s="1"/>
  <c r="M253" i="2"/>
  <c r="M254" i="2" s="1"/>
  <c r="M401" i="2" s="1"/>
  <c r="U253" i="2"/>
  <c r="U254" i="2" s="1"/>
  <c r="U401" i="2" s="1"/>
  <c r="T253" i="2"/>
  <c r="AJ253" i="2"/>
  <c r="AJ254" i="2" s="1"/>
  <c r="AJ401" i="2" s="1"/>
  <c r="V201" i="2"/>
  <c r="M201" i="2"/>
  <c r="AH201" i="2"/>
  <c r="U201" i="2"/>
  <c r="X201" i="2"/>
  <c r="T201" i="2"/>
  <c r="AO201" i="2"/>
  <c r="AP201" i="2"/>
  <c r="AY201" i="2"/>
  <c r="AR49" i="2"/>
  <c r="AU49" i="2"/>
  <c r="AK49" i="2"/>
  <c r="AZ49" i="2"/>
  <c r="AM49" i="2"/>
  <c r="AQ49" i="2"/>
  <c r="BC49" i="2"/>
  <c r="AB51" i="2"/>
  <c r="AV49" i="2"/>
  <c r="AD49" i="2"/>
  <c r="H115" i="2"/>
  <c r="C115" i="2" s="1"/>
  <c r="C48" i="2"/>
  <c r="AF49" i="2"/>
  <c r="AH25" i="2"/>
  <c r="AH51" i="2"/>
  <c r="U39" i="2"/>
  <c r="U923" i="2"/>
  <c r="AU25" i="2"/>
  <c r="AU51" i="2"/>
  <c r="AN49" i="2"/>
  <c r="Z49" i="2"/>
  <c r="AK25" i="2"/>
  <c r="AK51" i="2"/>
  <c r="AM51" i="2"/>
  <c r="AM25" i="2"/>
  <c r="AJ109" i="2"/>
  <c r="AJ59" i="2"/>
  <c r="C15" i="2"/>
  <c r="S49" i="2"/>
  <c r="AE49" i="2"/>
  <c r="P49" i="2"/>
  <c r="AP25" i="2"/>
  <c r="AP51" i="2"/>
  <c r="M923" i="2"/>
  <c r="M39" i="2"/>
  <c r="AR51" i="2"/>
  <c r="AR25" i="2"/>
  <c r="AV51" i="2"/>
  <c r="AV25" i="2"/>
  <c r="BB49" i="2"/>
  <c r="AD25" i="2"/>
  <c r="AD51" i="2"/>
  <c r="AQ25" i="2"/>
  <c r="AQ51" i="2"/>
  <c r="BC25" i="2"/>
  <c r="BC51" i="2"/>
  <c r="AJ923" i="2"/>
  <c r="AJ39" i="2"/>
  <c r="H201" i="2"/>
  <c r="AA49" i="2"/>
  <c r="L49" i="2"/>
  <c r="AZ25" i="2"/>
  <c r="AZ51" i="2"/>
  <c r="AS49" i="2"/>
  <c r="M109" i="2"/>
  <c r="M59" i="2"/>
  <c r="AO25" i="2"/>
  <c r="AO51" i="2"/>
  <c r="AY923" i="2"/>
  <c r="AY39" i="2"/>
  <c r="H25" i="2"/>
  <c r="H51" i="2"/>
  <c r="V25" i="2"/>
  <c r="V51" i="2"/>
  <c r="I49" i="2"/>
  <c r="Q49" i="2"/>
  <c r="J49" i="2"/>
  <c r="T109" i="2"/>
  <c r="T59" i="2"/>
  <c r="U109" i="2"/>
  <c r="U59" i="2"/>
  <c r="AG49" i="2"/>
  <c r="N49" i="2"/>
  <c r="W49" i="2"/>
  <c r="Y49" i="2"/>
  <c r="AB923" i="2"/>
  <c r="AB39" i="2"/>
  <c r="AY109" i="2"/>
  <c r="AY59" i="2"/>
  <c r="AL49" i="2"/>
  <c r="BD49" i="2"/>
  <c r="X25" i="2"/>
  <c r="X51" i="2"/>
  <c r="K49" i="2"/>
  <c r="T39" i="2"/>
  <c r="T923" i="2"/>
  <c r="AH205" i="2" l="1"/>
  <c r="U205" i="2"/>
  <c r="H205" i="2"/>
  <c r="M205" i="2"/>
  <c r="AT205" i="2"/>
  <c r="AC205" i="2"/>
  <c r="AY205" i="2"/>
  <c r="V205" i="2"/>
  <c r="AW205" i="2"/>
  <c r="AP205" i="2"/>
  <c r="R205" i="2"/>
  <c r="AI205" i="2"/>
  <c r="AO205" i="2"/>
  <c r="O205" i="2"/>
  <c r="T205" i="2"/>
  <c r="AX205" i="2"/>
  <c r="BA205" i="2"/>
  <c r="X205" i="2"/>
  <c r="U927" i="2"/>
  <c r="U932" i="2" s="1"/>
  <c r="AY927" i="2"/>
  <c r="AY932" i="2" s="1"/>
  <c r="AJ927" i="2"/>
  <c r="AJ932" i="2" s="1"/>
  <c r="T927" i="2"/>
  <c r="T932" i="2" s="1"/>
  <c r="M927" i="2"/>
  <c r="M932" i="2" s="1"/>
  <c r="U477" i="2"/>
  <c r="AY477" i="2"/>
  <c r="AJ477" i="2"/>
  <c r="AY427" i="2"/>
  <c r="M477" i="2"/>
  <c r="T254" i="2"/>
  <c r="AJ796" i="2"/>
  <c r="U796" i="2"/>
  <c r="M796" i="2"/>
  <c r="AY796" i="2"/>
  <c r="U427" i="2"/>
  <c r="M427" i="2"/>
  <c r="AH253" i="2"/>
  <c r="AH254" i="2" s="1"/>
  <c r="AH401" i="2" s="1"/>
  <c r="H253" i="2"/>
  <c r="H254" i="2" s="1"/>
  <c r="H401" i="2" s="1"/>
  <c r="AP253" i="2"/>
  <c r="AP254" i="2" s="1"/>
  <c r="AP401" i="2" s="1"/>
  <c r="AI253" i="2"/>
  <c r="AI254" i="2" s="1"/>
  <c r="AI401" i="2" s="1"/>
  <c r="BC253" i="2"/>
  <c r="AB253" i="2"/>
  <c r="AB254" i="2" s="1"/>
  <c r="AB401" i="2" s="1"/>
  <c r="AO253" i="2"/>
  <c r="AO254" i="2" s="1"/>
  <c r="AO401" i="2" s="1"/>
  <c r="AV253" i="2"/>
  <c r="AV254" i="2" s="1"/>
  <c r="AV401" i="2" s="1"/>
  <c r="AU253" i="2"/>
  <c r="AU254" i="2" s="1"/>
  <c r="AU401" i="2" s="1"/>
  <c r="X253" i="2"/>
  <c r="X254" i="2" s="1"/>
  <c r="X401" i="2" s="1"/>
  <c r="AZ253" i="2"/>
  <c r="AZ254" i="2" s="1"/>
  <c r="AZ401" i="2" s="1"/>
  <c r="AQ253" i="2"/>
  <c r="AQ254" i="2" s="1"/>
  <c r="AQ401" i="2" s="1"/>
  <c r="AM253" i="2"/>
  <c r="AM254" i="2" s="1"/>
  <c r="AM401" i="2" s="1"/>
  <c r="V253" i="2"/>
  <c r="V254" i="2" s="1"/>
  <c r="V401" i="2" s="1"/>
  <c r="AR253" i="2"/>
  <c r="AR254" i="2" s="1"/>
  <c r="AR401" i="2" s="1"/>
  <c r="AK253" i="2"/>
  <c r="AK254" i="2" s="1"/>
  <c r="AK401" i="2" s="1"/>
  <c r="AD253" i="2"/>
  <c r="AD254" i="2" s="1"/>
  <c r="AD401" i="2" s="1"/>
  <c r="R253" i="2"/>
  <c r="R254" i="2" s="1"/>
  <c r="R401" i="2" s="1"/>
  <c r="AJ427" i="2"/>
  <c r="L201" i="2"/>
  <c r="BC201" i="2"/>
  <c r="AK201" i="2"/>
  <c r="AZ201" i="2"/>
  <c r="AA201" i="2"/>
  <c r="AE201" i="2"/>
  <c r="AU201" i="2"/>
  <c r="K201" i="2"/>
  <c r="AN201" i="2"/>
  <c r="AF201" i="2"/>
  <c r="J201" i="2"/>
  <c r="S201" i="2"/>
  <c r="AG201" i="2"/>
  <c r="AR201" i="2"/>
  <c r="Q201" i="2"/>
  <c r="AS201" i="2"/>
  <c r="Z201" i="2"/>
  <c r="AD201" i="2"/>
  <c r="AQ201" i="2"/>
  <c r="BD201" i="2"/>
  <c r="AL201" i="2"/>
  <c r="Y201" i="2"/>
  <c r="BB201" i="2"/>
  <c r="AM201" i="2"/>
  <c r="N201" i="2"/>
  <c r="W201" i="2"/>
  <c r="I201" i="2"/>
  <c r="P201" i="2"/>
  <c r="AV201" i="2"/>
  <c r="AI25" i="2"/>
  <c r="AI39" i="2" s="1"/>
  <c r="BA51" i="2"/>
  <c r="O51" i="2"/>
  <c r="AT51" i="2"/>
  <c r="AB109" i="2"/>
  <c r="AC51" i="2"/>
  <c r="AB59" i="2"/>
  <c r="AX51" i="2"/>
  <c r="AW51" i="2"/>
  <c r="R25" i="2"/>
  <c r="R39" i="2" s="1"/>
  <c r="AL25" i="2"/>
  <c r="AL51" i="2"/>
  <c r="K51" i="2"/>
  <c r="K25" i="2"/>
  <c r="Y25" i="2"/>
  <c r="Y51" i="2"/>
  <c r="AI109" i="2"/>
  <c r="AI59" i="2"/>
  <c r="U916" i="2"/>
  <c r="V923" i="2"/>
  <c r="V39" i="2"/>
  <c r="H109" i="2"/>
  <c r="H59" i="2"/>
  <c r="M916" i="2"/>
  <c r="AZ39" i="2"/>
  <c r="AZ923" i="2"/>
  <c r="AC923" i="2"/>
  <c r="AC39" i="2"/>
  <c r="AQ923" i="2"/>
  <c r="AQ39" i="2"/>
  <c r="AD39" i="2"/>
  <c r="AD923" i="2"/>
  <c r="AV109" i="2"/>
  <c r="AV59" i="2"/>
  <c r="AK39" i="2"/>
  <c r="AK923" i="2"/>
  <c r="AN51" i="2"/>
  <c r="AN25" i="2"/>
  <c r="AF25" i="2"/>
  <c r="AF51" i="2"/>
  <c r="J51" i="2"/>
  <c r="J25" i="2"/>
  <c r="H923" i="2"/>
  <c r="H39" i="2"/>
  <c r="BA39" i="2"/>
  <c r="BA923" i="2"/>
  <c r="BC109" i="2"/>
  <c r="BC59" i="2"/>
  <c r="BB51" i="2"/>
  <c r="BB25" i="2"/>
  <c r="AX923" i="2"/>
  <c r="AX39" i="2"/>
  <c r="P25" i="2"/>
  <c r="P51" i="2"/>
  <c r="AJ916" i="2"/>
  <c r="AM39" i="2"/>
  <c r="AM923" i="2"/>
  <c r="T916" i="2"/>
  <c r="Q25" i="2"/>
  <c r="Q51" i="2"/>
  <c r="I25" i="2"/>
  <c r="I51" i="2"/>
  <c r="AO109" i="2"/>
  <c r="AO59" i="2"/>
  <c r="AA51" i="2"/>
  <c r="AA25" i="2"/>
  <c r="BC923" i="2"/>
  <c r="BC39" i="2"/>
  <c r="AR39" i="2"/>
  <c r="AR923" i="2"/>
  <c r="AP109" i="2"/>
  <c r="AP59" i="2"/>
  <c r="AE25" i="2"/>
  <c r="AE51" i="2"/>
  <c r="AM109" i="2"/>
  <c r="AM59" i="2"/>
  <c r="AU109" i="2"/>
  <c r="AU59" i="2"/>
  <c r="AH109" i="2"/>
  <c r="AH59" i="2"/>
  <c r="W25" i="2"/>
  <c r="W51" i="2"/>
  <c r="N51" i="2"/>
  <c r="N25" i="2"/>
  <c r="X109" i="2"/>
  <c r="X59" i="2"/>
  <c r="X39" i="2"/>
  <c r="X923" i="2"/>
  <c r="BD51" i="2"/>
  <c r="BD25" i="2"/>
  <c r="AY916" i="2"/>
  <c r="O39" i="2"/>
  <c r="O923" i="2"/>
  <c r="AG25" i="2"/>
  <c r="AG51" i="2"/>
  <c r="R109" i="2"/>
  <c r="R59" i="2"/>
  <c r="V109" i="2"/>
  <c r="V59" i="2"/>
  <c r="C17" i="2"/>
  <c r="A17" i="2" s="1"/>
  <c r="AO923" i="2"/>
  <c r="AO39" i="2"/>
  <c r="AS25" i="2"/>
  <c r="AS51" i="2"/>
  <c r="AZ109" i="2"/>
  <c r="AZ59" i="2"/>
  <c r="L25" i="2"/>
  <c r="L51" i="2"/>
  <c r="C49" i="2"/>
  <c r="AQ109" i="2"/>
  <c r="AQ59" i="2"/>
  <c r="AD109" i="2"/>
  <c r="AD59" i="2"/>
  <c r="AV923" i="2"/>
  <c r="AV39" i="2"/>
  <c r="AT39" i="2"/>
  <c r="AT923" i="2"/>
  <c r="AR109" i="2"/>
  <c r="AR59" i="2"/>
  <c r="AW923" i="2"/>
  <c r="AW39" i="2"/>
  <c r="AP923" i="2"/>
  <c r="AP39" i="2"/>
  <c r="S25" i="2"/>
  <c r="S51" i="2"/>
  <c r="AK109" i="2"/>
  <c r="AK59" i="2"/>
  <c r="Z51" i="2"/>
  <c r="Z25" i="2"/>
  <c r="AU923" i="2"/>
  <c r="AU39" i="2"/>
  <c r="AH923" i="2"/>
  <c r="AH39" i="2"/>
  <c r="T401" i="2" l="1"/>
  <c r="P205" i="2"/>
  <c r="BD205" i="2"/>
  <c r="S205" i="2"/>
  <c r="AZ205" i="2"/>
  <c r="AV205" i="2"/>
  <c r="AG205" i="2"/>
  <c r="I205" i="2"/>
  <c r="AQ205" i="2"/>
  <c r="AK205" i="2"/>
  <c r="J205" i="2"/>
  <c r="W205" i="2"/>
  <c r="AD205" i="2"/>
  <c r="AF205" i="2"/>
  <c r="BC205" i="2"/>
  <c r="AA205" i="2"/>
  <c r="N205" i="2"/>
  <c r="Z205" i="2"/>
  <c r="AN205" i="2"/>
  <c r="L205" i="2"/>
  <c r="AL205" i="2"/>
  <c r="AM205" i="2"/>
  <c r="AS205" i="2"/>
  <c r="K205" i="2"/>
  <c r="BB205" i="2"/>
  <c r="Q205" i="2"/>
  <c r="AU205" i="2"/>
  <c r="Y205" i="2"/>
  <c r="AR205" i="2"/>
  <c r="AE205" i="2"/>
  <c r="AD927" i="2"/>
  <c r="AD932" i="2" s="1"/>
  <c r="R927" i="2"/>
  <c r="R932" i="2" s="1"/>
  <c r="AH927" i="2"/>
  <c r="AH932" i="2" s="1"/>
  <c r="AP927" i="2"/>
  <c r="AP932" i="2" s="1"/>
  <c r="AO927" i="2"/>
  <c r="AO932" i="2" s="1"/>
  <c r="BC927" i="2"/>
  <c r="BC932" i="2" s="1"/>
  <c r="AI927" i="2"/>
  <c r="AI932" i="2" s="1"/>
  <c r="AR927" i="2"/>
  <c r="AR932" i="2" s="1"/>
  <c r="AB927" i="2"/>
  <c r="AB932" i="2" s="1"/>
  <c r="AZ927" i="2"/>
  <c r="AZ932" i="2" s="1"/>
  <c r="AK927" i="2"/>
  <c r="AK932" i="2" s="1"/>
  <c r="AQ927" i="2"/>
  <c r="AQ932" i="2" s="1"/>
  <c r="X927" i="2"/>
  <c r="X932" i="2" s="1"/>
  <c r="AU927" i="2"/>
  <c r="AU932" i="2" s="1"/>
  <c r="AV927" i="2"/>
  <c r="AV932" i="2" s="1"/>
  <c r="AM927" i="2"/>
  <c r="AM932" i="2" s="1"/>
  <c r="V927" i="2"/>
  <c r="V932" i="2" s="1"/>
  <c r="H927" i="2"/>
  <c r="H932" i="2" s="1"/>
  <c r="AD477" i="2"/>
  <c r="AR477" i="2"/>
  <c r="V477" i="2"/>
  <c r="AB477" i="2"/>
  <c r="AM477" i="2"/>
  <c r="AK427" i="2"/>
  <c r="H477" i="2"/>
  <c r="AI477" i="2"/>
  <c r="AP477" i="2"/>
  <c r="AO477" i="2"/>
  <c r="AV477" i="2"/>
  <c r="AQ477" i="2"/>
  <c r="AZ477" i="2"/>
  <c r="R477" i="2"/>
  <c r="T427" i="2"/>
  <c r="T477" i="2"/>
  <c r="AU477" i="2"/>
  <c r="X477" i="2"/>
  <c r="AH477" i="2"/>
  <c r="AK477" i="2"/>
  <c r="T796" i="2"/>
  <c r="BC254" i="2"/>
  <c r="AZ427" i="2"/>
  <c r="AP796" i="2"/>
  <c r="H796" i="2"/>
  <c r="AQ427" i="2"/>
  <c r="AD427" i="2"/>
  <c r="AU427" i="2"/>
  <c r="AH796" i="2"/>
  <c r="R796" i="2"/>
  <c r="AI796" i="2"/>
  <c r="AK796" i="2"/>
  <c r="AV796" i="2"/>
  <c r="AO796" i="2"/>
  <c r="AR427" i="2"/>
  <c r="AB796" i="2"/>
  <c r="V796" i="2"/>
  <c r="X796" i="2"/>
  <c r="AM427" i="2"/>
  <c r="AR796" i="2"/>
  <c r="AM796" i="2"/>
  <c r="AQ796" i="2"/>
  <c r="AV427" i="2"/>
  <c r="AZ796" i="2"/>
  <c r="AD796" i="2"/>
  <c r="AU796" i="2"/>
  <c r="W253" i="2"/>
  <c r="W254" i="2" s="1"/>
  <c r="W401" i="2" s="1"/>
  <c r="AE253" i="2"/>
  <c r="AE254" i="2" s="1"/>
  <c r="AE401" i="2" s="1"/>
  <c r="BA253" i="2"/>
  <c r="BD253" i="2"/>
  <c r="BD254" i="2" s="1"/>
  <c r="BD401" i="2" s="1"/>
  <c r="AA253" i="2"/>
  <c r="AA254" i="2" s="1"/>
  <c r="AA401" i="2" s="1"/>
  <c r="BB253" i="2"/>
  <c r="BB254" i="2" s="1"/>
  <c r="BB401" i="2" s="1"/>
  <c r="J253" i="2"/>
  <c r="AW253" i="2"/>
  <c r="AW254" i="2" s="1"/>
  <c r="AW401" i="2" s="1"/>
  <c r="AS253" i="2"/>
  <c r="AS254" i="2" s="1"/>
  <c r="AS401" i="2" s="1"/>
  <c r="AF253" i="2"/>
  <c r="AF254" i="2" s="1"/>
  <c r="AF401" i="2" s="1"/>
  <c r="Y253" i="2"/>
  <c r="Y254" i="2" s="1"/>
  <c r="Y401" i="2" s="1"/>
  <c r="AX253" i="2"/>
  <c r="AX254" i="2" s="1"/>
  <c r="AX401" i="2" s="1"/>
  <c r="Z253" i="2"/>
  <c r="Z254" i="2" s="1"/>
  <c r="Z401" i="2" s="1"/>
  <c r="AG253" i="2"/>
  <c r="AG254" i="2" s="1"/>
  <c r="AG401" i="2" s="1"/>
  <c r="I253" i="2"/>
  <c r="P253" i="2"/>
  <c r="P254" i="2" s="1"/>
  <c r="P401" i="2" s="1"/>
  <c r="AC253" i="2"/>
  <c r="AC254" i="2" s="1"/>
  <c r="AC401" i="2" s="1"/>
  <c r="S253" i="2"/>
  <c r="S254" i="2" s="1"/>
  <c r="S401" i="2" s="1"/>
  <c r="AN253" i="2"/>
  <c r="AN254" i="2" s="1"/>
  <c r="AN401" i="2" s="1"/>
  <c r="K253" i="2"/>
  <c r="K254" i="2" s="1"/>
  <c r="K401" i="2" s="1"/>
  <c r="Q253" i="2"/>
  <c r="Q254" i="2" s="1"/>
  <c r="Q401" i="2" s="1"/>
  <c r="AL253" i="2"/>
  <c r="AL254" i="2" s="1"/>
  <c r="AL401" i="2" s="1"/>
  <c r="AT253" i="2"/>
  <c r="AT254" i="2" s="1"/>
  <c r="AT401" i="2" s="1"/>
  <c r="L253" i="2"/>
  <c r="L254" i="2" s="1"/>
  <c r="L401" i="2" s="1"/>
  <c r="N253" i="2"/>
  <c r="N254" i="2" s="1"/>
  <c r="N401" i="2" s="1"/>
  <c r="O253" i="2"/>
  <c r="O254" i="2" s="1"/>
  <c r="O401" i="2" s="1"/>
  <c r="AP427" i="2"/>
  <c r="AH427" i="2"/>
  <c r="V427" i="2"/>
  <c r="H427" i="2"/>
  <c r="AO427" i="2"/>
  <c r="R427" i="2"/>
  <c r="AB427" i="2"/>
  <c r="X427" i="2"/>
  <c r="AI427" i="2"/>
  <c r="AT109" i="2"/>
  <c r="BA109" i="2"/>
  <c r="AW59" i="2"/>
  <c r="AX59" i="2"/>
  <c r="AC109" i="2"/>
  <c r="AB916" i="2"/>
  <c r="AI923" i="2"/>
  <c r="O59" i="2"/>
  <c r="O109" i="2"/>
  <c r="BA59" i="2"/>
  <c r="AW109" i="2"/>
  <c r="AT59" i="2"/>
  <c r="AC59" i="2"/>
  <c r="AX109" i="2"/>
  <c r="R923" i="2"/>
  <c r="S109" i="2"/>
  <c r="S59" i="2"/>
  <c r="L39" i="2"/>
  <c r="L923" i="2"/>
  <c r="AS39" i="2"/>
  <c r="AS923" i="2"/>
  <c r="V916" i="2"/>
  <c r="X916" i="2"/>
  <c r="W109" i="2"/>
  <c r="W59" i="2"/>
  <c r="AH916" i="2"/>
  <c r="AM916" i="2"/>
  <c r="AP916" i="2"/>
  <c r="AA109" i="2"/>
  <c r="AA59" i="2"/>
  <c r="P39" i="2"/>
  <c r="P923" i="2"/>
  <c r="H916" i="2"/>
  <c r="Y39" i="2"/>
  <c r="Y923" i="2"/>
  <c r="S923" i="2"/>
  <c r="S39" i="2"/>
  <c r="AD916" i="2"/>
  <c r="AZ916" i="2"/>
  <c r="AG109" i="2"/>
  <c r="AG59" i="2"/>
  <c r="BD923" i="2"/>
  <c r="BD39" i="2"/>
  <c r="W923" i="2"/>
  <c r="W39" i="2"/>
  <c r="I109" i="2"/>
  <c r="I59" i="2"/>
  <c r="Q109" i="2"/>
  <c r="Q59" i="2"/>
  <c r="BB923" i="2"/>
  <c r="BB39" i="2"/>
  <c r="M940" i="2"/>
  <c r="M935" i="2"/>
  <c r="C51" i="2"/>
  <c r="A51" i="2" s="1"/>
  <c r="K923" i="2"/>
  <c r="K39" i="2"/>
  <c r="AL109" i="2"/>
  <c r="AL59" i="2"/>
  <c r="Z923" i="2"/>
  <c r="Z39" i="2"/>
  <c r="AK916" i="2"/>
  <c r="AR916" i="2"/>
  <c r="AQ916" i="2"/>
  <c r="AG39" i="2"/>
  <c r="AG923" i="2"/>
  <c r="AY940" i="2"/>
  <c r="AY935" i="2"/>
  <c r="BD109" i="2"/>
  <c r="BD59" i="2"/>
  <c r="N39" i="2"/>
  <c r="N923" i="2"/>
  <c r="AU916" i="2"/>
  <c r="AE109" i="2"/>
  <c r="AE59" i="2"/>
  <c r="AO916" i="2"/>
  <c r="I923" i="2"/>
  <c r="I39" i="2"/>
  <c r="Q39" i="2"/>
  <c r="Q923" i="2"/>
  <c r="T940" i="2"/>
  <c r="T935" i="2"/>
  <c r="AJ940" i="2"/>
  <c r="AJ935" i="2"/>
  <c r="BB109" i="2"/>
  <c r="BB59" i="2"/>
  <c r="J923" i="2"/>
  <c r="J39" i="2"/>
  <c r="AF109" i="2"/>
  <c r="AF59" i="2"/>
  <c r="AN39" i="2"/>
  <c r="AN923" i="2"/>
  <c r="AI916" i="2"/>
  <c r="K109" i="2"/>
  <c r="K59" i="2"/>
  <c r="AL39" i="2"/>
  <c r="AL923" i="2"/>
  <c r="Z109" i="2"/>
  <c r="Z59" i="2"/>
  <c r="L109" i="2"/>
  <c r="L59" i="2"/>
  <c r="AS109" i="2"/>
  <c r="AS59" i="2"/>
  <c r="R916" i="2"/>
  <c r="N109" i="2"/>
  <c r="N59" i="2"/>
  <c r="AE923" i="2"/>
  <c r="AE39" i="2"/>
  <c r="AA923" i="2"/>
  <c r="AA39" i="2"/>
  <c r="P109" i="2"/>
  <c r="P59" i="2"/>
  <c r="BC916" i="2"/>
  <c r="J109" i="2"/>
  <c r="J59" i="2"/>
  <c r="AF39" i="2"/>
  <c r="AF923" i="2"/>
  <c r="AN109" i="2"/>
  <c r="AN59" i="2"/>
  <c r="AV916" i="2"/>
  <c r="U935" i="2"/>
  <c r="U940" i="2"/>
  <c r="Y109" i="2"/>
  <c r="Y59" i="2"/>
  <c r="BC401" i="2" l="1"/>
  <c r="AB940" i="2"/>
  <c r="P927" i="2"/>
  <c r="P932" i="2" s="1"/>
  <c r="I927" i="2"/>
  <c r="I932" i="2" s="1"/>
  <c r="O927" i="2"/>
  <c r="O932" i="2" s="1"/>
  <c r="AA927" i="2"/>
  <c r="AA932" i="2" s="1"/>
  <c r="BB927" i="2"/>
  <c r="BB932" i="2" s="1"/>
  <c r="L927" i="2"/>
  <c r="L932" i="2" s="1"/>
  <c r="AC927" i="2"/>
  <c r="AC932" i="2" s="1"/>
  <c r="AN927" i="2"/>
  <c r="AN932" i="2" s="1"/>
  <c r="Y927" i="2"/>
  <c r="Y932" i="2" s="1"/>
  <c r="AT927" i="2"/>
  <c r="AT932" i="2" s="1"/>
  <c r="AT940" i="2" s="1"/>
  <c r="K927" i="2"/>
  <c r="K932" i="2" s="1"/>
  <c r="J927" i="2"/>
  <c r="J932" i="2" s="1"/>
  <c r="Z927" i="2"/>
  <c r="Z932" i="2" s="1"/>
  <c r="AE927" i="2"/>
  <c r="AE932" i="2" s="1"/>
  <c r="AL927" i="2"/>
  <c r="AL932" i="2" s="1"/>
  <c r="AW927" i="2"/>
  <c r="AW932" i="2" s="1"/>
  <c r="AW940" i="2" s="1"/>
  <c r="AS927" i="2"/>
  <c r="AS932" i="2" s="1"/>
  <c r="N927" i="2"/>
  <c r="N932" i="2" s="1"/>
  <c r="AF927" i="2"/>
  <c r="AF932" i="2" s="1"/>
  <c r="Q927" i="2"/>
  <c r="Q932" i="2" s="1"/>
  <c r="AG927" i="2"/>
  <c r="AG932" i="2" s="1"/>
  <c r="W927" i="2"/>
  <c r="W932" i="2" s="1"/>
  <c r="S927" i="2"/>
  <c r="S932" i="2" s="1"/>
  <c r="BA927" i="2"/>
  <c r="BA932" i="2" s="1"/>
  <c r="BB477" i="2"/>
  <c r="AN477" i="2"/>
  <c r="O477" i="2"/>
  <c r="AE477" i="2"/>
  <c r="AC477" i="2"/>
  <c r="W477" i="2"/>
  <c r="AW477" i="2"/>
  <c r="AT477" i="2"/>
  <c r="BC427" i="2"/>
  <c r="BC477" i="2"/>
  <c r="AS477" i="2"/>
  <c r="K477" i="2"/>
  <c r="AA477" i="2"/>
  <c r="AX477" i="2"/>
  <c r="Z477" i="2"/>
  <c r="AL477" i="2"/>
  <c r="N477" i="2"/>
  <c r="Q477" i="2"/>
  <c r="Y477" i="2"/>
  <c r="AF477" i="2"/>
  <c r="L477" i="2"/>
  <c r="P477" i="2"/>
  <c r="S477" i="2"/>
  <c r="AG477" i="2"/>
  <c r="BD477" i="2"/>
  <c r="BC796" i="2"/>
  <c r="BA254" i="2"/>
  <c r="I254" i="2"/>
  <c r="J254" i="2"/>
  <c r="Q796" i="2"/>
  <c r="Z796" i="2"/>
  <c r="AN796" i="2"/>
  <c r="Y796" i="2"/>
  <c r="S796" i="2"/>
  <c r="AF796" i="2"/>
  <c r="L796" i="2"/>
  <c r="BB796" i="2"/>
  <c r="AE796" i="2"/>
  <c r="N796" i="2"/>
  <c r="AC796" i="2"/>
  <c r="AS796" i="2"/>
  <c r="W796" i="2"/>
  <c r="O796" i="2"/>
  <c r="P796" i="2"/>
  <c r="AT796" i="2"/>
  <c r="AL796" i="2"/>
  <c r="AG796" i="2"/>
  <c r="AA796" i="2"/>
  <c r="AW796" i="2"/>
  <c r="AX796" i="2"/>
  <c r="K796" i="2"/>
  <c r="BD796" i="2"/>
  <c r="AL427" i="2"/>
  <c r="AG427" i="2"/>
  <c r="Q427" i="2"/>
  <c r="AX427" i="2"/>
  <c r="AW427" i="2"/>
  <c r="AE427" i="2"/>
  <c r="K427" i="2"/>
  <c r="Y427" i="2"/>
  <c r="W427" i="2"/>
  <c r="AN427" i="2"/>
  <c r="AF427" i="2"/>
  <c r="Z427" i="2"/>
  <c r="BB427" i="2"/>
  <c r="O427" i="2"/>
  <c r="S427" i="2"/>
  <c r="AS427" i="2"/>
  <c r="AA427" i="2"/>
  <c r="N427" i="2"/>
  <c r="AC427" i="2"/>
  <c r="AT427" i="2"/>
  <c r="BD427" i="2"/>
  <c r="L427" i="2"/>
  <c r="P427" i="2"/>
  <c r="BD927" i="2"/>
  <c r="BD932" i="2" s="1"/>
  <c r="BD916" i="2"/>
  <c r="AX916" i="2"/>
  <c r="AX927" i="2"/>
  <c r="AX932" i="2" s="1"/>
  <c r="AW916" i="2"/>
  <c r="O916" i="2"/>
  <c r="AC916" i="2"/>
  <c r="BA916" i="2"/>
  <c r="AB935" i="2"/>
  <c r="AT916" i="2"/>
  <c r="C109" i="2"/>
  <c r="AR935" i="2"/>
  <c r="AR940" i="2"/>
  <c r="AL916" i="2"/>
  <c r="Q916" i="2"/>
  <c r="W916" i="2"/>
  <c r="Y916" i="2"/>
  <c r="J916" i="2"/>
  <c r="N916" i="2"/>
  <c r="R935" i="2"/>
  <c r="R940" i="2"/>
  <c r="L916" i="2"/>
  <c r="AI935" i="2"/>
  <c r="AI940" i="2"/>
  <c r="AQ940" i="2"/>
  <c r="AQ935" i="2"/>
  <c r="I916" i="2"/>
  <c r="AG916" i="2"/>
  <c r="X935" i="2"/>
  <c r="X940" i="2"/>
  <c r="BC935" i="2"/>
  <c r="BC940" i="2"/>
  <c r="Z916" i="2"/>
  <c r="K916" i="2"/>
  <c r="AU940" i="2"/>
  <c r="AU935" i="2"/>
  <c r="AD940" i="2"/>
  <c r="AD935" i="2"/>
  <c r="AA916" i="2"/>
  <c r="AP935" i="2"/>
  <c r="AP940" i="2"/>
  <c r="AH935" i="2"/>
  <c r="AH940" i="2"/>
  <c r="V940" i="2"/>
  <c r="V935" i="2"/>
  <c r="AN916" i="2"/>
  <c r="AV940" i="2"/>
  <c r="AV935" i="2"/>
  <c r="P916" i="2"/>
  <c r="AS916" i="2"/>
  <c r="AF916" i="2"/>
  <c r="BB916" i="2"/>
  <c r="AO940" i="2"/>
  <c r="AO935" i="2"/>
  <c r="AE916" i="2"/>
  <c r="AK935" i="2"/>
  <c r="AK940" i="2"/>
  <c r="AZ940" i="2"/>
  <c r="AZ935" i="2"/>
  <c r="H935" i="2"/>
  <c r="AM935" i="2"/>
  <c r="AM940" i="2"/>
  <c r="S916" i="2"/>
  <c r="BA401" i="2" l="1"/>
  <c r="I401" i="2"/>
  <c r="J401" i="2"/>
  <c r="BA935" i="2"/>
  <c r="O935" i="2"/>
  <c r="AW935" i="2"/>
  <c r="AC935" i="2"/>
  <c r="I796" i="2"/>
  <c r="BA427" i="2"/>
  <c r="I427" i="2"/>
  <c r="BA796" i="2"/>
  <c r="J796" i="2"/>
  <c r="J477" i="2"/>
  <c r="I477" i="2"/>
  <c r="BA477" i="2"/>
  <c r="J427" i="2"/>
  <c r="AX935" i="2"/>
  <c r="AX940" i="2"/>
  <c r="AT935" i="2"/>
  <c r="BA940" i="2"/>
  <c r="O940" i="2"/>
  <c r="AC940" i="2"/>
  <c r="AE940" i="2"/>
  <c r="AE935" i="2"/>
  <c r="P935" i="2"/>
  <c r="P940" i="2"/>
  <c r="AA935" i="2"/>
  <c r="AA940" i="2"/>
  <c r="K935" i="2"/>
  <c r="K940" i="2"/>
  <c r="J935" i="2"/>
  <c r="J940" i="2"/>
  <c r="Y935" i="2"/>
  <c r="Y940" i="2"/>
  <c r="AS935" i="2"/>
  <c r="AS940" i="2"/>
  <c r="L935" i="2"/>
  <c r="L940" i="2"/>
  <c r="N935" i="2"/>
  <c r="N940" i="2"/>
  <c r="W935" i="2"/>
  <c r="W940" i="2"/>
  <c r="AL940" i="2"/>
  <c r="AL935" i="2"/>
  <c r="S935" i="2"/>
  <c r="S940" i="2"/>
  <c r="BB935" i="2"/>
  <c r="BB940" i="2"/>
  <c r="AN935" i="2"/>
  <c r="AN940" i="2"/>
  <c r="Q935" i="2"/>
  <c r="Q940" i="2"/>
  <c r="H940" i="2"/>
  <c r="AF940" i="2"/>
  <c r="AF935" i="2"/>
  <c r="BD935" i="2"/>
  <c r="BD940" i="2"/>
  <c r="Z935" i="2"/>
  <c r="Z940" i="2"/>
  <c r="AG935" i="2"/>
  <c r="AG940" i="2"/>
  <c r="I935" i="2"/>
  <c r="I940" i="2"/>
  <c r="G35" i="2" l="1"/>
  <c r="G330" i="2"/>
  <c r="G117" i="2"/>
  <c r="G327" i="2"/>
  <c r="G333" i="2"/>
  <c r="G380" i="2" s="1"/>
  <c r="G110" i="2"/>
  <c r="G112" i="2" s="1"/>
  <c r="G429" i="2" l="1"/>
  <c r="G403" i="2"/>
  <c r="G430" i="2"/>
  <c r="G404" i="2"/>
  <c r="G383" i="2"/>
  <c r="P343" i="2"/>
  <c r="H327" i="2"/>
  <c r="H117" i="2"/>
  <c r="H119" i="2" s="1"/>
  <c r="H330" i="2"/>
  <c r="H404" i="2" s="1"/>
  <c r="H110" i="2"/>
  <c r="G164" i="2"/>
  <c r="G123" i="2"/>
  <c r="G143" i="2"/>
  <c r="G160" i="2" s="1"/>
  <c r="Z353" i="2"/>
  <c r="V349" i="2"/>
  <c r="Y352" i="2"/>
  <c r="I336" i="2"/>
  <c r="M340" i="2"/>
  <c r="S346" i="2"/>
  <c r="G334" i="2"/>
  <c r="O342" i="2"/>
  <c r="X351" i="2"/>
  <c r="K338" i="2"/>
  <c r="J337" i="2"/>
  <c r="U348" i="2"/>
  <c r="N341" i="2"/>
  <c r="R345" i="2"/>
  <c r="H335" i="2"/>
  <c r="Q344" i="2"/>
  <c r="W350" i="2"/>
  <c r="L339" i="2"/>
  <c r="T347" i="2"/>
  <c r="G119" i="2"/>
  <c r="H429" i="2" l="1"/>
  <c r="H403" i="2"/>
  <c r="G198" i="2"/>
  <c r="G378" i="2"/>
  <c r="H430" i="2"/>
  <c r="H123" i="2"/>
  <c r="H164" i="2"/>
  <c r="H143" i="2"/>
  <c r="H160" i="2" s="1"/>
  <c r="H198" i="2" s="1"/>
  <c r="H112" i="2"/>
  <c r="I327" i="2"/>
  <c r="I117" i="2"/>
  <c r="I330" i="2"/>
  <c r="I404" i="2" s="1"/>
  <c r="I110" i="2"/>
  <c r="G354" i="2"/>
  <c r="G134" i="2"/>
  <c r="G133" i="2" s="1"/>
  <c r="G132" i="2" s="1"/>
  <c r="G131" i="2" s="1"/>
  <c r="G125" i="2"/>
  <c r="I429" i="2" l="1"/>
  <c r="I403" i="2"/>
  <c r="G381" i="2"/>
  <c r="I430" i="2"/>
  <c r="G130" i="2"/>
  <c r="G129" i="2" s="1"/>
  <c r="G128" i="2" s="1"/>
  <c r="G127" i="2" s="1"/>
  <c r="G126" i="2" s="1"/>
  <c r="G136" i="2" s="1"/>
  <c r="H125" i="2"/>
  <c r="H134" i="2"/>
  <c r="H133" i="2" s="1"/>
  <c r="H132" i="2" s="1"/>
  <c r="H131" i="2" s="1"/>
  <c r="I119" i="2"/>
  <c r="J117" i="2"/>
  <c r="J119" i="2" s="1"/>
  <c r="J327" i="2"/>
  <c r="J330" i="2"/>
  <c r="J404" i="2" s="1"/>
  <c r="J110" i="2"/>
  <c r="I164" i="2"/>
  <c r="I143" i="2"/>
  <c r="I160" i="2" s="1"/>
  <c r="I198" i="2" s="1"/>
  <c r="I123" i="2"/>
  <c r="I112" i="2"/>
  <c r="J429" i="2" l="1"/>
  <c r="J403" i="2"/>
  <c r="G384" i="2"/>
  <c r="J430" i="2"/>
  <c r="H130" i="2"/>
  <c r="H129" i="2" s="1"/>
  <c r="H128" i="2" s="1"/>
  <c r="H127" i="2" s="1"/>
  <c r="H126" i="2" s="1"/>
  <c r="H136" i="2" s="1"/>
  <c r="G138" i="2"/>
  <c r="G139" i="2" s="1"/>
  <c r="I134" i="2"/>
  <c r="I133" i="2" s="1"/>
  <c r="I132" i="2" s="1"/>
  <c r="I131" i="2" s="1"/>
  <c r="I125" i="2"/>
  <c r="J164" i="2"/>
  <c r="J123" i="2"/>
  <c r="J143" i="2"/>
  <c r="J160" i="2" s="1"/>
  <c r="J198" i="2" s="1"/>
  <c r="J112" i="2"/>
  <c r="K327" i="2"/>
  <c r="K117" i="2"/>
  <c r="K330" i="2"/>
  <c r="K404" i="2" s="1"/>
  <c r="K110" i="2"/>
  <c r="K429" i="2" l="1"/>
  <c r="K403" i="2"/>
  <c r="G851" i="2"/>
  <c r="G874" i="2" s="1"/>
  <c r="G217" i="2"/>
  <c r="K430" i="2"/>
  <c r="H138" i="2"/>
  <c r="H139" i="2" s="1"/>
  <c r="I130" i="2"/>
  <c r="I129" i="2" s="1"/>
  <c r="I128" i="2" s="1"/>
  <c r="I127" i="2" s="1"/>
  <c r="I126" i="2" s="1"/>
  <c r="I138" i="2" s="1"/>
  <c r="I139" i="2" s="1"/>
  <c r="I217" i="2" s="1"/>
  <c r="L117" i="2"/>
  <c r="L119" i="2" s="1"/>
  <c r="L327" i="2"/>
  <c r="L330" i="2"/>
  <c r="L404" i="2" s="1"/>
  <c r="L110" i="2"/>
  <c r="J134" i="2"/>
  <c r="J133" i="2" s="1"/>
  <c r="J132" i="2" s="1"/>
  <c r="J131" i="2" s="1"/>
  <c r="J125" i="2"/>
  <c r="K164" i="2"/>
  <c r="K123" i="2"/>
  <c r="K143" i="2"/>
  <c r="K160" i="2" s="1"/>
  <c r="K198" i="2" s="1"/>
  <c r="K112" i="2"/>
  <c r="K119" i="2"/>
  <c r="L429" i="2" l="1"/>
  <c r="L403" i="2"/>
  <c r="H851" i="2"/>
  <c r="H874" i="2" s="1"/>
  <c r="H217" i="2"/>
  <c r="L430" i="2"/>
  <c r="I136" i="2"/>
  <c r="J130" i="2"/>
  <c r="J129" i="2" s="1"/>
  <c r="J128" i="2" s="1"/>
  <c r="J127" i="2" s="1"/>
  <c r="J126" i="2" s="1"/>
  <c r="J136" i="2" s="1"/>
  <c r="K134" i="2"/>
  <c r="K133" i="2" s="1"/>
  <c r="K132" i="2" s="1"/>
  <c r="K131" i="2" s="1"/>
  <c r="K125" i="2"/>
  <c r="G973" i="2"/>
  <c r="L123" i="2"/>
  <c r="L164" i="2"/>
  <c r="L143" i="2"/>
  <c r="L160" i="2" s="1"/>
  <c r="L198" i="2" s="1"/>
  <c r="L112" i="2"/>
  <c r="I851" i="2"/>
  <c r="M117" i="2"/>
  <c r="M327" i="2"/>
  <c r="M330" i="2"/>
  <c r="M404" i="2" s="1"/>
  <c r="M110" i="2"/>
  <c r="M429" i="2" l="1"/>
  <c r="M403" i="2"/>
  <c r="M430" i="2"/>
  <c r="K130" i="2"/>
  <c r="K129" i="2" s="1"/>
  <c r="K128" i="2" s="1"/>
  <c r="K127" i="2" s="1"/>
  <c r="K126" i="2" s="1"/>
  <c r="K138" i="2" s="1"/>
  <c r="K139" i="2" s="1"/>
  <c r="K217" i="2" s="1"/>
  <c r="J138" i="2"/>
  <c r="J139" i="2" s="1"/>
  <c r="N327" i="2"/>
  <c r="N35" i="2"/>
  <c r="N117" i="2"/>
  <c r="N119" i="2" s="1"/>
  <c r="N333" i="2"/>
  <c r="N380" i="2" s="1"/>
  <c r="N330" i="2"/>
  <c r="N404" i="2" s="1"/>
  <c r="N110" i="2"/>
  <c r="H973" i="2"/>
  <c r="I874" i="2"/>
  <c r="M123" i="2"/>
  <c r="M164" i="2"/>
  <c r="M143" i="2"/>
  <c r="M160" i="2" s="1"/>
  <c r="M198" i="2" s="1"/>
  <c r="M112" i="2"/>
  <c r="M119" i="2"/>
  <c r="L134" i="2"/>
  <c r="L133" i="2" s="1"/>
  <c r="L132" i="2" s="1"/>
  <c r="L131" i="2" s="1"/>
  <c r="L125" i="2"/>
  <c r="N429" i="2" l="1"/>
  <c r="N403" i="2"/>
  <c r="J851" i="2"/>
  <c r="J874" i="2" s="1"/>
  <c r="J217" i="2"/>
  <c r="N430" i="2"/>
  <c r="K136" i="2"/>
  <c r="L130" i="2"/>
  <c r="L129" i="2" s="1"/>
  <c r="L128" i="2" s="1"/>
  <c r="L127" i="2" s="1"/>
  <c r="L126" i="2" s="1"/>
  <c r="L136" i="2" s="1"/>
  <c r="M134" i="2"/>
  <c r="M133" i="2" s="1"/>
  <c r="M132" i="2" s="1"/>
  <c r="M131" i="2" s="1"/>
  <c r="M125" i="2"/>
  <c r="N164" i="2"/>
  <c r="N123" i="2"/>
  <c r="N143" i="2"/>
  <c r="N160" i="2" s="1"/>
  <c r="N198" i="2" s="1"/>
  <c r="N112" i="2"/>
  <c r="K851" i="2"/>
  <c r="I973" i="2"/>
  <c r="AG353" i="2"/>
  <c r="O335" i="2"/>
  <c r="Z346" i="2"/>
  <c r="AB348" i="2"/>
  <c r="V342" i="2"/>
  <c r="W343" i="2"/>
  <c r="AF352" i="2"/>
  <c r="AD350" i="2"/>
  <c r="T340" i="2"/>
  <c r="X344" i="2"/>
  <c r="S339" i="2"/>
  <c r="U341" i="2"/>
  <c r="Q337" i="2"/>
  <c r="AA347" i="2"/>
  <c r="AC349" i="2"/>
  <c r="Y345" i="2"/>
  <c r="P336" i="2"/>
  <c r="R338" i="2"/>
  <c r="AE351" i="2"/>
  <c r="N334" i="2"/>
  <c r="O35" i="2"/>
  <c r="O117" i="2"/>
  <c r="O327" i="2"/>
  <c r="O333" i="2"/>
  <c r="O380" i="2" s="1"/>
  <c r="O330" i="2"/>
  <c r="O404" i="2" s="1"/>
  <c r="O110" i="2"/>
  <c r="O429" i="2" l="1"/>
  <c r="O403" i="2"/>
  <c r="O430" i="2"/>
  <c r="M130" i="2"/>
  <c r="M129" i="2" s="1"/>
  <c r="M128" i="2" s="1"/>
  <c r="M127" i="2" s="1"/>
  <c r="M126" i="2" s="1"/>
  <c r="M136" i="2" s="1"/>
  <c r="L138" i="2"/>
  <c r="L139" i="2" s="1"/>
  <c r="N134" i="2"/>
  <c r="N133" i="2" s="1"/>
  <c r="N132" i="2" s="1"/>
  <c r="N131" i="2" s="1"/>
  <c r="N125" i="2"/>
  <c r="K874" i="2"/>
  <c r="P117" i="2"/>
  <c r="P119" i="2" s="1"/>
  <c r="P327" i="2"/>
  <c r="P330" i="2"/>
  <c r="P404" i="2" s="1"/>
  <c r="P110" i="2"/>
  <c r="O164" i="2"/>
  <c r="O123" i="2"/>
  <c r="O143" i="2"/>
  <c r="O160" i="2" s="1"/>
  <c r="O198" i="2" s="1"/>
  <c r="O112" i="2"/>
  <c r="O119" i="2"/>
  <c r="U340" i="2"/>
  <c r="AA346" i="2"/>
  <c r="AH353" i="2"/>
  <c r="AB347" i="2"/>
  <c r="AE350" i="2"/>
  <c r="AG352" i="2"/>
  <c r="AF351" i="2"/>
  <c r="V341" i="2"/>
  <c r="AC348" i="2"/>
  <c r="R337" i="2"/>
  <c r="T339" i="2"/>
  <c r="Y344" i="2"/>
  <c r="Z345" i="2"/>
  <c r="Q336" i="2"/>
  <c r="X343" i="2"/>
  <c r="P335" i="2"/>
  <c r="S338" i="2"/>
  <c r="AD349" i="2"/>
  <c r="W342" i="2"/>
  <c r="O334" i="2"/>
  <c r="J973" i="2"/>
  <c r="P429" i="2" l="1"/>
  <c r="P403" i="2"/>
  <c r="L851" i="2"/>
  <c r="L874" i="2" s="1"/>
  <c r="L217" i="2"/>
  <c r="P430" i="2"/>
  <c r="M138" i="2"/>
  <c r="M139" i="2" s="1"/>
  <c r="N130" i="2"/>
  <c r="N129" i="2" s="1"/>
  <c r="N128" i="2" s="1"/>
  <c r="N127" i="2" s="1"/>
  <c r="N126" i="2" s="1"/>
  <c r="N136" i="2" s="1"/>
  <c r="Q117" i="2"/>
  <c r="Q119" i="2" s="1"/>
  <c r="Q327" i="2"/>
  <c r="Q330" i="2"/>
  <c r="Q404" i="2" s="1"/>
  <c r="Q110" i="2"/>
  <c r="P123" i="2"/>
  <c r="P164" i="2"/>
  <c r="P143" i="2"/>
  <c r="P160" i="2" s="1"/>
  <c r="P198" i="2" s="1"/>
  <c r="P112" i="2"/>
  <c r="O134" i="2"/>
  <c r="O133" i="2" s="1"/>
  <c r="O132" i="2" s="1"/>
  <c r="O131" i="2" s="1"/>
  <c r="O125" i="2"/>
  <c r="K973" i="2"/>
  <c r="Q429" i="2" l="1"/>
  <c r="Q403" i="2"/>
  <c r="M851" i="2"/>
  <c r="M874" i="2" s="1"/>
  <c r="M217" i="2"/>
  <c r="Q430" i="2"/>
  <c r="N138" i="2"/>
  <c r="N139" i="2" s="1"/>
  <c r="O130" i="2"/>
  <c r="O129" i="2" s="1"/>
  <c r="O128" i="2" s="1"/>
  <c r="O127" i="2" s="1"/>
  <c r="O126" i="2" s="1"/>
  <c r="O138" i="2" s="1"/>
  <c r="O139" i="2" s="1"/>
  <c r="O217" i="2" s="1"/>
  <c r="P134" i="2"/>
  <c r="P133" i="2" s="1"/>
  <c r="P132" i="2" s="1"/>
  <c r="P131" i="2" s="1"/>
  <c r="P125" i="2"/>
  <c r="Q164" i="2"/>
  <c r="Q123" i="2"/>
  <c r="Q112" i="2"/>
  <c r="Q143" i="2"/>
  <c r="Q160" i="2" s="1"/>
  <c r="Q198" i="2" s="1"/>
  <c r="R327" i="2"/>
  <c r="R117" i="2"/>
  <c r="R119" i="2" s="1"/>
  <c r="R330" i="2"/>
  <c r="R404" i="2" s="1"/>
  <c r="R110" i="2"/>
  <c r="L973" i="2"/>
  <c r="R429" i="2" l="1"/>
  <c r="R403" i="2"/>
  <c r="N851" i="2"/>
  <c r="N874" i="2" s="1"/>
  <c r="N217" i="2"/>
  <c r="R430" i="2"/>
  <c r="O136" i="2"/>
  <c r="P130" i="2"/>
  <c r="P129" i="2" s="1"/>
  <c r="P128" i="2" s="1"/>
  <c r="P127" i="2" s="1"/>
  <c r="P126" i="2" s="1"/>
  <c r="P136" i="2" s="1"/>
  <c r="S327" i="2"/>
  <c r="S35" i="2"/>
  <c r="S117" i="2"/>
  <c r="S119" i="2" s="1"/>
  <c r="S333" i="2"/>
  <c r="S380" i="2" s="1"/>
  <c r="S330" i="2"/>
  <c r="S404" i="2" s="1"/>
  <c r="S110" i="2"/>
  <c r="Q134" i="2"/>
  <c r="Q133" i="2" s="1"/>
  <c r="Q132" i="2" s="1"/>
  <c r="Q131" i="2" s="1"/>
  <c r="Q125" i="2"/>
  <c r="M973" i="2"/>
  <c r="O851" i="2"/>
  <c r="R164" i="2"/>
  <c r="R123" i="2"/>
  <c r="R143" i="2"/>
  <c r="R160" i="2" s="1"/>
  <c r="R198" i="2" s="1"/>
  <c r="R112" i="2"/>
  <c r="S429" i="2" l="1"/>
  <c r="S403" i="2"/>
  <c r="S430" i="2"/>
  <c r="Q130" i="2"/>
  <c r="Q129" i="2" s="1"/>
  <c r="Q128" i="2" s="1"/>
  <c r="Q127" i="2" s="1"/>
  <c r="Q126" i="2" s="1"/>
  <c r="Q138" i="2" s="1"/>
  <c r="Q139" i="2" s="1"/>
  <c r="Q217" i="2" s="1"/>
  <c r="P138" i="2"/>
  <c r="P139" i="2" s="1"/>
  <c r="R134" i="2"/>
  <c r="R133" i="2" s="1"/>
  <c r="R132" i="2" s="1"/>
  <c r="R131" i="2" s="1"/>
  <c r="R125" i="2"/>
  <c r="O874" i="2"/>
  <c r="AI350" i="2"/>
  <c r="AC344" i="2"/>
  <c r="V337" i="2"/>
  <c r="Y340" i="2"/>
  <c r="AJ351" i="2"/>
  <c r="AB343" i="2"/>
  <c r="X339" i="2"/>
  <c r="AG348" i="2"/>
  <c r="AF347" i="2"/>
  <c r="Z341" i="2"/>
  <c r="AK352" i="2"/>
  <c r="T335" i="2"/>
  <c r="AD345" i="2"/>
  <c r="AL353" i="2"/>
  <c r="U336" i="2"/>
  <c r="W338" i="2"/>
  <c r="AH349" i="2"/>
  <c r="AA342" i="2"/>
  <c r="AE346" i="2"/>
  <c r="S334" i="2"/>
  <c r="N973" i="2"/>
  <c r="T35" i="2"/>
  <c r="T327" i="2"/>
  <c r="T117" i="2"/>
  <c r="T119" i="2" s="1"/>
  <c r="T333" i="2"/>
  <c r="T380" i="2" s="1"/>
  <c r="T330" i="2"/>
  <c r="T404" i="2" s="1"/>
  <c r="T110" i="2"/>
  <c r="S164" i="2"/>
  <c r="S123" i="2"/>
  <c r="S143" i="2"/>
  <c r="S160" i="2" s="1"/>
  <c r="S198" i="2" s="1"/>
  <c r="S112" i="2"/>
  <c r="T429" i="2" l="1"/>
  <c r="T403" i="2"/>
  <c r="P851" i="2"/>
  <c r="P874" i="2" s="1"/>
  <c r="P217" i="2"/>
  <c r="T430" i="2"/>
  <c r="Q136" i="2"/>
  <c r="R130" i="2"/>
  <c r="R129" i="2" s="1"/>
  <c r="R128" i="2" s="1"/>
  <c r="R127" i="2" s="1"/>
  <c r="R126" i="2" s="1"/>
  <c r="R136" i="2" s="1"/>
  <c r="Q851" i="2"/>
  <c r="S134" i="2"/>
  <c r="S133" i="2" s="1"/>
  <c r="S132" i="2" s="1"/>
  <c r="S131" i="2" s="1"/>
  <c r="S125" i="2"/>
  <c r="AM353" i="2"/>
  <c r="U335" i="2"/>
  <c r="AJ350" i="2"/>
  <c r="AC343" i="2"/>
  <c r="AG347" i="2"/>
  <c r="AB342" i="2"/>
  <c r="AK351" i="2"/>
  <c r="W337" i="2"/>
  <c r="AH348" i="2"/>
  <c r="AF346" i="2"/>
  <c r="Z340" i="2"/>
  <c r="AI349" i="2"/>
  <c r="X338" i="2"/>
  <c r="AE345" i="2"/>
  <c r="AL352" i="2"/>
  <c r="T334" i="2"/>
  <c r="Y339" i="2"/>
  <c r="AD344" i="2"/>
  <c r="AA341" i="2"/>
  <c r="V336" i="2"/>
  <c r="T123" i="2"/>
  <c r="T164" i="2"/>
  <c r="T143" i="2"/>
  <c r="T160" i="2" s="1"/>
  <c r="T198" i="2" s="1"/>
  <c r="T112" i="2"/>
  <c r="U35" i="2"/>
  <c r="U117" i="2"/>
  <c r="U119" i="2" s="1"/>
  <c r="U327" i="2"/>
  <c r="U333" i="2"/>
  <c r="U380" i="2" s="1"/>
  <c r="U330" i="2"/>
  <c r="U404" i="2" s="1"/>
  <c r="U110" i="2"/>
  <c r="O973" i="2"/>
  <c r="U429" i="2" l="1"/>
  <c r="U403" i="2"/>
  <c r="U430" i="2"/>
  <c r="R138" i="2"/>
  <c r="R139" i="2" s="1"/>
  <c r="S130" i="2"/>
  <c r="S129" i="2" s="1"/>
  <c r="S128" i="2" s="1"/>
  <c r="S127" i="2" s="1"/>
  <c r="S126" i="2" s="1"/>
  <c r="S136" i="2" s="1"/>
  <c r="U123" i="2"/>
  <c r="U164" i="2"/>
  <c r="U143" i="2"/>
  <c r="U160" i="2" s="1"/>
  <c r="U198" i="2" s="1"/>
  <c r="U112" i="2"/>
  <c r="AB341" i="2"/>
  <c r="AI348" i="2"/>
  <c r="AM352" i="2"/>
  <c r="AE344" i="2"/>
  <c r="AG346" i="2"/>
  <c r="AD343" i="2"/>
  <c r="Z339" i="2"/>
  <c r="AK350" i="2"/>
  <c r="V335" i="2"/>
  <c r="AA340" i="2"/>
  <c r="AC342" i="2"/>
  <c r="W336" i="2"/>
  <c r="AH347" i="2"/>
  <c r="AF345" i="2"/>
  <c r="AL351" i="2"/>
  <c r="X337" i="2"/>
  <c r="AJ349" i="2"/>
  <c r="AN353" i="2"/>
  <c r="Y338" i="2"/>
  <c r="U334" i="2"/>
  <c r="T134" i="2"/>
  <c r="T133" i="2" s="1"/>
  <c r="T132" i="2" s="1"/>
  <c r="T131" i="2" s="1"/>
  <c r="T125" i="2"/>
  <c r="V35" i="2"/>
  <c r="V327" i="2"/>
  <c r="V333" i="2"/>
  <c r="V380" i="2" s="1"/>
  <c r="V117" i="2"/>
  <c r="V119" i="2" s="1"/>
  <c r="V330" i="2"/>
  <c r="V404" i="2" s="1"/>
  <c r="V110" i="2"/>
  <c r="P973" i="2"/>
  <c r="Q874" i="2"/>
  <c r="V429" i="2" l="1"/>
  <c r="V403" i="2"/>
  <c r="R851" i="2"/>
  <c r="R874" i="2" s="1"/>
  <c r="R217" i="2"/>
  <c r="V430" i="2"/>
  <c r="S138" i="2"/>
  <c r="S139" i="2" s="1"/>
  <c r="T130" i="2"/>
  <c r="T129" i="2" s="1"/>
  <c r="T128" i="2" s="1"/>
  <c r="T127" i="2" s="1"/>
  <c r="T126" i="2" s="1"/>
  <c r="T136" i="2" s="1"/>
  <c r="Q973" i="2"/>
  <c r="U125" i="2"/>
  <c r="U134" i="2"/>
  <c r="U133" i="2" s="1"/>
  <c r="U132" i="2" s="1"/>
  <c r="U131" i="2" s="1"/>
  <c r="W327" i="2"/>
  <c r="W35" i="2"/>
  <c r="W333" i="2"/>
  <c r="W380" i="2" s="1"/>
  <c r="W117" i="2"/>
  <c r="W119" i="2" s="1"/>
  <c r="W330" i="2"/>
  <c r="W404" i="2" s="1"/>
  <c r="W110" i="2"/>
  <c r="AN352" i="2"/>
  <c r="X336" i="2"/>
  <c r="AK349" i="2"/>
  <c r="Y337" i="2"/>
  <c r="AL350" i="2"/>
  <c r="AD342" i="2"/>
  <c r="AF344" i="2"/>
  <c r="AA339" i="2"/>
  <c r="AO353" i="2"/>
  <c r="AI347" i="2"/>
  <c r="AJ348" i="2"/>
  <c r="AB340" i="2"/>
  <c r="W335" i="2"/>
  <c r="AC341" i="2"/>
  <c r="AM351" i="2"/>
  <c r="AE343" i="2"/>
  <c r="AG345" i="2"/>
  <c r="AH346" i="2"/>
  <c r="Z338" i="2"/>
  <c r="V334" i="2"/>
  <c r="V164" i="2"/>
  <c r="V123" i="2"/>
  <c r="V143" i="2"/>
  <c r="V160" i="2" s="1"/>
  <c r="V198" i="2" s="1"/>
  <c r="V112" i="2"/>
  <c r="W429" i="2" l="1"/>
  <c r="W403" i="2"/>
  <c r="S851" i="2"/>
  <c r="S874" i="2" s="1"/>
  <c r="S217" i="2"/>
  <c r="W430" i="2"/>
  <c r="T138" i="2"/>
  <c r="T139" i="2" s="1"/>
  <c r="U130" i="2"/>
  <c r="U129" i="2" s="1"/>
  <c r="U128" i="2" s="1"/>
  <c r="U127" i="2" s="1"/>
  <c r="U126" i="2" s="1"/>
  <c r="U136" i="2" s="1"/>
  <c r="AI346" i="2"/>
  <c r="AH345" i="2"/>
  <c r="AC340" i="2"/>
  <c r="AJ347" i="2"/>
  <c r="AG344" i="2"/>
  <c r="X335" i="2"/>
  <c r="AF343" i="2"/>
  <c r="AM350" i="2"/>
  <c r="Y336" i="2"/>
  <c r="AP353" i="2"/>
  <c r="AB339" i="2"/>
  <c r="AE342" i="2"/>
  <c r="AO352" i="2"/>
  <c r="AK348" i="2"/>
  <c r="AL349" i="2"/>
  <c r="Z337" i="2"/>
  <c r="W334" i="2"/>
  <c r="AD341" i="2"/>
  <c r="AN351" i="2"/>
  <c r="AA338" i="2"/>
  <c r="R973" i="2"/>
  <c r="X35" i="2"/>
  <c r="X327" i="2"/>
  <c r="X333" i="2"/>
  <c r="X380" i="2" s="1"/>
  <c r="X117" i="2"/>
  <c r="X119" i="2" s="1"/>
  <c r="X330" i="2"/>
  <c r="X404" i="2" s="1"/>
  <c r="X110" i="2"/>
  <c r="V134" i="2"/>
  <c r="V133" i="2" s="1"/>
  <c r="V132" i="2" s="1"/>
  <c r="V131" i="2" s="1"/>
  <c r="V125" i="2"/>
  <c r="W164" i="2"/>
  <c r="W123" i="2"/>
  <c r="W143" i="2"/>
  <c r="W160" i="2" s="1"/>
  <c r="W198" i="2" s="1"/>
  <c r="W112" i="2"/>
  <c r="X429" i="2" l="1"/>
  <c r="X403" i="2"/>
  <c r="T851" i="2"/>
  <c r="T874" i="2" s="1"/>
  <c r="T217" i="2"/>
  <c r="X430" i="2"/>
  <c r="U138" i="2"/>
  <c r="U139" i="2" s="1"/>
  <c r="V130" i="2"/>
  <c r="V129" i="2" s="1"/>
  <c r="V128" i="2" s="1"/>
  <c r="V127" i="2" s="1"/>
  <c r="V126" i="2" s="1"/>
  <c r="V136" i="2" s="1"/>
  <c r="W134" i="2"/>
  <c r="W133" i="2" s="1"/>
  <c r="W132" i="2" s="1"/>
  <c r="W131" i="2" s="1"/>
  <c r="W125" i="2"/>
  <c r="Y327" i="2"/>
  <c r="Y117" i="2"/>
  <c r="Y119" i="2" s="1"/>
  <c r="Y330" i="2"/>
  <c r="Y404" i="2" s="1"/>
  <c r="Y110" i="2"/>
  <c r="S973" i="2"/>
  <c r="X164" i="2"/>
  <c r="X123" i="2"/>
  <c r="X143" i="2"/>
  <c r="X160" i="2" s="1"/>
  <c r="X198" i="2" s="1"/>
  <c r="X112" i="2"/>
  <c r="AP352" i="2"/>
  <c r="AH344" i="2"/>
  <c r="AO351" i="2"/>
  <c r="AB338" i="2"/>
  <c r="AI345" i="2"/>
  <c r="AK347" i="2"/>
  <c r="AD340" i="2"/>
  <c r="Z336" i="2"/>
  <c r="AA337" i="2"/>
  <c r="AJ346" i="2"/>
  <c r="AF342" i="2"/>
  <c r="AQ353" i="2"/>
  <c r="AL348" i="2"/>
  <c r="AM349" i="2"/>
  <c r="AN350" i="2"/>
  <c r="AE341" i="2"/>
  <c r="Y335" i="2"/>
  <c r="AC339" i="2"/>
  <c r="AG343" i="2"/>
  <c r="X334" i="2"/>
  <c r="Y429" i="2" l="1"/>
  <c r="Y403" i="2"/>
  <c r="U851" i="2"/>
  <c r="U874" i="2" s="1"/>
  <c r="U217" i="2"/>
  <c r="Y430" i="2"/>
  <c r="W130" i="2"/>
  <c r="W129" i="2" s="1"/>
  <c r="W128" i="2" s="1"/>
  <c r="W127" i="2" s="1"/>
  <c r="W126" i="2" s="1"/>
  <c r="W136" i="2" s="1"/>
  <c r="V138" i="2"/>
  <c r="V139" i="2" s="1"/>
  <c r="Z327" i="2"/>
  <c r="Z35" i="2"/>
  <c r="Z333" i="2"/>
  <c r="Z380" i="2" s="1"/>
  <c r="Z117" i="2"/>
  <c r="Z119" i="2" s="1"/>
  <c r="Z330" i="2"/>
  <c r="Z404" i="2" s="1"/>
  <c r="Z110" i="2"/>
  <c r="X134" i="2"/>
  <c r="X133" i="2" s="1"/>
  <c r="X132" i="2" s="1"/>
  <c r="X131" i="2" s="1"/>
  <c r="X125" i="2"/>
  <c r="Y164" i="2"/>
  <c r="Y123" i="2"/>
  <c r="Y143" i="2"/>
  <c r="Y160" i="2" s="1"/>
  <c r="Y198" i="2" s="1"/>
  <c r="Y112" i="2"/>
  <c r="T973" i="2"/>
  <c r="Z429" i="2" l="1"/>
  <c r="Z403" i="2"/>
  <c r="V851" i="2"/>
  <c r="V874" i="2" s="1"/>
  <c r="V217" i="2"/>
  <c r="Z430" i="2"/>
  <c r="W138" i="2"/>
  <c r="W139" i="2" s="1"/>
  <c r="X130" i="2"/>
  <c r="X129" i="2" s="1"/>
  <c r="X128" i="2" s="1"/>
  <c r="X127" i="2" s="1"/>
  <c r="X126" i="2" s="1"/>
  <c r="X136" i="2" s="1"/>
  <c r="Y134" i="2"/>
  <c r="Y133" i="2" s="1"/>
  <c r="Y132" i="2" s="1"/>
  <c r="Y131" i="2" s="1"/>
  <c r="Y125" i="2"/>
  <c r="AH342" i="2"/>
  <c r="AO349" i="2"/>
  <c r="AN348" i="2"/>
  <c r="AF340" i="2"/>
  <c r="AS353" i="2"/>
  <c r="AP350" i="2"/>
  <c r="AM347" i="2"/>
  <c r="AE339" i="2"/>
  <c r="AB336" i="2"/>
  <c r="AC337" i="2"/>
  <c r="AR352" i="2"/>
  <c r="AI343" i="2"/>
  <c r="AA335" i="2"/>
  <c r="AD338" i="2"/>
  <c r="AQ351" i="2"/>
  <c r="AJ344" i="2"/>
  <c r="AG341" i="2"/>
  <c r="AL346" i="2"/>
  <c r="AK345" i="2"/>
  <c r="Z334" i="2"/>
  <c r="AA35" i="2"/>
  <c r="AA327" i="2"/>
  <c r="AA333" i="2"/>
  <c r="AA380" i="2" s="1"/>
  <c r="AA117" i="2"/>
  <c r="AA119" i="2" s="1"/>
  <c r="AA330" i="2"/>
  <c r="AA404" i="2" s="1"/>
  <c r="AA110" i="2"/>
  <c r="U973" i="2"/>
  <c r="Z164" i="2"/>
  <c r="Z123" i="2"/>
  <c r="Z143" i="2"/>
  <c r="Z160" i="2" s="1"/>
  <c r="Z198" i="2" s="1"/>
  <c r="Z112" i="2"/>
  <c r="AA429" i="2" l="1"/>
  <c r="AA403" i="2"/>
  <c r="W851" i="2"/>
  <c r="W874" i="2" s="1"/>
  <c r="W217" i="2"/>
  <c r="AA430" i="2"/>
  <c r="X138" i="2"/>
  <c r="X139" i="2" s="1"/>
  <c r="Y130" i="2"/>
  <c r="Y129" i="2" s="1"/>
  <c r="Y128" i="2" s="1"/>
  <c r="Y127" i="2" s="1"/>
  <c r="Y126" i="2" s="1"/>
  <c r="Y136" i="2" s="1"/>
  <c r="AB35" i="2"/>
  <c r="AB327" i="2"/>
  <c r="AB117" i="2"/>
  <c r="AB119" i="2" s="1"/>
  <c r="AB333" i="2"/>
  <c r="AB380" i="2" s="1"/>
  <c r="AB330" i="2"/>
  <c r="AB404" i="2" s="1"/>
  <c r="AB110" i="2"/>
  <c r="AM346" i="2"/>
  <c r="AD337" i="2"/>
  <c r="AE338" i="2"/>
  <c r="AR351" i="2"/>
  <c r="AI342" i="2"/>
  <c r="AF339" i="2"/>
  <c r="AH341" i="2"/>
  <c r="AQ350" i="2"/>
  <c r="AG340" i="2"/>
  <c r="AC336" i="2"/>
  <c r="AO348" i="2"/>
  <c r="AN347" i="2"/>
  <c r="AB335" i="2"/>
  <c r="AP349" i="2"/>
  <c r="AJ343" i="2"/>
  <c r="AK344" i="2"/>
  <c r="AT353" i="2"/>
  <c r="AL345" i="2"/>
  <c r="AS352" i="2"/>
  <c r="AA334" i="2"/>
  <c r="Z134" i="2"/>
  <c r="Z133" i="2" s="1"/>
  <c r="Z132" i="2" s="1"/>
  <c r="Z131" i="2" s="1"/>
  <c r="Z125" i="2"/>
  <c r="AA123" i="2"/>
  <c r="AA164" i="2"/>
  <c r="AA143" i="2"/>
  <c r="AA160" i="2" s="1"/>
  <c r="AA198" i="2" s="1"/>
  <c r="AA112" i="2"/>
  <c r="V973" i="2"/>
  <c r="AB429" i="2" l="1"/>
  <c r="AB403" i="2"/>
  <c r="X851" i="2"/>
  <c r="X874" i="2" s="1"/>
  <c r="X217" i="2"/>
  <c r="AB430" i="2"/>
  <c r="Y138" i="2"/>
  <c r="Y139" i="2" s="1"/>
  <c r="Z130" i="2"/>
  <c r="Z129" i="2" s="1"/>
  <c r="Z128" i="2" s="1"/>
  <c r="Z127" i="2" s="1"/>
  <c r="Z126" i="2" s="1"/>
  <c r="Z136" i="2" s="1"/>
  <c r="AA134" i="2"/>
  <c r="AA133" i="2" s="1"/>
  <c r="AA132" i="2" s="1"/>
  <c r="AA131" i="2" s="1"/>
  <c r="AA125" i="2"/>
  <c r="AB123" i="2"/>
  <c r="AB164" i="2"/>
  <c r="AB143" i="2"/>
  <c r="AB160" i="2" s="1"/>
  <c r="AB198" i="2" s="1"/>
  <c r="AB112" i="2"/>
  <c r="AC117" i="2"/>
  <c r="AC119" i="2" s="1"/>
  <c r="AC327" i="2"/>
  <c r="AC330" i="2"/>
  <c r="AC404" i="2" s="1"/>
  <c r="AC110" i="2"/>
  <c r="AC335" i="2"/>
  <c r="AG339" i="2"/>
  <c r="AJ342" i="2"/>
  <c r="AD336" i="2"/>
  <c r="AI341" i="2"/>
  <c r="AU353" i="2"/>
  <c r="AK343" i="2"/>
  <c r="AH340" i="2"/>
  <c r="AF338" i="2"/>
  <c r="AP348" i="2"/>
  <c r="AM345" i="2"/>
  <c r="AE337" i="2"/>
  <c r="AO347" i="2"/>
  <c r="AQ349" i="2"/>
  <c r="AN346" i="2"/>
  <c r="AL344" i="2"/>
  <c r="AS351" i="2"/>
  <c r="AT352" i="2"/>
  <c r="AR350" i="2"/>
  <c r="AB334" i="2"/>
  <c r="W973" i="2"/>
  <c r="AC429" i="2" l="1"/>
  <c r="AC403" i="2"/>
  <c r="Y851" i="2"/>
  <c r="Y874" i="2" s="1"/>
  <c r="Y217" i="2"/>
  <c r="AC430" i="2"/>
  <c r="Z138" i="2"/>
  <c r="Z139" i="2" s="1"/>
  <c r="AA130" i="2"/>
  <c r="AA129" i="2" s="1"/>
  <c r="AA128" i="2" s="1"/>
  <c r="AA127" i="2" s="1"/>
  <c r="AA126" i="2" s="1"/>
  <c r="AA136" i="2" s="1"/>
  <c r="AC164" i="2"/>
  <c r="AC123" i="2"/>
  <c r="AC143" i="2"/>
  <c r="AC160" i="2" s="1"/>
  <c r="AC198" i="2" s="1"/>
  <c r="AC112" i="2"/>
  <c r="AB134" i="2"/>
  <c r="AB133" i="2" s="1"/>
  <c r="AB132" i="2" s="1"/>
  <c r="AB131" i="2" s="1"/>
  <c r="AB125" i="2"/>
  <c r="X973" i="2"/>
  <c r="AD35" i="2"/>
  <c r="AD327" i="2"/>
  <c r="AD333" i="2"/>
  <c r="AD380" i="2" s="1"/>
  <c r="AD117" i="2"/>
  <c r="AD119" i="2" s="1"/>
  <c r="AD330" i="2"/>
  <c r="AD404" i="2" s="1"/>
  <c r="AD110" i="2"/>
  <c r="AD429" i="2" l="1"/>
  <c r="AD403" i="2"/>
  <c r="Z851" i="2"/>
  <c r="Z874" i="2" s="1"/>
  <c r="Z217" i="2"/>
  <c r="AD430" i="2"/>
  <c r="AA138" i="2"/>
  <c r="AA139" i="2" s="1"/>
  <c r="AB130" i="2"/>
  <c r="AB129" i="2" s="1"/>
  <c r="AB128" i="2" s="1"/>
  <c r="AB127" i="2" s="1"/>
  <c r="AB126" i="2" s="1"/>
  <c r="AB136" i="2" s="1"/>
  <c r="Y973" i="2"/>
  <c r="AC134" i="2"/>
  <c r="AC133" i="2" s="1"/>
  <c r="AC132" i="2" s="1"/>
  <c r="AC131" i="2" s="1"/>
  <c r="AC125" i="2"/>
  <c r="AD164" i="2"/>
  <c r="AD123" i="2"/>
  <c r="AD143" i="2"/>
  <c r="AD160" i="2" s="1"/>
  <c r="AD198" i="2" s="1"/>
  <c r="AD112" i="2"/>
  <c r="AE35" i="2"/>
  <c r="AE327" i="2"/>
  <c r="AE333" i="2"/>
  <c r="AE380" i="2" s="1"/>
  <c r="AE117" i="2"/>
  <c r="AE119" i="2" s="1"/>
  <c r="AE330" i="2"/>
  <c r="AE404" i="2" s="1"/>
  <c r="AE110" i="2"/>
  <c r="AO345" i="2"/>
  <c r="AT350" i="2"/>
  <c r="AR348" i="2"/>
  <c r="AQ347" i="2"/>
  <c r="AS349" i="2"/>
  <c r="AM343" i="2"/>
  <c r="AJ340" i="2"/>
  <c r="AV352" i="2"/>
  <c r="AL342" i="2"/>
  <c r="AG337" i="2"/>
  <c r="AE335" i="2"/>
  <c r="AK341" i="2"/>
  <c r="AN344" i="2"/>
  <c r="AW353" i="2"/>
  <c r="AP346" i="2"/>
  <c r="AU351" i="2"/>
  <c r="AF336" i="2"/>
  <c r="AI339" i="2"/>
  <c r="AH338" i="2"/>
  <c r="AD334" i="2"/>
  <c r="AE429" i="2" l="1"/>
  <c r="AE403" i="2"/>
  <c r="AA851" i="2"/>
  <c r="AA874" i="2" s="1"/>
  <c r="AA217" i="2"/>
  <c r="AE430" i="2"/>
  <c r="AB138" i="2"/>
  <c r="AB139" i="2" s="1"/>
  <c r="AC130" i="2"/>
  <c r="AC129" i="2" s="1"/>
  <c r="AC128" i="2" s="1"/>
  <c r="AC127" i="2" s="1"/>
  <c r="AC126" i="2" s="1"/>
  <c r="AC136" i="2" s="1"/>
  <c r="AF327" i="2"/>
  <c r="AF35" i="2"/>
  <c r="AF117" i="2"/>
  <c r="AF119" i="2" s="1"/>
  <c r="AF333" i="2"/>
  <c r="AF380" i="2" s="1"/>
  <c r="AF330" i="2"/>
  <c r="AF404" i="2" s="1"/>
  <c r="AF110" i="2"/>
  <c r="AQ346" i="2"/>
  <c r="AO344" i="2"/>
  <c r="AM342" i="2"/>
  <c r="AW352" i="2"/>
  <c r="AI338" i="2"/>
  <c r="AG336" i="2"/>
  <c r="AU350" i="2"/>
  <c r="AV351" i="2"/>
  <c r="AP345" i="2"/>
  <c r="AL341" i="2"/>
  <c r="AT349" i="2"/>
  <c r="AS348" i="2"/>
  <c r="AJ339" i="2"/>
  <c r="AK340" i="2"/>
  <c r="AF335" i="2"/>
  <c r="AN343" i="2"/>
  <c r="AR347" i="2"/>
  <c r="AH337" i="2"/>
  <c r="AX353" i="2"/>
  <c r="AE334" i="2"/>
  <c r="AE164" i="2"/>
  <c r="AE123" i="2"/>
  <c r="AE143" i="2"/>
  <c r="AE160" i="2" s="1"/>
  <c r="AE198" i="2" s="1"/>
  <c r="AE112" i="2"/>
  <c r="Z973" i="2"/>
  <c r="AD134" i="2"/>
  <c r="AD133" i="2" s="1"/>
  <c r="AD132" i="2" s="1"/>
  <c r="AD131" i="2" s="1"/>
  <c r="AD125" i="2"/>
  <c r="AF429" i="2" l="1"/>
  <c r="AF403" i="2"/>
  <c r="AB851" i="2"/>
  <c r="AB874" i="2" s="1"/>
  <c r="AB217" i="2"/>
  <c r="AF430" i="2"/>
  <c r="AD130" i="2"/>
  <c r="AD129" i="2" s="1"/>
  <c r="AD128" i="2" s="1"/>
  <c r="AD127" i="2" s="1"/>
  <c r="AD126" i="2" s="1"/>
  <c r="AD136" i="2" s="1"/>
  <c r="AC138" i="2"/>
  <c r="AC139" i="2" s="1"/>
  <c r="AF164" i="2"/>
  <c r="AF123" i="2"/>
  <c r="AF143" i="2"/>
  <c r="AF160" i="2" s="1"/>
  <c r="AF198" i="2" s="1"/>
  <c r="AF112" i="2"/>
  <c r="AA973" i="2"/>
  <c r="AE134" i="2"/>
  <c r="AE133" i="2" s="1"/>
  <c r="AE132" i="2" s="1"/>
  <c r="AE131" i="2" s="1"/>
  <c r="AE125" i="2"/>
  <c r="AG35" i="2"/>
  <c r="AG327" i="2"/>
  <c r="AG117" i="2"/>
  <c r="AG119" i="2" s="1"/>
  <c r="AG333" i="2"/>
  <c r="AG380" i="2" s="1"/>
  <c r="AG330" i="2"/>
  <c r="AG404" i="2" s="1"/>
  <c r="AG110" i="2"/>
  <c r="AG335" i="2"/>
  <c r="AS347" i="2"/>
  <c r="AX352" i="2"/>
  <c r="AW351" i="2"/>
  <c r="AY353" i="2"/>
  <c r="AM341" i="2"/>
  <c r="AL340" i="2"/>
  <c r="AH336" i="2"/>
  <c r="AO343" i="2"/>
  <c r="AR346" i="2"/>
  <c r="AQ345" i="2"/>
  <c r="AT348" i="2"/>
  <c r="AU349" i="2"/>
  <c r="AV350" i="2"/>
  <c r="AK339" i="2"/>
  <c r="AN342" i="2"/>
  <c r="AP344" i="2"/>
  <c r="AJ338" i="2"/>
  <c r="AI337" i="2"/>
  <c r="AF334" i="2"/>
  <c r="AG429" i="2" l="1"/>
  <c r="AG403" i="2"/>
  <c r="AC851" i="2"/>
  <c r="AC874" i="2" s="1"/>
  <c r="AC217" i="2"/>
  <c r="AG430" i="2"/>
  <c r="AD138" i="2"/>
  <c r="AD139" i="2" s="1"/>
  <c r="AE130" i="2"/>
  <c r="AE129" i="2" s="1"/>
  <c r="AE128" i="2" s="1"/>
  <c r="AE127" i="2" s="1"/>
  <c r="AE126" i="2" s="1"/>
  <c r="AE138" i="2" s="1"/>
  <c r="AE139" i="2" s="1"/>
  <c r="AE217" i="2" s="1"/>
  <c r="AG164" i="2"/>
  <c r="AG123" i="2"/>
  <c r="AG143" i="2"/>
  <c r="AG160" i="2" s="1"/>
  <c r="AG198" i="2" s="1"/>
  <c r="AG112" i="2"/>
  <c r="AK338" i="2"/>
  <c r="AL339" i="2"/>
  <c r="AH335" i="2"/>
  <c r="AP343" i="2"/>
  <c r="AQ344" i="2"/>
  <c r="AW350" i="2"/>
  <c r="AO342" i="2"/>
  <c r="AZ353" i="2"/>
  <c r="AX351" i="2"/>
  <c r="AI336" i="2"/>
  <c r="AS346" i="2"/>
  <c r="AV349" i="2"/>
  <c r="AY352" i="2"/>
  <c r="AT347" i="2"/>
  <c r="AM340" i="2"/>
  <c r="AJ337" i="2"/>
  <c r="AU348" i="2"/>
  <c r="AN341" i="2"/>
  <c r="AR345" i="2"/>
  <c r="AG334" i="2"/>
  <c r="AB973" i="2"/>
  <c r="AF134" i="2"/>
  <c r="AF133" i="2" s="1"/>
  <c r="AF132" i="2" s="1"/>
  <c r="AF131" i="2" s="1"/>
  <c r="AF125" i="2"/>
  <c r="AH35" i="2"/>
  <c r="AH333" i="2"/>
  <c r="AH380" i="2" s="1"/>
  <c r="AH327" i="2"/>
  <c r="AH117" i="2"/>
  <c r="AH119" i="2" s="1"/>
  <c r="AH330" i="2"/>
  <c r="AH404" i="2" s="1"/>
  <c r="AH110" i="2"/>
  <c r="AH429" i="2" l="1"/>
  <c r="AH403" i="2"/>
  <c r="AD851" i="2"/>
  <c r="AD874" i="2" s="1"/>
  <c r="AD217" i="2"/>
  <c r="AH430" i="2"/>
  <c r="AE136" i="2"/>
  <c r="AF130" i="2"/>
  <c r="AF129" i="2" s="1"/>
  <c r="AF128" i="2" s="1"/>
  <c r="AF127" i="2" s="1"/>
  <c r="AF126" i="2" s="1"/>
  <c r="AF136" i="2" s="1"/>
  <c r="AI35" i="2"/>
  <c r="AI327" i="2"/>
  <c r="AI117" i="2"/>
  <c r="AI119" i="2" s="1"/>
  <c r="AI333" i="2"/>
  <c r="AI380" i="2" s="1"/>
  <c r="AI330" i="2"/>
  <c r="AI404" i="2" s="1"/>
  <c r="AI110" i="2"/>
  <c r="AC973" i="2"/>
  <c r="AS345" i="2"/>
  <c r="AQ343" i="2"/>
  <c r="AP342" i="2"/>
  <c r="AW349" i="2"/>
  <c r="AU347" i="2"/>
  <c r="AI335" i="2"/>
  <c r="AM339" i="2"/>
  <c r="AY351" i="2"/>
  <c r="AT346" i="2"/>
  <c r="AK337" i="2"/>
  <c r="AN340" i="2"/>
  <c r="AZ352" i="2"/>
  <c r="AR344" i="2"/>
  <c r="AX350" i="2"/>
  <c r="AO341" i="2"/>
  <c r="AL338" i="2"/>
  <c r="BA353" i="2"/>
  <c r="AJ336" i="2"/>
  <c r="AV348" i="2"/>
  <c r="AH334" i="2"/>
  <c r="AE851" i="2"/>
  <c r="AG134" i="2"/>
  <c r="AG133" i="2" s="1"/>
  <c r="AG132" i="2" s="1"/>
  <c r="AG131" i="2" s="1"/>
  <c r="AG125" i="2"/>
  <c r="AH164" i="2"/>
  <c r="AH123" i="2"/>
  <c r="AH143" i="2"/>
  <c r="AH160" i="2" s="1"/>
  <c r="AH198" i="2" s="1"/>
  <c r="AH112" i="2"/>
  <c r="AI429" i="2" l="1"/>
  <c r="AI403" i="2"/>
  <c r="AI430" i="2"/>
  <c r="AF138" i="2"/>
  <c r="AF139" i="2" s="1"/>
  <c r="AG130" i="2"/>
  <c r="AG129" i="2" s="1"/>
  <c r="AG128" i="2" s="1"/>
  <c r="AG127" i="2" s="1"/>
  <c r="AG126" i="2" s="1"/>
  <c r="AG136" i="2" s="1"/>
  <c r="AJ35" i="2"/>
  <c r="AJ117" i="2"/>
  <c r="AJ119" i="2" s="1"/>
  <c r="AJ327" i="2"/>
  <c r="AJ333" i="2"/>
  <c r="AJ380" i="2" s="1"/>
  <c r="AJ330" i="2"/>
  <c r="AJ404" i="2" s="1"/>
  <c r="AJ110" i="2"/>
  <c r="AP341" i="2"/>
  <c r="AL337" i="2"/>
  <c r="AN339" i="2"/>
  <c r="AX349" i="2"/>
  <c r="AO340" i="2"/>
  <c r="AV347" i="2"/>
  <c r="AZ351" i="2"/>
  <c r="AU346" i="2"/>
  <c r="AK336" i="2"/>
  <c r="AS344" i="2"/>
  <c r="BA352" i="2"/>
  <c r="BB353" i="2"/>
  <c r="AY350" i="2"/>
  <c r="AW348" i="2"/>
  <c r="AM338" i="2"/>
  <c r="AJ335" i="2"/>
  <c r="AT345" i="2"/>
  <c r="AR343" i="2"/>
  <c r="AQ342" i="2"/>
  <c r="AI334" i="2"/>
  <c r="AI164" i="2"/>
  <c r="AI123" i="2"/>
  <c r="AI143" i="2"/>
  <c r="AI160" i="2" s="1"/>
  <c r="AI198" i="2" s="1"/>
  <c r="AI112" i="2"/>
  <c r="AH134" i="2"/>
  <c r="AH133" i="2" s="1"/>
  <c r="AH132" i="2" s="1"/>
  <c r="AH131" i="2" s="1"/>
  <c r="AH125" i="2"/>
  <c r="AD973" i="2"/>
  <c r="AE874" i="2"/>
  <c r="AJ429" i="2" l="1"/>
  <c r="AJ403" i="2"/>
  <c r="AF851" i="2"/>
  <c r="AF874" i="2" s="1"/>
  <c r="AF217" i="2"/>
  <c r="AJ430" i="2"/>
  <c r="AG138" i="2"/>
  <c r="AG139" i="2" s="1"/>
  <c r="AH130" i="2"/>
  <c r="AH129" i="2" s="1"/>
  <c r="AH128" i="2" s="1"/>
  <c r="AH127" i="2" s="1"/>
  <c r="AH126" i="2" s="1"/>
  <c r="AH136" i="2" s="1"/>
  <c r="AJ164" i="2"/>
  <c r="AJ123" i="2"/>
  <c r="AJ143" i="2"/>
  <c r="AJ160" i="2" s="1"/>
  <c r="AJ198" i="2" s="1"/>
  <c r="AJ112" i="2"/>
  <c r="AK35" i="2"/>
  <c r="AK327" i="2"/>
  <c r="AK333" i="2"/>
  <c r="AK380" i="2" s="1"/>
  <c r="AK117" i="2"/>
  <c r="AK119" i="2" s="1"/>
  <c r="AK330" i="2"/>
  <c r="AK404" i="2" s="1"/>
  <c r="AK110" i="2"/>
  <c r="AE973" i="2"/>
  <c r="AI134" i="2"/>
  <c r="AI133" i="2" s="1"/>
  <c r="AI132" i="2" s="1"/>
  <c r="AI131" i="2" s="1"/>
  <c r="AI125" i="2"/>
  <c r="BB352" i="2"/>
  <c r="AL336" i="2"/>
  <c r="AX348" i="2"/>
  <c r="AO339" i="2"/>
  <c r="AP340" i="2"/>
  <c r="AM337" i="2"/>
  <c r="AS343" i="2"/>
  <c r="BC353" i="2"/>
  <c r="AK335" i="2"/>
  <c r="AY349" i="2"/>
  <c r="AW347" i="2"/>
  <c r="BA351" i="2"/>
  <c r="AZ350" i="2"/>
  <c r="AN338" i="2"/>
  <c r="AQ341" i="2"/>
  <c r="AT344" i="2"/>
  <c r="AV346" i="2"/>
  <c r="AR342" i="2"/>
  <c r="AU345" i="2"/>
  <c r="AJ334" i="2"/>
  <c r="AK429" i="2" l="1"/>
  <c r="AK403" i="2"/>
  <c r="AG851" i="2"/>
  <c r="AG874" i="2" s="1"/>
  <c r="AG217" i="2"/>
  <c r="AK430" i="2"/>
  <c r="AI130" i="2"/>
  <c r="AI129" i="2" s="1"/>
  <c r="AI128" i="2" s="1"/>
  <c r="AI127" i="2" s="1"/>
  <c r="AI126" i="2" s="1"/>
  <c r="AI136" i="2" s="1"/>
  <c r="AH138" i="2"/>
  <c r="AH139" i="2" s="1"/>
  <c r="AK164" i="2"/>
  <c r="AK123" i="2"/>
  <c r="AK112" i="2"/>
  <c r="AK143" i="2"/>
  <c r="AK160" i="2" s="1"/>
  <c r="AK198" i="2" s="1"/>
  <c r="AJ134" i="2"/>
  <c r="AJ133" i="2" s="1"/>
  <c r="AJ132" i="2" s="1"/>
  <c r="AJ131" i="2" s="1"/>
  <c r="AJ125" i="2"/>
  <c r="BB351" i="2"/>
  <c r="AS342" i="2"/>
  <c r="AM336" i="2"/>
  <c r="AR341" i="2"/>
  <c r="AX347" i="2"/>
  <c r="BD353" i="2"/>
  <c r="AV345" i="2"/>
  <c r="BC352" i="2"/>
  <c r="AY348" i="2"/>
  <c r="AN337" i="2"/>
  <c r="AU344" i="2"/>
  <c r="AT343" i="2"/>
  <c r="AQ340" i="2"/>
  <c r="AZ349" i="2"/>
  <c r="AW346" i="2"/>
  <c r="AP339" i="2"/>
  <c r="AL335" i="2"/>
  <c r="AO338" i="2"/>
  <c r="BA350" i="2"/>
  <c r="AK334" i="2"/>
  <c r="AF973" i="2"/>
  <c r="AL35" i="2"/>
  <c r="AL327" i="2"/>
  <c r="AL333" i="2"/>
  <c r="AL380" i="2" s="1"/>
  <c r="AL117" i="2"/>
  <c r="AL119" i="2" s="1"/>
  <c r="AL330" i="2"/>
  <c r="AL404" i="2" s="1"/>
  <c r="AL110" i="2"/>
  <c r="AL429" i="2" l="1"/>
  <c r="AL403" i="2"/>
  <c r="AH851" i="2"/>
  <c r="AH874" i="2" s="1"/>
  <c r="AH217" i="2"/>
  <c r="AL430" i="2"/>
  <c r="AI138" i="2"/>
  <c r="AI139" i="2" s="1"/>
  <c r="AJ130" i="2"/>
  <c r="AJ129" i="2" s="1"/>
  <c r="AJ128" i="2" s="1"/>
  <c r="AJ127" i="2" s="1"/>
  <c r="AJ126" i="2" s="1"/>
  <c r="AJ138" i="2" s="1"/>
  <c r="AJ139" i="2" s="1"/>
  <c r="AJ217" i="2" s="1"/>
  <c r="AM35" i="2"/>
  <c r="AM117" i="2"/>
  <c r="AM119" i="2" s="1"/>
  <c r="AM327" i="2"/>
  <c r="AM333" i="2"/>
  <c r="AM380" i="2" s="1"/>
  <c r="AM330" i="2"/>
  <c r="AM404" i="2" s="1"/>
  <c r="AM110" i="2"/>
  <c r="AL164" i="2"/>
  <c r="AL123" i="2"/>
  <c r="AL143" i="2"/>
  <c r="AL160" i="2" s="1"/>
  <c r="AL198" i="2" s="1"/>
  <c r="AL112" i="2"/>
  <c r="AZ348" i="2"/>
  <c r="AR340" i="2"/>
  <c r="BD352" i="2"/>
  <c r="BA349" i="2"/>
  <c r="AV344" i="2"/>
  <c r="AQ339" i="2"/>
  <c r="BC351" i="2"/>
  <c r="AM335" i="2"/>
  <c r="AX346" i="2"/>
  <c r="BB350" i="2"/>
  <c r="AN336" i="2"/>
  <c r="AY347" i="2"/>
  <c r="AU343" i="2"/>
  <c r="AS341" i="2"/>
  <c r="AP338" i="2"/>
  <c r="AO337" i="2"/>
  <c r="AW345" i="2"/>
  <c r="AT342" i="2"/>
  <c r="AL334" i="2"/>
  <c r="AK134" i="2"/>
  <c r="AK133" i="2" s="1"/>
  <c r="AK132" i="2" s="1"/>
  <c r="AK131" i="2" s="1"/>
  <c r="AK125" i="2"/>
  <c r="AG973" i="2"/>
  <c r="AM429" i="2" l="1"/>
  <c r="AM403" i="2"/>
  <c r="AI851" i="2"/>
  <c r="AI874" i="2" s="1"/>
  <c r="AI217" i="2"/>
  <c r="AM430" i="2"/>
  <c r="AJ136" i="2"/>
  <c r="AK130" i="2"/>
  <c r="AK129" i="2" s="1"/>
  <c r="AK128" i="2" s="1"/>
  <c r="AK127" i="2" s="1"/>
  <c r="AK126" i="2" s="1"/>
  <c r="AK136" i="2" s="1"/>
  <c r="AJ851" i="2"/>
  <c r="AN35" i="2"/>
  <c r="AN327" i="2"/>
  <c r="AN333" i="2"/>
  <c r="AN380" i="2" s="1"/>
  <c r="AN117" i="2"/>
  <c r="AN119" i="2" s="1"/>
  <c r="AN330" i="2"/>
  <c r="AN404" i="2" s="1"/>
  <c r="AN110" i="2"/>
  <c r="AL134" i="2"/>
  <c r="AL133" i="2" s="1"/>
  <c r="AL132" i="2" s="1"/>
  <c r="AL131" i="2" s="1"/>
  <c r="AL125" i="2"/>
  <c r="AY346" i="2"/>
  <c r="AW344" i="2"/>
  <c r="AV343" i="2"/>
  <c r="AS340" i="2"/>
  <c r="BA348" i="2"/>
  <c r="AO336" i="2"/>
  <c r="AN335" i="2"/>
  <c r="BD351" i="2"/>
  <c r="AT341" i="2"/>
  <c r="AZ347" i="2"/>
  <c r="BC350" i="2"/>
  <c r="AP337" i="2"/>
  <c r="AQ338" i="2"/>
  <c r="AU342" i="2"/>
  <c r="AR339" i="2"/>
  <c r="AX345" i="2"/>
  <c r="BB349" i="2"/>
  <c r="AM334" i="2"/>
  <c r="AH973" i="2"/>
  <c r="AM164" i="2"/>
  <c r="AM123" i="2"/>
  <c r="AM143" i="2"/>
  <c r="AM160" i="2" s="1"/>
  <c r="AM198" i="2" s="1"/>
  <c r="AM112" i="2"/>
  <c r="AN429" i="2" l="1"/>
  <c r="AN403" i="2"/>
  <c r="AN430" i="2"/>
  <c r="AL130" i="2"/>
  <c r="AL129" i="2" s="1"/>
  <c r="AL128" i="2" s="1"/>
  <c r="AL127" i="2" s="1"/>
  <c r="AL126" i="2" s="1"/>
  <c r="AL136" i="2" s="1"/>
  <c r="AK138" i="2"/>
  <c r="AK139" i="2" s="1"/>
  <c r="AI973" i="2"/>
  <c r="AN123" i="2"/>
  <c r="AN164" i="2"/>
  <c r="AN143" i="2"/>
  <c r="AN160" i="2" s="1"/>
  <c r="AN198" i="2" s="1"/>
  <c r="AN112" i="2"/>
  <c r="BD350" i="2"/>
  <c r="BA347" i="2"/>
  <c r="AQ337" i="2"/>
  <c r="BB348" i="2"/>
  <c r="AX344" i="2"/>
  <c r="AY345" i="2"/>
  <c r="AS339" i="2"/>
  <c r="AV342" i="2"/>
  <c r="AU341" i="2"/>
  <c r="AT340" i="2"/>
  <c r="AW343" i="2"/>
  <c r="AR338" i="2"/>
  <c r="AP336" i="2"/>
  <c r="BC349" i="2"/>
  <c r="AO335" i="2"/>
  <c r="AZ346" i="2"/>
  <c r="AN334" i="2"/>
  <c r="AO35" i="2"/>
  <c r="AO117" i="2"/>
  <c r="AO119" i="2" s="1"/>
  <c r="AO327" i="2"/>
  <c r="AO333" i="2"/>
  <c r="AO380" i="2" s="1"/>
  <c r="AO330" i="2"/>
  <c r="AO404" i="2" s="1"/>
  <c r="AO110" i="2"/>
  <c r="AM134" i="2"/>
  <c r="AM133" i="2" s="1"/>
  <c r="AM132" i="2" s="1"/>
  <c r="AM131" i="2" s="1"/>
  <c r="AM125" i="2"/>
  <c r="AJ874" i="2"/>
  <c r="AO429" i="2" l="1"/>
  <c r="AO403" i="2"/>
  <c r="AK851" i="2"/>
  <c r="AK874" i="2" s="1"/>
  <c r="AK217" i="2"/>
  <c r="AO430" i="2"/>
  <c r="AL138" i="2"/>
  <c r="AL139" i="2" s="1"/>
  <c r="AM130" i="2"/>
  <c r="AM129" i="2" s="1"/>
  <c r="AM128" i="2" s="1"/>
  <c r="AM127" i="2" s="1"/>
  <c r="AM126" i="2" s="1"/>
  <c r="AM136" i="2" s="1"/>
  <c r="AN125" i="2"/>
  <c r="AN134" i="2"/>
  <c r="AN133" i="2" s="1"/>
  <c r="AN132" i="2" s="1"/>
  <c r="AN131" i="2" s="1"/>
  <c r="AJ973" i="2"/>
  <c r="AY344" i="2"/>
  <c r="AZ345" i="2"/>
  <c r="AU340" i="2"/>
  <c r="AW342" i="2"/>
  <c r="AR337" i="2"/>
  <c r="AV341" i="2"/>
  <c r="AP335" i="2"/>
  <c r="BB347" i="2"/>
  <c r="AT339" i="2"/>
  <c r="AQ336" i="2"/>
  <c r="BA346" i="2"/>
  <c r="BD349" i="2"/>
  <c r="BC348" i="2"/>
  <c r="AX343" i="2"/>
  <c r="AS338" i="2"/>
  <c r="AO334" i="2"/>
  <c r="AP35" i="2"/>
  <c r="AP327" i="2"/>
  <c r="AP333" i="2"/>
  <c r="AP380" i="2" s="1"/>
  <c r="AP330" i="2"/>
  <c r="AP404" i="2" s="1"/>
  <c r="AP117" i="2"/>
  <c r="AP119" i="2" s="1"/>
  <c r="AP110" i="2"/>
  <c r="AO164" i="2"/>
  <c r="AO123" i="2"/>
  <c r="AO143" i="2"/>
  <c r="AO160" i="2" s="1"/>
  <c r="AO198" i="2" s="1"/>
  <c r="AO112" i="2"/>
  <c r="AP429" i="2" l="1"/>
  <c r="AP403" i="2"/>
  <c r="AL851" i="2"/>
  <c r="AL874" i="2" s="1"/>
  <c r="AL217" i="2"/>
  <c r="AP430" i="2"/>
  <c r="AM138" i="2"/>
  <c r="AM139" i="2" s="1"/>
  <c r="AN130" i="2"/>
  <c r="AN129" i="2" s="1"/>
  <c r="AN128" i="2" s="1"/>
  <c r="AN127" i="2" s="1"/>
  <c r="AN126" i="2" s="1"/>
  <c r="AN136" i="2" s="1"/>
  <c r="BB346" i="2"/>
  <c r="AR336" i="2"/>
  <c r="AY343" i="2"/>
  <c r="AT338" i="2"/>
  <c r="AU339" i="2"/>
  <c r="BA345" i="2"/>
  <c r="BC347" i="2"/>
  <c r="AQ335" i="2"/>
  <c r="AS337" i="2"/>
  <c r="AW341" i="2"/>
  <c r="AZ344" i="2"/>
  <c r="BD348" i="2"/>
  <c r="AX342" i="2"/>
  <c r="AV340" i="2"/>
  <c r="AP334" i="2"/>
  <c r="AO134" i="2"/>
  <c r="AO133" i="2" s="1"/>
  <c r="AO132" i="2" s="1"/>
  <c r="AO131" i="2" s="1"/>
  <c r="AO125" i="2"/>
  <c r="AP164" i="2"/>
  <c r="AP123" i="2"/>
  <c r="AP143" i="2"/>
  <c r="AP160" i="2" s="1"/>
  <c r="AP198" i="2" s="1"/>
  <c r="AP112" i="2"/>
  <c r="AQ35" i="2"/>
  <c r="AQ333" i="2"/>
  <c r="AQ380" i="2" s="1"/>
  <c r="AQ327" i="2"/>
  <c r="AQ117" i="2"/>
  <c r="AQ119" i="2" s="1"/>
  <c r="AQ110" i="2"/>
  <c r="AQ330" i="2"/>
  <c r="AQ404" i="2" s="1"/>
  <c r="AK973" i="2"/>
  <c r="AQ429" i="2" l="1"/>
  <c r="AQ403" i="2"/>
  <c r="AM851" i="2"/>
  <c r="AM874" i="2" s="1"/>
  <c r="AM217" i="2"/>
  <c r="AQ430" i="2"/>
  <c r="AO130" i="2"/>
  <c r="AO129" i="2" s="1"/>
  <c r="AO128" i="2" s="1"/>
  <c r="AO127" i="2" s="1"/>
  <c r="AO126" i="2" s="1"/>
  <c r="AO136" i="2" s="1"/>
  <c r="AN138" i="2"/>
  <c r="AN139" i="2" s="1"/>
  <c r="AQ164" i="2"/>
  <c r="AQ123" i="2"/>
  <c r="AQ143" i="2"/>
  <c r="AQ160" i="2" s="1"/>
  <c r="AQ198" i="2" s="1"/>
  <c r="AQ112" i="2"/>
  <c r="AP134" i="2"/>
  <c r="AP133" i="2" s="1"/>
  <c r="AP132" i="2" s="1"/>
  <c r="AP131" i="2" s="1"/>
  <c r="AP125" i="2"/>
  <c r="AL973" i="2"/>
  <c r="BA344" i="2"/>
  <c r="AT337" i="2"/>
  <c r="AY342" i="2"/>
  <c r="AX341" i="2"/>
  <c r="AV339" i="2"/>
  <c r="AS336" i="2"/>
  <c r="BB345" i="2"/>
  <c r="AW340" i="2"/>
  <c r="BD347" i="2"/>
  <c r="AU338" i="2"/>
  <c r="AR335" i="2"/>
  <c r="BC346" i="2"/>
  <c r="AZ343" i="2"/>
  <c r="AQ334" i="2"/>
  <c r="AR35" i="2"/>
  <c r="AR327" i="2"/>
  <c r="AR117" i="2"/>
  <c r="AR119" i="2" s="1"/>
  <c r="AR330" i="2"/>
  <c r="AR404" i="2" s="1"/>
  <c r="AR333" i="2"/>
  <c r="AR380" i="2" s="1"/>
  <c r="AR110" i="2"/>
  <c r="AR429" i="2" l="1"/>
  <c r="AR403" i="2"/>
  <c r="AN851" i="2"/>
  <c r="AN874" i="2" s="1"/>
  <c r="AN217" i="2"/>
  <c r="AR430" i="2"/>
  <c r="AO138" i="2"/>
  <c r="AO139" i="2" s="1"/>
  <c r="AP130" i="2"/>
  <c r="AP129" i="2" s="1"/>
  <c r="AP128" i="2" s="1"/>
  <c r="AP127" i="2" s="1"/>
  <c r="AP126" i="2" s="1"/>
  <c r="AP138" i="2" s="1"/>
  <c r="AP139" i="2" s="1"/>
  <c r="AP217" i="2" s="1"/>
  <c r="BB344" i="2"/>
  <c r="AS335" i="2"/>
  <c r="AX340" i="2"/>
  <c r="AW339" i="2"/>
  <c r="BD346" i="2"/>
  <c r="AY341" i="2"/>
  <c r="BA343" i="2"/>
  <c r="BC345" i="2"/>
  <c r="AV338" i="2"/>
  <c r="AT336" i="2"/>
  <c r="AZ342" i="2"/>
  <c r="AU337" i="2"/>
  <c r="AR334" i="2"/>
  <c r="AM973" i="2"/>
  <c r="AQ134" i="2"/>
  <c r="AQ133" i="2" s="1"/>
  <c r="AQ132" i="2" s="1"/>
  <c r="AQ131" i="2" s="1"/>
  <c r="AQ125" i="2"/>
  <c r="AS35" i="2"/>
  <c r="AS327" i="2"/>
  <c r="AS333" i="2"/>
  <c r="AS380" i="2" s="1"/>
  <c r="AS117" i="2"/>
  <c r="AS119" i="2" s="1"/>
  <c r="AS110" i="2"/>
  <c r="AS330" i="2"/>
  <c r="AS404" i="2" s="1"/>
  <c r="AR164" i="2"/>
  <c r="AR123" i="2"/>
  <c r="AR143" i="2"/>
  <c r="AR160" i="2" s="1"/>
  <c r="AR198" i="2" s="1"/>
  <c r="AR112" i="2"/>
  <c r="AS429" i="2" l="1"/>
  <c r="AS403" i="2"/>
  <c r="AO851" i="2"/>
  <c r="AO874" i="2" s="1"/>
  <c r="AO217" i="2"/>
  <c r="AS430" i="2"/>
  <c r="AP136" i="2"/>
  <c r="AQ130" i="2"/>
  <c r="AQ129" i="2" s="1"/>
  <c r="AQ128" i="2" s="1"/>
  <c r="AQ127" i="2" s="1"/>
  <c r="AQ126" i="2" s="1"/>
  <c r="AQ136" i="2" s="1"/>
  <c r="AS164" i="2"/>
  <c r="AS123" i="2"/>
  <c r="AS143" i="2"/>
  <c r="AS160" i="2" s="1"/>
  <c r="AS198" i="2" s="1"/>
  <c r="AS112" i="2"/>
  <c r="AP851" i="2"/>
  <c r="AN973" i="2"/>
  <c r="AR134" i="2"/>
  <c r="AR133" i="2" s="1"/>
  <c r="AR132" i="2" s="1"/>
  <c r="AR131" i="2" s="1"/>
  <c r="AR125" i="2"/>
  <c r="AT327" i="2"/>
  <c r="AT35" i="2"/>
  <c r="AT333" i="2"/>
  <c r="AT380" i="2" s="1"/>
  <c r="AT117" i="2"/>
  <c r="AT119" i="2" s="1"/>
  <c r="AT330" i="2"/>
  <c r="AT404" i="2" s="1"/>
  <c r="AT110" i="2"/>
  <c r="AU336" i="2"/>
  <c r="BB343" i="2"/>
  <c r="BD345" i="2"/>
  <c r="AX339" i="2"/>
  <c r="AT335" i="2"/>
  <c r="AZ341" i="2"/>
  <c r="BA342" i="2"/>
  <c r="AY340" i="2"/>
  <c r="BC344" i="2"/>
  <c r="AV337" i="2"/>
  <c r="AW338" i="2"/>
  <c r="AS334" i="2"/>
  <c r="AT429" i="2" l="1"/>
  <c r="AT403" i="2"/>
  <c r="AT430" i="2"/>
  <c r="AQ138" i="2"/>
  <c r="AQ139" i="2" s="1"/>
  <c r="AR130" i="2"/>
  <c r="AR129" i="2" s="1"/>
  <c r="AR128" i="2" s="1"/>
  <c r="AR127" i="2" s="1"/>
  <c r="AR126" i="2" s="1"/>
  <c r="AR136" i="2" s="1"/>
  <c r="BB342" i="2"/>
  <c r="BD344" i="2"/>
  <c r="AX338" i="2"/>
  <c r="AU335" i="2"/>
  <c r="BC343" i="2"/>
  <c r="AY339" i="2"/>
  <c r="BA341" i="2"/>
  <c r="AW337" i="2"/>
  <c r="AV336" i="2"/>
  <c r="AZ340" i="2"/>
  <c r="AT334" i="2"/>
  <c r="AS134" i="2"/>
  <c r="AS133" i="2" s="1"/>
  <c r="AS132" i="2" s="1"/>
  <c r="AS131" i="2" s="1"/>
  <c r="AS125" i="2"/>
  <c r="AO973" i="2"/>
  <c r="AU35" i="2"/>
  <c r="AU327" i="2"/>
  <c r="AU117" i="2"/>
  <c r="AU119" i="2" s="1"/>
  <c r="AU333" i="2"/>
  <c r="AU380" i="2" s="1"/>
  <c r="AU330" i="2"/>
  <c r="AU404" i="2" s="1"/>
  <c r="AU110" i="2"/>
  <c r="AP874" i="2"/>
  <c r="AT164" i="2"/>
  <c r="AT123" i="2"/>
  <c r="AT143" i="2"/>
  <c r="AT160" i="2" s="1"/>
  <c r="AT198" i="2" s="1"/>
  <c r="AT112" i="2"/>
  <c r="AU429" i="2" l="1"/>
  <c r="AU403" i="2"/>
  <c r="AQ851" i="2"/>
  <c r="AQ874" i="2" s="1"/>
  <c r="AQ217" i="2"/>
  <c r="AU430" i="2"/>
  <c r="AR138" i="2"/>
  <c r="AR139" i="2" s="1"/>
  <c r="AS130" i="2"/>
  <c r="AS129" i="2" s="1"/>
  <c r="AS128" i="2" s="1"/>
  <c r="AS127" i="2" s="1"/>
  <c r="AS126" i="2" s="1"/>
  <c r="AS136" i="2" s="1"/>
  <c r="AP973" i="2"/>
  <c r="AT134" i="2"/>
  <c r="AT133" i="2" s="1"/>
  <c r="AT132" i="2" s="1"/>
  <c r="AT131" i="2" s="1"/>
  <c r="AT125" i="2"/>
  <c r="AV35" i="2"/>
  <c r="AV327" i="2"/>
  <c r="AV333" i="2"/>
  <c r="AV380" i="2" s="1"/>
  <c r="AV117" i="2"/>
  <c r="AV119" i="2" s="1"/>
  <c r="AV330" i="2"/>
  <c r="AV404" i="2" s="1"/>
  <c r="AV110" i="2"/>
  <c r="BD343" i="2"/>
  <c r="BC342" i="2"/>
  <c r="BB341" i="2"/>
  <c r="AW336" i="2"/>
  <c r="AX337" i="2"/>
  <c r="AY338" i="2"/>
  <c r="AV335" i="2"/>
  <c r="BA340" i="2"/>
  <c r="AZ339" i="2"/>
  <c r="AU334" i="2"/>
  <c r="AU164" i="2"/>
  <c r="AU123" i="2"/>
  <c r="AU143" i="2"/>
  <c r="AU160" i="2" s="1"/>
  <c r="AU198" i="2" s="1"/>
  <c r="AU112" i="2"/>
  <c r="AV429" i="2" l="1"/>
  <c r="AV403" i="2"/>
  <c r="AR851" i="2"/>
  <c r="AR874" i="2" s="1"/>
  <c r="AR217" i="2"/>
  <c r="AV430" i="2"/>
  <c r="AT130" i="2"/>
  <c r="AT129" i="2" s="1"/>
  <c r="AT128" i="2" s="1"/>
  <c r="AT127" i="2" s="1"/>
  <c r="AT126" i="2" s="1"/>
  <c r="AT136" i="2" s="1"/>
  <c r="AS138" i="2"/>
  <c r="AS139" i="2" s="1"/>
  <c r="AV164" i="2"/>
  <c r="AV123" i="2"/>
  <c r="AV143" i="2"/>
  <c r="AV160" i="2" s="1"/>
  <c r="AV198" i="2" s="1"/>
  <c r="AV112" i="2"/>
  <c r="AQ973" i="2"/>
  <c r="AU134" i="2"/>
  <c r="AU133" i="2" s="1"/>
  <c r="AU132" i="2" s="1"/>
  <c r="AU131" i="2" s="1"/>
  <c r="AU125" i="2"/>
  <c r="AW335" i="2"/>
  <c r="BC341" i="2"/>
  <c r="BB340" i="2"/>
  <c r="AZ338" i="2"/>
  <c r="AY337" i="2"/>
  <c r="BD342" i="2"/>
  <c r="BA339" i="2"/>
  <c r="AX336" i="2"/>
  <c r="AV334" i="2"/>
  <c r="AW35" i="2"/>
  <c r="AW327" i="2"/>
  <c r="AW117" i="2"/>
  <c r="AW119" i="2" s="1"/>
  <c r="AW333" i="2"/>
  <c r="AW380" i="2" s="1"/>
  <c r="AW330" i="2"/>
  <c r="AW404" i="2" s="1"/>
  <c r="AW110" i="2"/>
  <c r="AW429" i="2" l="1"/>
  <c r="AW403" i="2"/>
  <c r="AS851" i="2"/>
  <c r="AS874" i="2" s="1"/>
  <c r="AS217" i="2"/>
  <c r="AW378" i="2"/>
  <c r="AW430" i="2"/>
  <c r="AT138" i="2"/>
  <c r="AT139" i="2" s="1"/>
  <c r="AU130" i="2"/>
  <c r="AU129" i="2" s="1"/>
  <c r="AU128" i="2" s="1"/>
  <c r="AU127" i="2" s="1"/>
  <c r="AU126" i="2" s="1"/>
  <c r="AU136" i="2" s="1"/>
  <c r="AX333" i="2"/>
  <c r="AX380" i="2" s="1"/>
  <c r="AX35" i="2"/>
  <c r="AX327" i="2"/>
  <c r="AX117" i="2"/>
  <c r="AX119" i="2" s="1"/>
  <c r="AX330" i="2"/>
  <c r="AX404" i="2" s="1"/>
  <c r="AX110" i="2"/>
  <c r="AW164" i="2"/>
  <c r="AW123" i="2"/>
  <c r="AW143" i="2"/>
  <c r="AW160" i="2" s="1"/>
  <c r="AW198" i="2" s="1"/>
  <c r="AW112" i="2"/>
  <c r="BB339" i="2"/>
  <c r="AX335" i="2"/>
  <c r="BD341" i="2"/>
  <c r="AY336" i="2"/>
  <c r="BA338" i="2"/>
  <c r="AZ337" i="2"/>
  <c r="BC340" i="2"/>
  <c r="AW334" i="2"/>
  <c r="AW354" i="2" s="1"/>
  <c r="AR973" i="2"/>
  <c r="AV134" i="2"/>
  <c r="AV133" i="2" s="1"/>
  <c r="AV132" i="2" s="1"/>
  <c r="AV131" i="2" s="1"/>
  <c r="AV125" i="2"/>
  <c r="AX429" i="2" l="1"/>
  <c r="AX403" i="2"/>
  <c r="AT851" i="2"/>
  <c r="AT874" i="2" s="1"/>
  <c r="AT217" i="2"/>
  <c r="AW381" i="2"/>
  <c r="AX378" i="2"/>
  <c r="AX430" i="2"/>
  <c r="AU138" i="2"/>
  <c r="AU139" i="2" s="1"/>
  <c r="AV130" i="2"/>
  <c r="AV129" i="2" s="1"/>
  <c r="AV128" i="2" s="1"/>
  <c r="AV127" i="2" s="1"/>
  <c r="AV126" i="2" s="1"/>
  <c r="AV136" i="2" s="1"/>
  <c r="AW134" i="2"/>
  <c r="AW133" i="2" s="1"/>
  <c r="AW132" i="2" s="1"/>
  <c r="AW131" i="2" s="1"/>
  <c r="AW125" i="2"/>
  <c r="AX164" i="2"/>
  <c r="AX123" i="2"/>
  <c r="AX143" i="2"/>
  <c r="AX160" i="2" s="1"/>
  <c r="AX198" i="2" s="1"/>
  <c r="AX112" i="2"/>
  <c r="AS973" i="2"/>
  <c r="AY333" i="2"/>
  <c r="AY380" i="2" s="1"/>
  <c r="AY35" i="2"/>
  <c r="AY327" i="2"/>
  <c r="AY117" i="2"/>
  <c r="AY119" i="2" s="1"/>
  <c r="AY330" i="2"/>
  <c r="AY404" i="2" s="1"/>
  <c r="AY110" i="2"/>
  <c r="BB338" i="2"/>
  <c r="AZ336" i="2"/>
  <c r="BA337" i="2"/>
  <c r="BD340" i="2"/>
  <c r="BC339" i="2"/>
  <c r="AY335" i="2"/>
  <c r="AX334" i="2"/>
  <c r="AX354" i="2" s="1"/>
  <c r="AY429" i="2" l="1"/>
  <c r="AY403" i="2"/>
  <c r="AX381" i="2"/>
  <c r="AU851" i="2"/>
  <c r="AU874" i="2" s="1"/>
  <c r="AU217" i="2"/>
  <c r="AY378" i="2"/>
  <c r="AY430" i="2"/>
  <c r="AV138" i="2"/>
  <c r="AV139" i="2" s="1"/>
  <c r="AW130" i="2"/>
  <c r="AW129" i="2" s="1"/>
  <c r="AW128" i="2" s="1"/>
  <c r="AW127" i="2" s="1"/>
  <c r="AW126" i="2" s="1"/>
  <c r="AW136" i="2" s="1"/>
  <c r="AY164" i="2"/>
  <c r="AY123" i="2"/>
  <c r="AY143" i="2"/>
  <c r="AY160" i="2" s="1"/>
  <c r="AY198" i="2" s="1"/>
  <c r="AY112" i="2"/>
  <c r="AX134" i="2"/>
  <c r="AX133" i="2" s="1"/>
  <c r="AX132" i="2" s="1"/>
  <c r="AX131" i="2" s="1"/>
  <c r="AX125" i="2"/>
  <c r="AT973" i="2"/>
  <c r="AZ327" i="2"/>
  <c r="AZ35" i="2"/>
  <c r="AZ333" i="2"/>
  <c r="AZ380" i="2" s="1"/>
  <c r="AZ117" i="2"/>
  <c r="AZ119" i="2" s="1"/>
  <c r="AZ330" i="2"/>
  <c r="AZ404" i="2" s="1"/>
  <c r="AZ110" i="2"/>
  <c r="BB337" i="2"/>
  <c r="AZ335" i="2"/>
  <c r="BD339" i="2"/>
  <c r="BC338" i="2"/>
  <c r="BA336" i="2"/>
  <c r="AY334" i="2"/>
  <c r="AY354" i="2" s="1"/>
  <c r="AZ429" i="2" l="1"/>
  <c r="AZ403" i="2"/>
  <c r="AV851" i="2"/>
  <c r="AV874" i="2" s="1"/>
  <c r="AV217" i="2"/>
  <c r="AY381" i="2"/>
  <c r="AZ378" i="2"/>
  <c r="AZ430" i="2"/>
  <c r="AW138" i="2"/>
  <c r="AW139" i="2" s="1"/>
  <c r="AX130" i="2"/>
  <c r="AX129" i="2" s="1"/>
  <c r="AX128" i="2" s="1"/>
  <c r="AX127" i="2" s="1"/>
  <c r="AX126" i="2" s="1"/>
  <c r="AX136" i="2" s="1"/>
  <c r="BB336" i="2"/>
  <c r="BD338" i="2"/>
  <c r="BA335" i="2"/>
  <c r="BC337" i="2"/>
  <c r="AZ334" i="2"/>
  <c r="AZ354" i="2" s="1"/>
  <c r="AU973" i="2"/>
  <c r="AY134" i="2"/>
  <c r="AY133" i="2" s="1"/>
  <c r="AY132" i="2" s="1"/>
  <c r="AY131" i="2" s="1"/>
  <c r="AY125" i="2"/>
  <c r="BA117" i="2"/>
  <c r="BA119" i="2" s="1"/>
  <c r="BA35" i="2"/>
  <c r="BA333" i="2"/>
  <c r="BA380" i="2" s="1"/>
  <c r="BA327" i="2"/>
  <c r="BA330" i="2"/>
  <c r="BA404" i="2" s="1"/>
  <c r="BA110" i="2"/>
  <c r="AZ164" i="2"/>
  <c r="AZ123" i="2"/>
  <c r="AZ143" i="2"/>
  <c r="AZ160" i="2" s="1"/>
  <c r="AZ198" i="2" s="1"/>
  <c r="AZ112" i="2"/>
  <c r="BA429" i="2" l="1"/>
  <c r="BA403" i="2"/>
  <c r="AW851" i="2"/>
  <c r="AW874" i="2" s="1"/>
  <c r="AW217" i="2"/>
  <c r="AZ381" i="2"/>
  <c r="BA378" i="2"/>
  <c r="BA430" i="2"/>
  <c r="AY130" i="2"/>
  <c r="AY129" i="2" s="1"/>
  <c r="AY128" i="2" s="1"/>
  <c r="AY127" i="2" s="1"/>
  <c r="AY126" i="2" s="1"/>
  <c r="AY136" i="2" s="1"/>
  <c r="AX138" i="2"/>
  <c r="AX139" i="2" s="1"/>
  <c r="AV973" i="2"/>
  <c r="BB117" i="2"/>
  <c r="BB119" i="2" s="1"/>
  <c r="BB35" i="2"/>
  <c r="BB333" i="2"/>
  <c r="BB380" i="2" s="1"/>
  <c r="BB327" i="2"/>
  <c r="BB330" i="2"/>
  <c r="BB404" i="2" s="1"/>
  <c r="BB110" i="2"/>
  <c r="BA123" i="2"/>
  <c r="BA164" i="2"/>
  <c r="BA143" i="2"/>
  <c r="BA160" i="2" s="1"/>
  <c r="BA198" i="2" s="1"/>
  <c r="BA112" i="2"/>
  <c r="BB335" i="2"/>
  <c r="BD337" i="2"/>
  <c r="BC336" i="2"/>
  <c r="BA334" i="2"/>
  <c r="BA354" i="2" s="1"/>
  <c r="AZ134" i="2"/>
  <c r="AZ133" i="2" s="1"/>
  <c r="AZ132" i="2" s="1"/>
  <c r="AZ131" i="2" s="1"/>
  <c r="AZ125" i="2"/>
  <c r="BB429" i="2" l="1"/>
  <c r="BB403" i="2"/>
  <c r="AX851" i="2"/>
  <c r="AX874" i="2" s="1"/>
  <c r="AX217" i="2"/>
  <c r="BA381" i="2"/>
  <c r="BB378" i="2"/>
  <c r="BB430" i="2"/>
  <c r="AY138" i="2"/>
  <c r="AY139" i="2" s="1"/>
  <c r="AZ130" i="2"/>
  <c r="AZ129" i="2" s="1"/>
  <c r="AZ128" i="2" s="1"/>
  <c r="AZ127" i="2" s="1"/>
  <c r="AZ126" i="2" s="1"/>
  <c r="AZ136" i="2" s="1"/>
  <c r="BA134" i="2"/>
  <c r="BA133" i="2" s="1"/>
  <c r="BA132" i="2" s="1"/>
  <c r="BA131" i="2" s="1"/>
  <c r="BA125" i="2"/>
  <c r="BC333" i="2"/>
  <c r="BC380" i="2" s="1"/>
  <c r="BC35" i="2"/>
  <c r="BC327" i="2"/>
  <c r="BC330" i="2"/>
  <c r="BC404" i="2" s="1"/>
  <c r="BC117" i="2"/>
  <c r="BC119" i="2" s="1"/>
  <c r="BC110" i="2"/>
  <c r="BB164" i="2"/>
  <c r="BB123" i="2"/>
  <c r="BB143" i="2"/>
  <c r="BB160" i="2" s="1"/>
  <c r="BB198" i="2" s="1"/>
  <c r="BB112" i="2"/>
  <c r="AW973" i="2"/>
  <c r="BD336" i="2"/>
  <c r="BC335" i="2"/>
  <c r="BB334" i="2"/>
  <c r="BB354" i="2" s="1"/>
  <c r="BC429" i="2" l="1"/>
  <c r="BC403" i="2"/>
  <c r="AY851" i="2"/>
  <c r="AY874" i="2" s="1"/>
  <c r="AY217" i="2"/>
  <c r="BB381" i="2"/>
  <c r="BC378" i="2"/>
  <c r="BC430" i="2"/>
  <c r="AZ138" i="2"/>
  <c r="AZ139" i="2" s="1"/>
  <c r="BA130" i="2"/>
  <c r="BA129" i="2" s="1"/>
  <c r="BA128" i="2" s="1"/>
  <c r="BA127" i="2" s="1"/>
  <c r="BA126" i="2" s="1"/>
  <c r="BA136" i="2" s="1"/>
  <c r="BD35" i="2"/>
  <c r="BD327" i="2"/>
  <c r="BD333" i="2"/>
  <c r="BD117" i="2"/>
  <c r="BD330" i="2"/>
  <c r="BD404" i="2" s="1"/>
  <c r="BD110" i="2"/>
  <c r="D8" i="18"/>
  <c r="C33" i="2"/>
  <c r="BB134" i="2"/>
  <c r="BB133" i="2" s="1"/>
  <c r="BB132" i="2" s="1"/>
  <c r="BB131" i="2" s="1"/>
  <c r="BB125" i="2"/>
  <c r="BC164" i="2"/>
  <c r="BC123" i="2"/>
  <c r="BC143" i="2"/>
  <c r="BC160" i="2" s="1"/>
  <c r="BC198" i="2" s="1"/>
  <c r="BC112" i="2"/>
  <c r="BD335" i="2"/>
  <c r="BC334" i="2"/>
  <c r="BC354" i="2" s="1"/>
  <c r="AX973" i="2"/>
  <c r="BD429" i="2" l="1"/>
  <c r="C429" i="2" s="1"/>
  <c r="BD403" i="2"/>
  <c r="AZ851" i="2"/>
  <c r="AZ874" i="2" s="1"/>
  <c r="AZ217" i="2"/>
  <c r="BC381" i="2"/>
  <c r="BD378" i="2"/>
  <c r="BD380" i="2"/>
  <c r="BD430" i="2"/>
  <c r="C430" i="2" s="1"/>
  <c r="BA138" i="2"/>
  <c r="BA139" i="2" s="1"/>
  <c r="BB130" i="2"/>
  <c r="BB129" i="2" s="1"/>
  <c r="BB128" i="2" s="1"/>
  <c r="BB127" i="2" s="1"/>
  <c r="BB126" i="2" s="1"/>
  <c r="BB138" i="2" s="1"/>
  <c r="BB139" i="2" s="1"/>
  <c r="BB217" i="2" s="1"/>
  <c r="T34" i="2"/>
  <c r="V34" i="2"/>
  <c r="AJ34" i="2"/>
  <c r="AI34" i="2"/>
  <c r="AQ34" i="2"/>
  <c r="AE34" i="2"/>
  <c r="AL34" i="2"/>
  <c r="X34" i="2"/>
  <c r="S34" i="2"/>
  <c r="AV34" i="2"/>
  <c r="Q34" i="2"/>
  <c r="AC34" i="2"/>
  <c r="AH34" i="2"/>
  <c r="AM34" i="2"/>
  <c r="J34" i="2"/>
  <c r="AF34" i="2"/>
  <c r="AG34" i="2"/>
  <c r="K34" i="2"/>
  <c r="L34" i="2"/>
  <c r="Y34" i="2"/>
  <c r="AD34" i="2"/>
  <c r="AX34" i="2"/>
  <c r="P34" i="2"/>
  <c r="AZ34" i="2"/>
  <c r="BA34" i="2"/>
  <c r="AS34" i="2"/>
  <c r="AP34" i="2"/>
  <c r="AN34" i="2"/>
  <c r="Z34" i="2"/>
  <c r="AO34" i="2"/>
  <c r="U34" i="2"/>
  <c r="O34" i="2"/>
  <c r="BC34" i="2"/>
  <c r="M34" i="2"/>
  <c r="R34" i="2"/>
  <c r="AA34" i="2"/>
  <c r="W34" i="2"/>
  <c r="AK34" i="2"/>
  <c r="N34" i="2"/>
  <c r="I34" i="2"/>
  <c r="AU34" i="2"/>
  <c r="AT34" i="2"/>
  <c r="BD34" i="2"/>
  <c r="BD78" i="2" s="1"/>
  <c r="BB34" i="2"/>
  <c r="AR34" i="2"/>
  <c r="AY34" i="2"/>
  <c r="AW34" i="2"/>
  <c r="AB34" i="2"/>
  <c r="G34" i="2"/>
  <c r="H34" i="2"/>
  <c r="BD119" i="2"/>
  <c r="C119" i="2" s="1"/>
  <c r="C117" i="2"/>
  <c r="BD164" i="2"/>
  <c r="BD123" i="2"/>
  <c r="BD143" i="2"/>
  <c r="BD160" i="2" s="1"/>
  <c r="BD112" i="2"/>
  <c r="C110" i="2"/>
  <c r="BD334" i="2"/>
  <c r="C327" i="2"/>
  <c r="BC134" i="2"/>
  <c r="BC133" i="2" s="1"/>
  <c r="BC132" i="2" s="1"/>
  <c r="BC131" i="2" s="1"/>
  <c r="BC125" i="2"/>
  <c r="AY973" i="2"/>
  <c r="C330" i="2"/>
  <c r="BD198" i="2" l="1"/>
  <c r="C198" i="2" s="1"/>
  <c r="C160" i="2"/>
  <c r="AZ78" i="2"/>
  <c r="BB78" i="2"/>
  <c r="AY78" i="2"/>
  <c r="I78" i="2"/>
  <c r="O78" i="2"/>
  <c r="AW78" i="2"/>
  <c r="N78" i="2"/>
  <c r="P78" i="2"/>
  <c r="J78" i="2"/>
  <c r="AR78" i="2"/>
  <c r="AQ78" i="2"/>
  <c r="L78" i="2"/>
  <c r="Q78" i="2"/>
  <c r="H78" i="2"/>
  <c r="AT78" i="2"/>
  <c r="M78" i="2"/>
  <c r="AS78" i="2"/>
  <c r="K78" i="2"/>
  <c r="AV78" i="2"/>
  <c r="AX78" i="2"/>
  <c r="G78" i="2"/>
  <c r="AU78" i="2"/>
  <c r="BC78" i="2"/>
  <c r="BA78" i="2"/>
  <c r="BA851" i="2"/>
  <c r="BA874" i="2" s="1"/>
  <c r="BA217" i="2"/>
  <c r="BB136" i="2"/>
  <c r="BC130" i="2"/>
  <c r="BC129" i="2" s="1"/>
  <c r="BC128" i="2" s="1"/>
  <c r="BC127" i="2" s="1"/>
  <c r="BC126" i="2" s="1"/>
  <c r="BC138" i="2" s="1"/>
  <c r="BC139" i="2" s="1"/>
  <c r="BC217" i="2" s="1"/>
  <c r="BB851" i="2"/>
  <c r="AZ973" i="2"/>
  <c r="G80" i="2"/>
  <c r="BD354" i="2"/>
  <c r="BD381" i="2" s="1"/>
  <c r="BD134" i="2"/>
  <c r="BD133" i="2" s="1"/>
  <c r="BD132" i="2" s="1"/>
  <c r="BD131" i="2" s="1"/>
  <c r="BD125" i="2"/>
  <c r="C112" i="2"/>
  <c r="C34" i="2"/>
  <c r="G407" i="2" l="1"/>
  <c r="G483" i="2"/>
  <c r="G433" i="2"/>
  <c r="BC136" i="2"/>
  <c r="BD130" i="2"/>
  <c r="BD129" i="2" s="1"/>
  <c r="BD128" i="2" s="1"/>
  <c r="BD127" i="2" s="1"/>
  <c r="BD126" i="2" s="1"/>
  <c r="BD138" i="2" s="1"/>
  <c r="BD139" i="2" s="1"/>
  <c r="BD217" i="2" s="1"/>
  <c r="BB874" i="2"/>
  <c r="G813" i="2"/>
  <c r="G81" i="2"/>
  <c r="BC851" i="2"/>
  <c r="BA973" i="2"/>
  <c r="BD136" i="2" l="1"/>
  <c r="A136" i="2" s="1"/>
  <c r="BB973" i="2"/>
  <c r="BD851" i="2"/>
  <c r="C139" i="2"/>
  <c r="H79" i="2"/>
  <c r="H77" i="2"/>
  <c r="BC874" i="2"/>
  <c r="G834" i="2"/>
  <c r="G914" i="2"/>
  <c r="G921" i="2" l="1"/>
  <c r="BD874" i="2"/>
  <c r="C851" i="2"/>
  <c r="H80" i="2"/>
  <c r="H433" i="2" s="1"/>
  <c r="BC973" i="2"/>
  <c r="H407" i="2" l="1"/>
  <c r="H215" i="2"/>
  <c r="H483" i="2"/>
  <c r="BD973" i="2"/>
  <c r="C874" i="2"/>
  <c r="H81" i="2"/>
  <c r="H813" i="2"/>
  <c r="I79" i="2" l="1"/>
  <c r="I77" i="2"/>
  <c r="C973" i="2"/>
  <c r="F997" i="2" s="1"/>
  <c r="H834" i="2"/>
  <c r="H914" i="2"/>
  <c r="H921" i="2" l="1"/>
  <c r="I80" i="2"/>
  <c r="I407" i="2" s="1"/>
  <c r="C202" i="18"/>
  <c r="I215" i="2" l="1"/>
  <c r="I433" i="2"/>
  <c r="I483" i="2"/>
  <c r="I813" i="2"/>
  <c r="I81" i="2"/>
  <c r="J79" i="2" l="1"/>
  <c r="J77" i="2"/>
  <c r="I834" i="2"/>
  <c r="I914" i="2"/>
  <c r="I921" i="2" l="1"/>
  <c r="J80" i="2"/>
  <c r="J407" i="2" s="1"/>
  <c r="J215" i="2" l="1"/>
  <c r="J433" i="2"/>
  <c r="J483" i="2"/>
  <c r="J81" i="2"/>
  <c r="K77" i="2" s="1"/>
  <c r="J813" i="2"/>
  <c r="K79" i="2" l="1"/>
  <c r="J834" i="2"/>
  <c r="J914" i="2"/>
  <c r="K80" i="2" l="1"/>
  <c r="K433" i="2" s="1"/>
  <c r="J921" i="2"/>
  <c r="K407" i="2" l="1"/>
  <c r="K813" i="2"/>
  <c r="K914" i="2" s="1"/>
  <c r="K81" i="2"/>
  <c r="L77" i="2" s="1"/>
  <c r="K483" i="2"/>
  <c r="K215" i="2"/>
  <c r="L79" i="2" l="1"/>
  <c r="K834" i="2"/>
  <c r="K921" i="2"/>
  <c r="L80" i="2" l="1"/>
  <c r="L215" i="2" s="1"/>
  <c r="L407" i="2" l="1"/>
  <c r="L433" i="2"/>
  <c r="L483" i="2"/>
  <c r="L813" i="2"/>
  <c r="L914" i="2" s="1"/>
  <c r="L921" i="2" s="1"/>
  <c r="L81" i="2"/>
  <c r="M79" i="2" s="1"/>
  <c r="L834" i="2" l="1"/>
  <c r="M77" i="2"/>
  <c r="M80" i="2" s="1"/>
  <c r="M215" i="2" s="1"/>
  <c r="M407" i="2" l="1"/>
  <c r="M483" i="2"/>
  <c r="M813" i="2"/>
  <c r="M834" i="2" s="1"/>
  <c r="M433" i="2"/>
  <c r="M81" i="2"/>
  <c r="N77" i="2" s="1"/>
  <c r="N79" i="2" l="1"/>
  <c r="M914" i="2"/>
  <c r="M921" i="2" s="1"/>
  <c r="N80" i="2" l="1"/>
  <c r="N215" i="2" s="1"/>
  <c r="N407" i="2" l="1"/>
  <c r="N81" i="2"/>
  <c r="O77" i="2" s="1"/>
  <c r="N813" i="2"/>
  <c r="N834" i="2" s="1"/>
  <c r="N483" i="2"/>
  <c r="N433" i="2"/>
  <c r="N914" i="2" l="1"/>
  <c r="N921" i="2" s="1"/>
  <c r="O79" i="2"/>
  <c r="O80" i="2" l="1"/>
  <c r="O407" i="2" s="1"/>
  <c r="O81" i="2" l="1"/>
  <c r="P79" i="2" s="1"/>
  <c r="O483" i="2"/>
  <c r="O813" i="2"/>
  <c r="O914" i="2" s="1"/>
  <c r="O921" i="2" s="1"/>
  <c r="O433" i="2"/>
  <c r="O215" i="2"/>
  <c r="P77" i="2" l="1"/>
  <c r="P80" i="2" s="1"/>
  <c r="P407" i="2" s="1"/>
  <c r="O834" i="2"/>
  <c r="P215" i="2" l="1"/>
  <c r="P433" i="2"/>
  <c r="P483" i="2"/>
  <c r="P81" i="2"/>
  <c r="Q79" i="2" s="1"/>
  <c r="P813" i="2"/>
  <c r="Q77" i="2" l="1"/>
  <c r="Q80" i="2" s="1"/>
  <c r="Q407" i="2" s="1"/>
  <c r="P834" i="2"/>
  <c r="P914" i="2"/>
  <c r="P921" i="2" s="1"/>
  <c r="Q215" i="2" l="1"/>
  <c r="Q433" i="2"/>
  <c r="Q483" i="2"/>
  <c r="Q813" i="2"/>
  <c r="Q914" i="2" s="1"/>
  <c r="Q921" i="2" s="1"/>
  <c r="Q81" i="2"/>
  <c r="R79" i="2" s="1"/>
  <c r="Q834" i="2" l="1"/>
  <c r="R77" i="2"/>
  <c r="R80" i="2" l="1"/>
  <c r="E240" i="13"/>
  <c r="B225" i="13"/>
  <c r="D9" i="18" s="1"/>
  <c r="D10" i="18" s="1"/>
  <c r="G54" i="2" l="1"/>
  <c r="G24" i="2"/>
  <c r="G31" i="2" s="1"/>
  <c r="C20" i="2"/>
  <c r="G332" i="2" l="1"/>
  <c r="K333" i="2" s="1"/>
  <c r="G215" i="2"/>
  <c r="G65" i="2"/>
  <c r="G480" i="2"/>
  <c r="C480" i="2" s="1"/>
  <c r="G58" i="2"/>
  <c r="G25" i="2"/>
  <c r="C54" i="2"/>
  <c r="G239" i="2"/>
  <c r="C24" i="2"/>
  <c r="H31" i="2"/>
  <c r="E735" i="2" l="1"/>
  <c r="E678" i="2"/>
  <c r="AP27" i="2"/>
  <c r="C28" i="2"/>
  <c r="D23" i="18" s="1"/>
  <c r="H65" i="2"/>
  <c r="K380" i="2"/>
  <c r="Z349" i="2"/>
  <c r="V345" i="2"/>
  <c r="M336" i="2"/>
  <c r="P339" i="2"/>
  <c r="R341" i="2"/>
  <c r="AA350" i="2"/>
  <c r="T343" i="2"/>
  <c r="Q340" i="2"/>
  <c r="L335" i="2"/>
  <c r="Y348" i="2"/>
  <c r="U344" i="2"/>
  <c r="O338" i="2"/>
  <c r="K334" i="2"/>
  <c r="AD353" i="2"/>
  <c r="AB351" i="2"/>
  <c r="W346" i="2"/>
  <c r="S342" i="2"/>
  <c r="N337" i="2"/>
  <c r="X347" i="2"/>
  <c r="AC352" i="2"/>
  <c r="M333" i="2"/>
  <c r="M380" i="2" s="1"/>
  <c r="J333" i="2"/>
  <c r="C58" i="2"/>
  <c r="C357" i="2"/>
  <c r="R333" i="2"/>
  <c r="R380" i="2" s="1"/>
  <c r="L333" i="2"/>
  <c r="L380" i="2" s="1"/>
  <c r="P333" i="2"/>
  <c r="P380" i="2" s="1"/>
  <c r="AC333" i="2"/>
  <c r="AC380" i="2" s="1"/>
  <c r="Q333" i="2"/>
  <c r="Q380" i="2" s="1"/>
  <c r="Y333" i="2"/>
  <c r="Y380" i="2" s="1"/>
  <c r="H35" i="2"/>
  <c r="G59" i="2"/>
  <c r="C62" i="2" s="1"/>
  <c r="AO27" i="2"/>
  <c r="AR27" i="2"/>
  <c r="AF27" i="2"/>
  <c r="O27" i="2"/>
  <c r="M27" i="2"/>
  <c r="AU27" i="2"/>
  <c r="AW27" i="2"/>
  <c r="AQ27" i="2"/>
  <c r="W27" i="2"/>
  <c r="C25" i="2"/>
  <c r="A25" i="2" s="1"/>
  <c r="X27" i="2"/>
  <c r="BB27" i="2"/>
  <c r="AJ27" i="2"/>
  <c r="J27" i="2"/>
  <c r="H27" i="2"/>
  <c r="N27" i="2"/>
  <c r="G39" i="2"/>
  <c r="G40" i="2" s="1"/>
  <c r="G27" i="2"/>
  <c r="AK27" i="2"/>
  <c r="AM27" i="2"/>
  <c r="BC27" i="2"/>
  <c r="AI27" i="2"/>
  <c r="Y27" i="2"/>
  <c r="V27" i="2"/>
  <c r="AH27" i="2"/>
  <c r="AS27" i="2"/>
  <c r="BD27" i="2"/>
  <c r="Z27" i="2"/>
  <c r="AC27" i="2"/>
  <c r="AA27" i="2"/>
  <c r="G923" i="2"/>
  <c r="C923" i="2" s="1"/>
  <c r="C27" i="2"/>
  <c r="F1119" i="2" s="1"/>
  <c r="AV27" i="2"/>
  <c r="AG27" i="2"/>
  <c r="BA27" i="2"/>
  <c r="I27" i="2"/>
  <c r="AL27" i="2"/>
  <c r="AZ27" i="2"/>
  <c r="AD27" i="2"/>
  <c r="AN27" i="2"/>
  <c r="AT27" i="2"/>
  <c r="AB27" i="2"/>
  <c r="K27" i="2"/>
  <c r="AX27" i="2"/>
  <c r="S27" i="2"/>
  <c r="AE27" i="2"/>
  <c r="L27" i="2"/>
  <c r="R27" i="2"/>
  <c r="U27" i="2"/>
  <c r="Q27" i="2"/>
  <c r="T27" i="2"/>
  <c r="AY27" i="2"/>
  <c r="P27" i="2"/>
  <c r="I31" i="2"/>
  <c r="D710" i="2" l="1"/>
  <c r="AR736" i="2"/>
  <c r="D715" i="2"/>
  <c r="D742" i="2"/>
  <c r="BC736" i="2"/>
  <c r="H736" i="2"/>
  <c r="X736" i="2"/>
  <c r="D707" i="2"/>
  <c r="D706" i="2"/>
  <c r="D705" i="2"/>
  <c r="D708" i="2"/>
  <c r="D756" i="2"/>
  <c r="D760" i="2"/>
  <c r="G736" i="2"/>
  <c r="I736" i="2"/>
  <c r="Q736" i="2"/>
  <c r="D741" i="2"/>
  <c r="Y736" i="2"/>
  <c r="D754" i="2"/>
  <c r="AG736" i="2"/>
  <c r="AO736" i="2"/>
  <c r="AW736" i="2"/>
  <c r="J736" i="2"/>
  <c r="R736" i="2"/>
  <c r="Z736" i="2"/>
  <c r="AH736" i="2"/>
  <c r="AP736" i="2"/>
  <c r="AX736" i="2"/>
  <c r="O736" i="2"/>
  <c r="AU736" i="2"/>
  <c r="K736" i="2"/>
  <c r="S736" i="2"/>
  <c r="AA736" i="2"/>
  <c r="AI736" i="2"/>
  <c r="AQ736" i="2"/>
  <c r="AY736" i="2"/>
  <c r="L736" i="2"/>
  <c r="T736" i="2"/>
  <c r="AB736" i="2"/>
  <c r="AJ736" i="2"/>
  <c r="D702" i="2"/>
  <c r="D703" i="2"/>
  <c r="D698" i="2"/>
  <c r="AC736" i="2"/>
  <c r="D699" i="2"/>
  <c r="AZ736" i="2"/>
  <c r="D696" i="2"/>
  <c r="BD736" i="2"/>
  <c r="D697" i="2"/>
  <c r="W736" i="2"/>
  <c r="AK736" i="2"/>
  <c r="AS736" i="2"/>
  <c r="BA736" i="2"/>
  <c r="N736" i="2"/>
  <c r="AM736" i="2"/>
  <c r="V736" i="2"/>
  <c r="M736" i="2"/>
  <c r="AL736" i="2"/>
  <c r="U736" i="2"/>
  <c r="AT736" i="2"/>
  <c r="BB736" i="2"/>
  <c r="AE736" i="2"/>
  <c r="D693" i="2"/>
  <c r="D692" i="2"/>
  <c r="P736" i="2"/>
  <c r="AF736" i="2"/>
  <c r="AN736" i="2"/>
  <c r="AD736" i="2"/>
  <c r="AV736" i="2"/>
  <c r="D685" i="2"/>
  <c r="D684" i="2"/>
  <c r="D683" i="2"/>
  <c r="D764" i="2"/>
  <c r="D740" i="2"/>
  <c r="D763" i="2"/>
  <c r="D769" i="2"/>
  <c r="D762" i="2"/>
  <c r="BB679" i="2"/>
  <c r="BA679" i="2"/>
  <c r="AS679" i="2"/>
  <c r="AK679" i="2"/>
  <c r="AC679" i="2"/>
  <c r="U679" i="2"/>
  <c r="M679" i="2"/>
  <c r="AP679" i="2"/>
  <c r="AO679" i="2"/>
  <c r="Q679" i="2"/>
  <c r="N679" i="2"/>
  <c r="AZ679" i="2"/>
  <c r="AR679" i="2"/>
  <c r="AJ679" i="2"/>
  <c r="AB679" i="2"/>
  <c r="T679" i="2"/>
  <c r="L679" i="2"/>
  <c r="AH679" i="2"/>
  <c r="R679" i="2"/>
  <c r="AW679" i="2"/>
  <c r="AG679" i="2"/>
  <c r="I679" i="2"/>
  <c r="AD679" i="2"/>
  <c r="AY679" i="2"/>
  <c r="AQ679" i="2"/>
  <c r="AI679" i="2"/>
  <c r="AA679" i="2"/>
  <c r="S679" i="2"/>
  <c r="K679" i="2"/>
  <c r="AX679" i="2"/>
  <c r="Z679" i="2"/>
  <c r="J679" i="2"/>
  <c r="Y679" i="2"/>
  <c r="AL679" i="2"/>
  <c r="BD679" i="2"/>
  <c r="AV679" i="2"/>
  <c r="AN679" i="2"/>
  <c r="AF679" i="2"/>
  <c r="X679" i="2"/>
  <c r="P679" i="2"/>
  <c r="H679" i="2"/>
  <c r="BC679" i="2"/>
  <c r="AU679" i="2"/>
  <c r="AM679" i="2"/>
  <c r="AE679" i="2"/>
  <c r="W679" i="2"/>
  <c r="O679" i="2"/>
  <c r="G679" i="2"/>
  <c r="AT679" i="2"/>
  <c r="V679" i="2"/>
  <c r="D24" i="18"/>
  <c r="F1115" i="2"/>
  <c r="G84" i="2"/>
  <c r="I65" i="2"/>
  <c r="AB349" i="2"/>
  <c r="Z347" i="2"/>
  <c r="N335" i="2"/>
  <c r="T341" i="2"/>
  <c r="U342" i="2"/>
  <c r="AF353" i="2"/>
  <c r="AD351" i="2"/>
  <c r="R339" i="2"/>
  <c r="M334" i="2"/>
  <c r="O336" i="2"/>
  <c r="Q338" i="2"/>
  <c r="Y346" i="2"/>
  <c r="AE352" i="2"/>
  <c r="AC350" i="2"/>
  <c r="AA348" i="2"/>
  <c r="V343" i="2"/>
  <c r="P337" i="2"/>
  <c r="W344" i="2"/>
  <c r="X345" i="2"/>
  <c r="S340" i="2"/>
  <c r="J380" i="2"/>
  <c r="N338" i="2"/>
  <c r="O339" i="2"/>
  <c r="U345" i="2"/>
  <c r="Q341" i="2"/>
  <c r="X348" i="2"/>
  <c r="M337" i="2"/>
  <c r="L336" i="2"/>
  <c r="T344" i="2"/>
  <c r="AC353" i="2"/>
  <c r="J334" i="2"/>
  <c r="R342" i="2"/>
  <c r="W347" i="2"/>
  <c r="V346" i="2"/>
  <c r="K335" i="2"/>
  <c r="Y349" i="2"/>
  <c r="Z350" i="2"/>
  <c r="AA351" i="2"/>
  <c r="S343" i="2"/>
  <c r="P340" i="2"/>
  <c r="AB352" i="2"/>
  <c r="AF348" i="2"/>
  <c r="V339" i="2"/>
  <c r="AT378" i="2"/>
  <c r="AR378" i="2"/>
  <c r="AV378" i="2"/>
  <c r="AS378" i="2"/>
  <c r="AL378" i="2"/>
  <c r="AU378" i="2"/>
  <c r="AQ378" i="2"/>
  <c r="AO378" i="2"/>
  <c r="AJ378" i="2"/>
  <c r="AP378" i="2"/>
  <c r="S337" i="2"/>
  <c r="AD346" i="2"/>
  <c r="AE347" i="2"/>
  <c r="X340" i="2"/>
  <c r="AA343" i="2"/>
  <c r="AG349" i="2"/>
  <c r="V338" i="2"/>
  <c r="AC345" i="2"/>
  <c r="AI351" i="2"/>
  <c r="Y341" i="2"/>
  <c r="R334" i="2"/>
  <c r="AH350" i="2"/>
  <c r="AB344" i="2"/>
  <c r="Z342" i="2"/>
  <c r="T336" i="2"/>
  <c r="W339" i="2"/>
  <c r="U337" i="2"/>
  <c r="AK353" i="2"/>
  <c r="S335" i="2"/>
  <c r="AJ352" i="2"/>
  <c r="X346" i="2"/>
  <c r="N336" i="2"/>
  <c r="AC351" i="2"/>
  <c r="Q339" i="2"/>
  <c r="AE353" i="2"/>
  <c r="V344" i="2"/>
  <c r="Y347" i="2"/>
  <c r="AA349" i="2"/>
  <c r="W345" i="2"/>
  <c r="R340" i="2"/>
  <c r="S341" i="2"/>
  <c r="T342" i="2"/>
  <c r="M335" i="2"/>
  <c r="U343" i="2"/>
  <c r="AD352" i="2"/>
  <c r="O337" i="2"/>
  <c r="AB350" i="2"/>
  <c r="L334" i="2"/>
  <c r="Z348" i="2"/>
  <c r="P338" i="2"/>
  <c r="P334" i="2"/>
  <c r="R336" i="2"/>
  <c r="AE349" i="2"/>
  <c r="X342" i="2"/>
  <c r="Q335" i="2"/>
  <c r="AD348" i="2"/>
  <c r="AG351" i="2"/>
  <c r="AA345" i="2"/>
  <c r="W341" i="2"/>
  <c r="V340" i="2"/>
  <c r="T338" i="2"/>
  <c r="U339" i="2"/>
  <c r="AC347" i="2"/>
  <c r="Z344" i="2"/>
  <c r="AH352" i="2"/>
  <c r="AB346" i="2"/>
  <c r="AF350" i="2"/>
  <c r="AI353" i="2"/>
  <c r="Y343" i="2"/>
  <c r="AH339" i="2"/>
  <c r="AT351" i="2"/>
  <c r="AT354" i="2" s="1"/>
  <c r="AQ348" i="2"/>
  <c r="AU352" i="2"/>
  <c r="AU354" i="2" s="1"/>
  <c r="AP347" i="2"/>
  <c r="AI340" i="2"/>
  <c r="AK342" i="2"/>
  <c r="AN345" i="2"/>
  <c r="AS350" i="2"/>
  <c r="AS354" i="2" s="1"/>
  <c r="AL343" i="2"/>
  <c r="AG338" i="2"/>
  <c r="AF337" i="2"/>
  <c r="AJ341" i="2"/>
  <c r="AM344" i="2"/>
  <c r="AO346" i="2"/>
  <c r="AE336" i="2"/>
  <c r="AV353" i="2"/>
  <c r="AC334" i="2"/>
  <c r="AR349" i="2"/>
  <c r="AD335" i="2"/>
  <c r="AB345" i="2"/>
  <c r="Q334" i="2"/>
  <c r="AD347" i="2"/>
  <c r="T337" i="2"/>
  <c r="AF349" i="2"/>
  <c r="R335" i="2"/>
  <c r="S336" i="2"/>
  <c r="AI352" i="2"/>
  <c r="W340" i="2"/>
  <c r="AG350" i="2"/>
  <c r="AC346" i="2"/>
  <c r="AA344" i="2"/>
  <c r="AE348" i="2"/>
  <c r="AH351" i="2"/>
  <c r="Z343" i="2"/>
  <c r="U338" i="2"/>
  <c r="Y342" i="2"/>
  <c r="X341" i="2"/>
  <c r="AJ353" i="2"/>
  <c r="AB337" i="2"/>
  <c r="AC338" i="2"/>
  <c r="AH343" i="2"/>
  <c r="AM348" i="2"/>
  <c r="AO350" i="2"/>
  <c r="AG342" i="2"/>
  <c r="AN349" i="2"/>
  <c r="AL347" i="2"/>
  <c r="AE340" i="2"/>
  <c r="AR353" i="2"/>
  <c r="AJ345" i="2"/>
  <c r="AD339" i="2"/>
  <c r="Z335" i="2"/>
  <c r="AP351" i="2"/>
  <c r="AA336" i="2"/>
  <c r="AI344" i="2"/>
  <c r="AK346" i="2"/>
  <c r="AQ352" i="2"/>
  <c r="Y334" i="2"/>
  <c r="AF341" i="2"/>
  <c r="K61" i="2"/>
  <c r="I333" i="2"/>
  <c r="I380" i="2" s="1"/>
  <c r="H333" i="2"/>
  <c r="H380" i="2" s="1"/>
  <c r="C332" i="2"/>
  <c r="AW61" i="2"/>
  <c r="AP61" i="2"/>
  <c r="R61" i="2"/>
  <c r="C61" i="2"/>
  <c r="H61" i="2"/>
  <c r="G916" i="2"/>
  <c r="C916" i="2" s="1"/>
  <c r="BB61" i="2"/>
  <c r="AU61" i="2"/>
  <c r="AM61" i="2"/>
  <c r="AN61" i="2"/>
  <c r="AB61" i="2"/>
  <c r="M61" i="2"/>
  <c r="AC61" i="2"/>
  <c r="Q61" i="2"/>
  <c r="AK61" i="2"/>
  <c r="AI61" i="2"/>
  <c r="Y61" i="2"/>
  <c r="AH61" i="2"/>
  <c r="I61" i="2"/>
  <c r="G927" i="2"/>
  <c r="G932" i="2" s="1"/>
  <c r="J61" i="2"/>
  <c r="U61" i="2"/>
  <c r="C59" i="2"/>
  <c r="A59" i="2" s="1"/>
  <c r="BC61" i="2"/>
  <c r="T61" i="2"/>
  <c r="AE61" i="2"/>
  <c r="O61" i="2"/>
  <c r="W61" i="2"/>
  <c r="AY61" i="2"/>
  <c r="AS61" i="2"/>
  <c r="V61" i="2"/>
  <c r="Z61" i="2"/>
  <c r="AT61" i="2"/>
  <c r="AF61" i="2"/>
  <c r="AJ61" i="2"/>
  <c r="S61" i="2"/>
  <c r="BD61" i="2"/>
  <c r="AD61" i="2"/>
  <c r="G61" i="2"/>
  <c r="AG61" i="2"/>
  <c r="L61" i="2"/>
  <c r="AL61" i="2"/>
  <c r="AX61" i="2"/>
  <c r="AO61" i="2"/>
  <c r="AV61" i="2"/>
  <c r="N61" i="2"/>
  <c r="AA61" i="2"/>
  <c r="P61" i="2"/>
  <c r="AQ61" i="2"/>
  <c r="BA61" i="2"/>
  <c r="AZ61" i="2"/>
  <c r="AR61" i="2"/>
  <c r="X61" i="2"/>
  <c r="C39" i="2"/>
  <c r="F1256" i="2"/>
  <c r="J31" i="2"/>
  <c r="I35" i="2"/>
  <c r="H40" i="2"/>
  <c r="AV354" i="2" l="1"/>
  <c r="AV381" i="2" s="1"/>
  <c r="H84" i="2"/>
  <c r="J35" i="2"/>
  <c r="J65" i="2"/>
  <c r="AT381" i="2"/>
  <c r="AS381" i="2"/>
  <c r="AU383" i="2"/>
  <c r="AD383" i="2"/>
  <c r="AZ383" i="2"/>
  <c r="AA383" i="2"/>
  <c r="AY383" i="2"/>
  <c r="BD383" i="2"/>
  <c r="M383" i="2"/>
  <c r="AE383" i="2"/>
  <c r="AJ383" i="2"/>
  <c r="AW383" i="2"/>
  <c r="Q383" i="2"/>
  <c r="AI383" i="2"/>
  <c r="J383" i="2"/>
  <c r="AM383" i="2"/>
  <c r="V383" i="2"/>
  <c r="AR383" i="2"/>
  <c r="S383" i="2"/>
  <c r="AX383" i="2"/>
  <c r="AV383" i="2"/>
  <c r="C380" i="2"/>
  <c r="N383" i="2"/>
  <c r="K383" i="2"/>
  <c r="AN383" i="2"/>
  <c r="BB383" i="2"/>
  <c r="R383" i="2"/>
  <c r="AL383" i="2"/>
  <c r="I383" i="2"/>
  <c r="W383" i="2"/>
  <c r="AS383" i="2"/>
  <c r="AB383" i="2"/>
  <c r="AP383" i="2"/>
  <c r="AO383" i="2"/>
  <c r="AF383" i="2"/>
  <c r="H383" i="2"/>
  <c r="BC383" i="2"/>
  <c r="AK383" i="2"/>
  <c r="O383" i="2"/>
  <c r="AC383" i="2"/>
  <c r="T383" i="2"/>
  <c r="AH383" i="2"/>
  <c r="AG383" i="2"/>
  <c r="X383" i="2"/>
  <c r="AT383" i="2"/>
  <c r="AQ383" i="2"/>
  <c r="BA383" i="2"/>
  <c r="U383" i="2"/>
  <c r="L383" i="2"/>
  <c r="Z383" i="2"/>
  <c r="Y383" i="2"/>
  <c r="P383" i="2"/>
  <c r="AU381" i="2"/>
  <c r="AN378" i="2"/>
  <c r="AM378" i="2"/>
  <c r="AD378" i="2"/>
  <c r="AK378" i="2"/>
  <c r="AE378" i="2"/>
  <c r="C374" i="2"/>
  <c r="W378" i="2"/>
  <c r="Y378" i="2"/>
  <c r="Z351" i="2"/>
  <c r="V378" i="2"/>
  <c r="U378" i="2"/>
  <c r="T378" i="2"/>
  <c r="N378" i="2"/>
  <c r="M378" i="2"/>
  <c r="K378" i="2"/>
  <c r="J378" i="2"/>
  <c r="I378" i="2"/>
  <c r="S378" i="2"/>
  <c r="O378" i="2"/>
  <c r="AB378" i="2"/>
  <c r="AG378" i="2"/>
  <c r="Z378" i="2"/>
  <c r="AA378" i="2"/>
  <c r="R378" i="2"/>
  <c r="AC378" i="2"/>
  <c r="Q378" i="2"/>
  <c r="P378" i="2"/>
  <c r="AF378" i="2"/>
  <c r="AI378" i="2"/>
  <c r="AH378" i="2"/>
  <c r="AP354" i="2"/>
  <c r="AP381" i="2" s="1"/>
  <c r="AL354" i="2"/>
  <c r="AL381" i="2" s="1"/>
  <c r="AK354" i="2"/>
  <c r="AN354" i="2"/>
  <c r="AO354" i="2"/>
  <c r="AO381" i="2" s="1"/>
  <c r="AF354" i="2"/>
  <c r="AD354" i="2"/>
  <c r="AG354" i="2"/>
  <c r="AJ354" i="2"/>
  <c r="AJ381" i="2" s="1"/>
  <c r="AH354" i="2"/>
  <c r="AQ354" i="2"/>
  <c r="AQ381" i="2" s="1"/>
  <c r="AR354" i="2"/>
  <c r="AR381" i="2" s="1"/>
  <c r="AE354" i="2"/>
  <c r="AM354" i="2"/>
  <c r="AI354" i="2"/>
  <c r="AC354" i="2"/>
  <c r="I334" i="2"/>
  <c r="W348" i="2"/>
  <c r="J335" i="2"/>
  <c r="AB353" i="2"/>
  <c r="O340" i="2"/>
  <c r="N339" i="2"/>
  <c r="AA352" i="2"/>
  <c r="T345" i="2"/>
  <c r="K336" i="2"/>
  <c r="R343" i="2"/>
  <c r="X349" i="2"/>
  <c r="M338" i="2"/>
  <c r="P341" i="2"/>
  <c r="V347" i="2"/>
  <c r="Y350" i="2"/>
  <c r="L337" i="2"/>
  <c r="U346" i="2"/>
  <c r="Q342" i="2"/>
  <c r="S344" i="2"/>
  <c r="C333" i="2"/>
  <c r="S345" i="2"/>
  <c r="L338" i="2"/>
  <c r="N340" i="2"/>
  <c r="T346" i="2"/>
  <c r="I335" i="2"/>
  <c r="K337" i="2"/>
  <c r="AA353" i="2"/>
  <c r="H334" i="2"/>
  <c r="H354" i="2" s="1"/>
  <c r="V348" i="2"/>
  <c r="Y351" i="2"/>
  <c r="Z352" i="2"/>
  <c r="U347" i="2"/>
  <c r="X350" i="2"/>
  <c r="R344" i="2"/>
  <c r="J336" i="2"/>
  <c r="O341" i="2"/>
  <c r="W349" i="2"/>
  <c r="P342" i="2"/>
  <c r="Q343" i="2"/>
  <c r="M339" i="2"/>
  <c r="G935" i="2"/>
  <c r="C935" i="2" s="1"/>
  <c r="C927" i="2"/>
  <c r="K31" i="2"/>
  <c r="I40" i="2"/>
  <c r="H41" i="2" s="1"/>
  <c r="C932" i="2"/>
  <c r="G940" i="2"/>
  <c r="G41" i="2"/>
  <c r="AB354" i="2" l="1"/>
  <c r="AB381" i="2" s="1"/>
  <c r="I84" i="2"/>
  <c r="K35" i="2"/>
  <c r="K65" i="2"/>
  <c r="AD381" i="2"/>
  <c r="AM381" i="2"/>
  <c r="AK381" i="2"/>
  <c r="AN381" i="2"/>
  <c r="AH381" i="2"/>
  <c r="AC381" i="2"/>
  <c r="AG381" i="2"/>
  <c r="AI381" i="2"/>
  <c r="AE381" i="2"/>
  <c r="AF381" i="2"/>
  <c r="X378" i="2"/>
  <c r="C362" i="2"/>
  <c r="C376" i="2"/>
  <c r="L378" i="2"/>
  <c r="C368" i="2"/>
  <c r="C363" i="2"/>
  <c r="C367" i="2"/>
  <c r="H378" i="2"/>
  <c r="H381" i="2" s="1"/>
  <c r="C358" i="2"/>
  <c r="C373" i="2"/>
  <c r="C366" i="2"/>
  <c r="C369" i="2"/>
  <c r="C364" i="2"/>
  <c r="C359" i="2"/>
  <c r="C372" i="2"/>
  <c r="C377" i="2"/>
  <c r="C360" i="2"/>
  <c r="C370" i="2"/>
  <c r="C361" i="2"/>
  <c r="C371" i="2"/>
  <c r="C375" i="2"/>
  <c r="C365" i="2"/>
  <c r="G954" i="2"/>
  <c r="H954" i="2"/>
  <c r="I954" i="2"/>
  <c r="Q354" i="2"/>
  <c r="Q381" i="2" s="1"/>
  <c r="C350" i="2"/>
  <c r="C345" i="2"/>
  <c r="I354" i="2"/>
  <c r="I381" i="2" s="1"/>
  <c r="W354" i="2"/>
  <c r="W381" i="2" s="1"/>
  <c r="C353" i="2"/>
  <c r="C340" i="2"/>
  <c r="O354" i="2"/>
  <c r="O381" i="2" s="1"/>
  <c r="K354" i="2"/>
  <c r="K381" i="2" s="1"/>
  <c r="C352" i="2"/>
  <c r="C336" i="2"/>
  <c r="C349" i="2"/>
  <c r="R354" i="2"/>
  <c r="R381" i="2" s="1"/>
  <c r="N354" i="2"/>
  <c r="N381" i="2" s="1"/>
  <c r="V354" i="2"/>
  <c r="V381" i="2" s="1"/>
  <c r="M354" i="2"/>
  <c r="M381" i="2" s="1"/>
  <c r="P354" i="2"/>
  <c r="P381" i="2" s="1"/>
  <c r="C338" i="2"/>
  <c r="Y354" i="2"/>
  <c r="Y381" i="2" s="1"/>
  <c r="U354" i="2"/>
  <c r="U381" i="2" s="1"/>
  <c r="C346" i="2"/>
  <c r="C342" i="2"/>
  <c r="T354" i="2"/>
  <c r="T381" i="2" s="1"/>
  <c r="C347" i="2"/>
  <c r="C339" i="2"/>
  <c r="C348" i="2"/>
  <c r="S354" i="2"/>
  <c r="S381" i="2" s="1"/>
  <c r="C341" i="2"/>
  <c r="J354" i="2"/>
  <c r="J381" i="2" s="1"/>
  <c r="C334" i="2"/>
  <c r="AA354" i="2"/>
  <c r="AA381" i="2" s="1"/>
  <c r="C343" i="2"/>
  <c r="L354" i="2"/>
  <c r="C351" i="2"/>
  <c r="Z354" i="2"/>
  <c r="Z381" i="2" s="1"/>
  <c r="C344" i="2"/>
  <c r="C337" i="2"/>
  <c r="X354" i="2"/>
  <c r="C335" i="2"/>
  <c r="G947" i="2"/>
  <c r="H947" i="2"/>
  <c r="I947" i="2"/>
  <c r="K947" i="2"/>
  <c r="J947" i="2"/>
  <c r="L31" i="2"/>
  <c r="C940" i="2"/>
  <c r="J40" i="2"/>
  <c r="I41" i="2" s="1"/>
  <c r="J84" i="2" l="1"/>
  <c r="L65" i="2"/>
  <c r="X381" i="2"/>
  <c r="H384" i="2"/>
  <c r="L381" i="2"/>
  <c r="J384" i="2"/>
  <c r="K384" i="2"/>
  <c r="I384" i="2"/>
  <c r="C378" i="2"/>
  <c r="L35" i="2"/>
  <c r="G907" i="2"/>
  <c r="J954" i="2"/>
  <c r="K954" i="2"/>
  <c r="G427" i="2"/>
  <c r="C354" i="2"/>
  <c r="M31" i="2"/>
  <c r="K40" i="2"/>
  <c r="K84" i="2" l="1"/>
  <c r="M65" i="2"/>
  <c r="M384" i="2"/>
  <c r="BC384" i="2"/>
  <c r="AP384" i="2"/>
  <c r="Z384" i="2"/>
  <c r="O384" i="2"/>
  <c r="P384" i="2"/>
  <c r="X384" i="2"/>
  <c r="AJ384" i="2"/>
  <c r="T384" i="2"/>
  <c r="V384" i="2"/>
  <c r="AE384" i="2"/>
  <c r="BB384" i="2"/>
  <c r="AZ384" i="2"/>
  <c r="AX384" i="2"/>
  <c r="AD384" i="2"/>
  <c r="AA384" i="2"/>
  <c r="AR384" i="2"/>
  <c r="AK384" i="2"/>
  <c r="W384" i="2"/>
  <c r="BA384" i="2"/>
  <c r="AM384" i="2"/>
  <c r="R384" i="2"/>
  <c r="AV384" i="2"/>
  <c r="AU384" i="2"/>
  <c r="AH384" i="2"/>
  <c r="AN384" i="2"/>
  <c r="AT384" i="2"/>
  <c r="AO384" i="2"/>
  <c r="AQ384" i="2"/>
  <c r="L384" i="2"/>
  <c r="AC384" i="2"/>
  <c r="Q384" i="2"/>
  <c r="AI384" i="2"/>
  <c r="C381" i="2"/>
  <c r="U384" i="2"/>
  <c r="AB384" i="2"/>
  <c r="Y384" i="2"/>
  <c r="N384" i="2"/>
  <c r="AY384" i="2"/>
  <c r="AS384" i="2"/>
  <c r="AF384" i="2"/>
  <c r="S384" i="2"/>
  <c r="AL384" i="2"/>
  <c r="AG384" i="2"/>
  <c r="AW384" i="2"/>
  <c r="BD384" i="2"/>
  <c r="M35" i="2"/>
  <c r="G267" i="2"/>
  <c r="N31" i="2"/>
  <c r="L40" i="2"/>
  <c r="J41" i="2"/>
  <c r="L84" i="2" l="1"/>
  <c r="N65" i="2"/>
  <c r="O31" i="2"/>
  <c r="G269" i="2"/>
  <c r="G575" i="2"/>
  <c r="G585" i="2"/>
  <c r="M40" i="2"/>
  <c r="L41" i="2" s="1"/>
  <c r="K41" i="2"/>
  <c r="M84" i="2" l="1"/>
  <c r="O65" i="2"/>
  <c r="P31" i="2"/>
  <c r="P35" i="2"/>
  <c r="H907" i="2"/>
  <c r="N40" i="2"/>
  <c r="M41" i="2" s="1"/>
  <c r="N84" i="2" l="1"/>
  <c r="P65" i="2"/>
  <c r="Q31" i="2"/>
  <c r="Q35" i="2"/>
  <c r="I907" i="2"/>
  <c r="K907" i="2"/>
  <c r="J907" i="2"/>
  <c r="L907" i="2"/>
  <c r="O40" i="2"/>
  <c r="O84" i="2" l="1"/>
  <c r="P84" i="2" s="1"/>
  <c r="Q65" i="2"/>
  <c r="R31" i="2"/>
  <c r="R35" i="2"/>
  <c r="M907" i="2"/>
  <c r="P40" i="2"/>
  <c r="O41" i="2" s="1"/>
  <c r="N41" i="2"/>
  <c r="Q84" i="2" l="1"/>
  <c r="R65" i="2"/>
  <c r="S31" i="2"/>
  <c r="Q40" i="2"/>
  <c r="R84" i="2" l="1"/>
  <c r="S84" i="2" s="1"/>
  <c r="S65" i="2"/>
  <c r="T31" i="2"/>
  <c r="O907" i="2"/>
  <c r="N907" i="2"/>
  <c r="R40" i="2"/>
  <c r="Q41" i="2" s="1"/>
  <c r="P41" i="2"/>
  <c r="T84" i="2" l="1"/>
  <c r="T65" i="2"/>
  <c r="U31" i="2"/>
  <c r="P907" i="2"/>
  <c r="S40" i="2"/>
  <c r="R41" i="2" s="1"/>
  <c r="U84" i="2" l="1"/>
  <c r="U36" i="2"/>
  <c r="U65" i="2"/>
  <c r="V31" i="2"/>
  <c r="Q907" i="2"/>
  <c r="T40" i="2"/>
  <c r="V84" i="2" l="1"/>
  <c r="W31" i="2"/>
  <c r="V65" i="2"/>
  <c r="R907" i="2"/>
  <c r="U40" i="2"/>
  <c r="T41" i="2" s="1"/>
  <c r="S41" i="2"/>
  <c r="W84" i="2" l="1"/>
  <c r="X31" i="2"/>
  <c r="W36" i="2"/>
  <c r="W65" i="2"/>
  <c r="S907" i="2"/>
  <c r="V40" i="2"/>
  <c r="X65" i="2" l="1"/>
  <c r="X36" i="2"/>
  <c r="X84" i="2"/>
  <c r="Y31" i="2"/>
  <c r="Y35" i="2"/>
  <c r="T907" i="2"/>
  <c r="H817" i="2"/>
  <c r="W40" i="2"/>
  <c r="V41" i="2" s="1"/>
  <c r="U41" i="2"/>
  <c r="Y36" i="2" l="1"/>
  <c r="Y65" i="2"/>
  <c r="Y84" i="2"/>
  <c r="Z31" i="2"/>
  <c r="U907" i="2"/>
  <c r="X40" i="2"/>
  <c r="W41" i="2" s="1"/>
  <c r="Z36" i="2" l="1"/>
  <c r="Z65" i="2"/>
  <c r="Z84" i="2"/>
  <c r="AA31" i="2"/>
  <c r="V907" i="2"/>
  <c r="Y40" i="2"/>
  <c r="AA36" i="2" l="1"/>
  <c r="AA65" i="2"/>
  <c r="AA84" i="2"/>
  <c r="AB31" i="2"/>
  <c r="W907" i="2"/>
  <c r="I817" i="2"/>
  <c r="Z40" i="2"/>
  <c r="Y41" i="2" s="1"/>
  <c r="X41" i="2"/>
  <c r="AB36" i="2" l="1"/>
  <c r="AB65" i="2"/>
  <c r="AC31" i="2"/>
  <c r="AB84" i="2"/>
  <c r="AC35" i="2"/>
  <c r="C35" i="2" s="1"/>
  <c r="D7" i="18" s="1"/>
  <c r="X907" i="2"/>
  <c r="AA40" i="2"/>
  <c r="AC65" i="2" l="1"/>
  <c r="AD31" i="2"/>
  <c r="AC84" i="2"/>
  <c r="Y907" i="2"/>
  <c r="J817" i="2"/>
  <c r="AB40" i="2"/>
  <c r="Z41" i="2"/>
  <c r="AD65" i="2" l="1"/>
  <c r="AE31" i="2"/>
  <c r="AD84" i="2"/>
  <c r="Z907" i="2"/>
  <c r="AC40" i="2"/>
  <c r="AA41" i="2"/>
  <c r="AE36" i="2" l="1"/>
  <c r="AE65" i="2"/>
  <c r="AF31" i="2"/>
  <c r="AE84" i="2"/>
  <c r="AA907" i="2"/>
  <c r="AD40" i="2"/>
  <c r="AC41" i="2" s="1"/>
  <c r="AB41" i="2"/>
  <c r="AF65" i="2" l="1"/>
  <c r="AG31" i="2"/>
  <c r="AF84" i="2"/>
  <c r="AB907" i="2"/>
  <c r="K817" i="2"/>
  <c r="AE40" i="2"/>
  <c r="AD41" i="2" s="1"/>
  <c r="AG36" i="2" l="1"/>
  <c r="AG65" i="2"/>
  <c r="AH31" i="2"/>
  <c r="AG84" i="2"/>
  <c r="AC907" i="2"/>
  <c r="L817" i="2"/>
  <c r="AF40" i="2"/>
  <c r="AE41" i="2" s="1"/>
  <c r="AH36" i="2" l="1"/>
  <c r="AH65" i="2"/>
  <c r="AI31" i="2"/>
  <c r="AH84" i="2"/>
  <c r="AI36" i="2"/>
  <c r="AD907" i="2"/>
  <c r="AG40" i="2"/>
  <c r="AF41" i="2" s="1"/>
  <c r="AI65" i="2" l="1"/>
  <c r="AJ31" i="2"/>
  <c r="AI84" i="2"/>
  <c r="AE907" i="2"/>
  <c r="AH40" i="2"/>
  <c r="AG41" i="2" s="1"/>
  <c r="AK31" i="2" l="1"/>
  <c r="AJ65" i="2"/>
  <c r="AJ36" i="2"/>
  <c r="AJ84" i="2"/>
  <c r="AF907" i="2"/>
  <c r="M817" i="2"/>
  <c r="AI40" i="2"/>
  <c r="AH41" i="2" s="1"/>
  <c r="AK65" i="2" l="1"/>
  <c r="AL31" i="2"/>
  <c r="AK84" i="2"/>
  <c r="AL36" i="2"/>
  <c r="AG907" i="2"/>
  <c r="N817" i="2"/>
  <c r="AJ40" i="2"/>
  <c r="AL65" i="2" l="1"/>
  <c r="AM31" i="2"/>
  <c r="AL84" i="2"/>
  <c r="AH907" i="2"/>
  <c r="AK40" i="2"/>
  <c r="AJ41" i="2" s="1"/>
  <c r="AI41" i="2"/>
  <c r="AM65" i="2" l="1"/>
  <c r="AN31" i="2"/>
  <c r="AM84" i="2"/>
  <c r="O817" i="2"/>
  <c r="AI907" i="2"/>
  <c r="AL40" i="2"/>
  <c r="AK41" i="2" s="1"/>
  <c r="AN36" i="2" l="1"/>
  <c r="AN65" i="2"/>
  <c r="AO31" i="2"/>
  <c r="AN84" i="2"/>
  <c r="AJ907" i="2"/>
  <c r="AM40" i="2"/>
  <c r="AP31" i="2" l="1"/>
  <c r="AO65" i="2"/>
  <c r="AO84" i="2"/>
  <c r="AK907" i="2"/>
  <c r="AN40" i="2"/>
  <c r="AM41" i="2" s="1"/>
  <c r="AL41" i="2"/>
  <c r="AP36" i="2" l="1"/>
  <c r="C36" i="2" s="1"/>
  <c r="AQ31" i="2"/>
  <c r="AP65" i="2"/>
  <c r="AP84" i="2"/>
  <c r="P817" i="2"/>
  <c r="AL907" i="2"/>
  <c r="AO40" i="2"/>
  <c r="AN41" i="2" s="1"/>
  <c r="AO385" i="2" l="1"/>
  <c r="AO386" i="2" s="1"/>
  <c r="AO388" i="2" s="1"/>
  <c r="AO431" i="2" s="1"/>
  <c r="G669" i="2"/>
  <c r="G672" i="2" s="1"/>
  <c r="AC385" i="2"/>
  <c r="AC386" i="2" s="1"/>
  <c r="AC388" i="2" s="1"/>
  <c r="AC405" i="2" s="1"/>
  <c r="W385" i="2"/>
  <c r="W386" i="2" s="1"/>
  <c r="W388" i="2" s="1"/>
  <c r="W431" i="2" s="1"/>
  <c r="P385" i="2"/>
  <c r="P386" i="2" s="1"/>
  <c r="P388" i="2" s="1"/>
  <c r="P405" i="2" s="1"/>
  <c r="G385" i="2"/>
  <c r="G386" i="2" s="1"/>
  <c r="G388" i="2" s="1"/>
  <c r="G405" i="2" s="1"/>
  <c r="AJ385" i="2"/>
  <c r="AJ386" i="2" s="1"/>
  <c r="AJ388" i="2" s="1"/>
  <c r="AJ405" i="2" s="1"/>
  <c r="AA385" i="2"/>
  <c r="AA386" i="2" s="1"/>
  <c r="AA388" i="2" s="1"/>
  <c r="AA431" i="2" s="1"/>
  <c r="AE385" i="2"/>
  <c r="AE386" i="2" s="1"/>
  <c r="AE388" i="2" s="1"/>
  <c r="AE405" i="2" s="1"/>
  <c r="AL385" i="2"/>
  <c r="AL386" i="2" s="1"/>
  <c r="AL388" i="2" s="1"/>
  <c r="AL431" i="2" s="1"/>
  <c r="AB385" i="2"/>
  <c r="AB386" i="2" s="1"/>
  <c r="AB388" i="2" s="1"/>
  <c r="AB431" i="2" s="1"/>
  <c r="S385" i="2"/>
  <c r="S386" i="2" s="1"/>
  <c r="S388" i="2" s="1"/>
  <c r="S405" i="2" s="1"/>
  <c r="Z385" i="2"/>
  <c r="Z386" i="2" s="1"/>
  <c r="Z388" i="2" s="1"/>
  <c r="Z431" i="2" s="1"/>
  <c r="AG385" i="2"/>
  <c r="AG386" i="2" s="1"/>
  <c r="AG388" i="2" s="1"/>
  <c r="AG431" i="2" s="1"/>
  <c r="I385" i="2"/>
  <c r="I386" i="2" s="1"/>
  <c r="I388" i="2" s="1"/>
  <c r="I431" i="2" s="1"/>
  <c r="AF385" i="2"/>
  <c r="AF386" i="2" s="1"/>
  <c r="AF388" i="2" s="1"/>
  <c r="AF431" i="2" s="1"/>
  <c r="M385" i="2"/>
  <c r="M386" i="2" s="1"/>
  <c r="M388" i="2" s="1"/>
  <c r="M431" i="2" s="1"/>
  <c r="R385" i="2"/>
  <c r="R386" i="2" s="1"/>
  <c r="R388" i="2" s="1"/>
  <c r="R431" i="2" s="1"/>
  <c r="X385" i="2"/>
  <c r="X386" i="2" s="1"/>
  <c r="X388" i="2" s="1"/>
  <c r="X431" i="2" s="1"/>
  <c r="O385" i="2"/>
  <c r="O386" i="2" s="1"/>
  <c r="O388" i="2" s="1"/>
  <c r="O431" i="2" s="1"/>
  <c r="AD385" i="2"/>
  <c r="AD386" i="2" s="1"/>
  <c r="AD388" i="2" s="1"/>
  <c r="AD431" i="2" s="1"/>
  <c r="L385" i="2"/>
  <c r="L386" i="2" s="1"/>
  <c r="L388" i="2" s="1"/>
  <c r="L431" i="2" s="1"/>
  <c r="AP385" i="2"/>
  <c r="AP386" i="2" s="1"/>
  <c r="AP388" i="2" s="1"/>
  <c r="AP405" i="2" s="1"/>
  <c r="U385" i="2"/>
  <c r="U386" i="2" s="1"/>
  <c r="U388" i="2" s="1"/>
  <c r="U431" i="2" s="1"/>
  <c r="AN385" i="2"/>
  <c r="AN386" i="2" s="1"/>
  <c r="AN388" i="2" s="1"/>
  <c r="AN405" i="2" s="1"/>
  <c r="T385" i="2"/>
  <c r="T386" i="2" s="1"/>
  <c r="T388" i="2" s="1"/>
  <c r="T431" i="2" s="1"/>
  <c r="AM385" i="2"/>
  <c r="AM386" i="2" s="1"/>
  <c r="AM388" i="2" s="1"/>
  <c r="AM431" i="2" s="1"/>
  <c r="AH385" i="2"/>
  <c r="AH386" i="2" s="1"/>
  <c r="AH388" i="2" s="1"/>
  <c r="AH431" i="2" s="1"/>
  <c r="Y385" i="2"/>
  <c r="Y386" i="2" s="1"/>
  <c r="Y388" i="2" s="1"/>
  <c r="Y431" i="2" s="1"/>
  <c r="H385" i="2"/>
  <c r="H386" i="2" s="1"/>
  <c r="H388" i="2" s="1"/>
  <c r="H431" i="2" s="1"/>
  <c r="K385" i="2"/>
  <c r="K386" i="2" s="1"/>
  <c r="K388" i="2" s="1"/>
  <c r="K431" i="2" s="1"/>
  <c r="AI385" i="2"/>
  <c r="AI386" i="2" s="1"/>
  <c r="AI388" i="2" s="1"/>
  <c r="AI405" i="2" s="1"/>
  <c r="J385" i="2"/>
  <c r="J386" i="2" s="1"/>
  <c r="J388" i="2" s="1"/>
  <c r="J431" i="2" s="1"/>
  <c r="AK385" i="2"/>
  <c r="AK386" i="2" s="1"/>
  <c r="AK388" i="2" s="1"/>
  <c r="AK431" i="2" s="1"/>
  <c r="N385" i="2"/>
  <c r="N386" i="2" s="1"/>
  <c r="N388" i="2" s="1"/>
  <c r="N405" i="2" s="1"/>
  <c r="Q385" i="2"/>
  <c r="Q386" i="2" s="1"/>
  <c r="Q388" i="2" s="1"/>
  <c r="Q405" i="2" s="1"/>
  <c r="V385" i="2"/>
  <c r="V386" i="2" s="1"/>
  <c r="V388" i="2" s="1"/>
  <c r="V431" i="2" s="1"/>
  <c r="AQ388" i="2"/>
  <c r="AR31" i="2"/>
  <c r="AQ385" i="2"/>
  <c r="AQ386" i="2" s="1"/>
  <c r="AQ65" i="2"/>
  <c r="AQ84" i="2"/>
  <c r="AM907" i="2"/>
  <c r="AP40" i="2"/>
  <c r="AL405" i="2" l="1"/>
  <c r="AC431" i="2"/>
  <c r="M405" i="2"/>
  <c r="P431" i="2"/>
  <c r="S431" i="2"/>
  <c r="W405" i="2"/>
  <c r="X405" i="2"/>
  <c r="R405" i="2"/>
  <c r="G673" i="2"/>
  <c r="AB405" i="2"/>
  <c r="AM405" i="2"/>
  <c r="AJ431" i="2"/>
  <c r="N431" i="2"/>
  <c r="G431" i="2"/>
  <c r="AE431" i="2"/>
  <c r="AA405" i="2"/>
  <c r="AO405" i="2"/>
  <c r="AD405" i="2"/>
  <c r="Y405" i="2"/>
  <c r="Z405" i="2"/>
  <c r="O405" i="2"/>
  <c r="AF405" i="2"/>
  <c r="U405" i="2"/>
  <c r="Q431" i="2"/>
  <c r="I405" i="2"/>
  <c r="H405" i="2"/>
  <c r="AG405" i="2"/>
  <c r="AH405" i="2"/>
  <c r="V405" i="2"/>
  <c r="L405" i="2"/>
  <c r="AI431" i="2"/>
  <c r="K405" i="2"/>
  <c r="AP431" i="2"/>
  <c r="AN431" i="2"/>
  <c r="T405" i="2"/>
  <c r="AK405" i="2"/>
  <c r="J405" i="2"/>
  <c r="AQ431" i="2"/>
  <c r="AQ405" i="2"/>
  <c r="AR385" i="2"/>
  <c r="AR386" i="2" s="1"/>
  <c r="AS31" i="2"/>
  <c r="AR65" i="2"/>
  <c r="AR388" i="2"/>
  <c r="AR84" i="2"/>
  <c r="AN907" i="2"/>
  <c r="AQ40" i="2"/>
  <c r="AO41" i="2"/>
  <c r="AR431" i="2" l="1"/>
  <c r="AR405" i="2"/>
  <c r="AS385" i="2"/>
  <c r="AS386" i="2" s="1"/>
  <c r="AT31" i="2"/>
  <c r="AS65" i="2"/>
  <c r="AS388" i="2"/>
  <c r="AS84" i="2"/>
  <c r="Q817" i="2"/>
  <c r="AO907" i="2"/>
  <c r="AR40" i="2"/>
  <c r="AQ41" i="2" s="1"/>
  <c r="AP41" i="2"/>
  <c r="AS431" i="2" l="1"/>
  <c r="AS405" i="2"/>
  <c r="AT385" i="2"/>
  <c r="AT386" i="2" s="1"/>
  <c r="AU31" i="2"/>
  <c r="AT65" i="2"/>
  <c r="AT388" i="2"/>
  <c r="AT84" i="2"/>
  <c r="AP907" i="2"/>
  <c r="AS40" i="2"/>
  <c r="AR41" i="2" s="1"/>
  <c r="AT431" i="2" l="1"/>
  <c r="AT405" i="2"/>
  <c r="AU385" i="2"/>
  <c r="AU386" i="2" s="1"/>
  <c r="AV31" i="2"/>
  <c r="AU65" i="2"/>
  <c r="AU388" i="2"/>
  <c r="AU84" i="2"/>
  <c r="AQ907" i="2"/>
  <c r="AT40" i="2"/>
  <c r="AS41" i="2" s="1"/>
  <c r="AU431" i="2" l="1"/>
  <c r="AU405" i="2"/>
  <c r="AV385" i="2"/>
  <c r="AV386" i="2" s="1"/>
  <c r="AW31" i="2"/>
  <c r="AV388" i="2"/>
  <c r="AV65" i="2"/>
  <c r="AV84" i="2"/>
  <c r="R817" i="2"/>
  <c r="AR907" i="2"/>
  <c r="AU40" i="2"/>
  <c r="AV431" i="2" l="1"/>
  <c r="AV405" i="2"/>
  <c r="AX31" i="2"/>
  <c r="AW385" i="2"/>
  <c r="AW386" i="2" s="1"/>
  <c r="AW388" i="2"/>
  <c r="AW65" i="2"/>
  <c r="AW84" i="2"/>
  <c r="AS907" i="2"/>
  <c r="AV40" i="2"/>
  <c r="AT41" i="2"/>
  <c r="AY31" i="2" l="1"/>
  <c r="AW431" i="2"/>
  <c r="AW405" i="2"/>
  <c r="AX65" i="2"/>
  <c r="AX385" i="2"/>
  <c r="AX386" i="2" s="1"/>
  <c r="AX388" i="2"/>
  <c r="AX84" i="2"/>
  <c r="AT907" i="2"/>
  <c r="AW40" i="2"/>
  <c r="AV41" i="2" s="1"/>
  <c r="AU41" i="2"/>
  <c r="AY65" i="2" l="1"/>
  <c r="AZ31" i="2"/>
  <c r="AY388" i="2"/>
  <c r="AY431" i="2" s="1"/>
  <c r="AY385" i="2"/>
  <c r="AY386" i="2" s="1"/>
  <c r="AX431" i="2"/>
  <c r="AX405" i="2"/>
  <c r="AY84" i="2"/>
  <c r="S817" i="2"/>
  <c r="AU907" i="2"/>
  <c r="AX40" i="2"/>
  <c r="AW41" i="2" s="1"/>
  <c r="AZ388" i="2" l="1"/>
  <c r="AZ431" i="2" s="1"/>
  <c r="AZ65" i="2"/>
  <c r="BA31" i="2"/>
  <c r="AZ385" i="2"/>
  <c r="AZ386" i="2" s="1"/>
  <c r="AY405" i="2"/>
  <c r="AZ84" i="2"/>
  <c r="AV907" i="2"/>
  <c r="AY40" i="2"/>
  <c r="AX41" i="2" s="1"/>
  <c r="AZ405" i="2" l="1"/>
  <c r="BA388" i="2"/>
  <c r="BA431" i="2" s="1"/>
  <c r="BB31" i="2"/>
  <c r="BA385" i="2"/>
  <c r="BA386" i="2" s="1"/>
  <c r="BA65" i="2"/>
  <c r="BA84" i="2"/>
  <c r="AW907" i="2"/>
  <c r="AZ40" i="2"/>
  <c r="AY41" i="2" s="1"/>
  <c r="BA405" i="2" l="1"/>
  <c r="BB385" i="2"/>
  <c r="BB386" i="2" s="1"/>
  <c r="BC31" i="2"/>
  <c r="BB388" i="2"/>
  <c r="BB431" i="2" s="1"/>
  <c r="BB65" i="2"/>
  <c r="BB84" i="2"/>
  <c r="T817" i="2"/>
  <c r="AX907" i="2"/>
  <c r="BA40" i="2"/>
  <c r="AZ41" i="2" s="1"/>
  <c r="BC388" i="2" l="1"/>
  <c r="BC431" i="2" s="1"/>
  <c r="BD31" i="2"/>
  <c r="BC65" i="2"/>
  <c r="BC385" i="2"/>
  <c r="BC386" i="2" s="1"/>
  <c r="BB405" i="2"/>
  <c r="BC84" i="2"/>
  <c r="AY907" i="2"/>
  <c r="BB40" i="2"/>
  <c r="BA41" i="2" s="1"/>
  <c r="BC405" i="2" l="1"/>
  <c r="BD65" i="2"/>
  <c r="C65" i="2" s="1"/>
  <c r="BD68" i="2" s="1"/>
  <c r="C31" i="2"/>
  <c r="BD388" i="2"/>
  <c r="BD405" i="2" s="1"/>
  <c r="BD385" i="2"/>
  <c r="BD386" i="2" s="1"/>
  <c r="C386" i="2" s="1"/>
  <c r="BD84" i="2"/>
  <c r="AZ907" i="2"/>
  <c r="BC40" i="2"/>
  <c r="BB85" i="2" l="1"/>
  <c r="BB89" i="2" s="1"/>
  <c r="BB94" i="2" s="1"/>
  <c r="C405" i="2"/>
  <c r="AW68" i="2"/>
  <c r="AM68" i="2"/>
  <c r="AA68" i="2"/>
  <c r="Q68" i="2"/>
  <c r="AV68" i="2"/>
  <c r="AL68" i="2"/>
  <c r="Z68" i="2"/>
  <c r="O68" i="2"/>
  <c r="AN68" i="2"/>
  <c r="R68" i="2"/>
  <c r="AU68" i="2"/>
  <c r="X68" i="2"/>
  <c r="G68" i="2"/>
  <c r="Y68" i="2"/>
  <c r="AQ68" i="2"/>
  <c r="AG68" i="2"/>
  <c r="W68" i="2"/>
  <c r="AX68" i="2"/>
  <c r="BB68" i="2"/>
  <c r="AP68" i="2"/>
  <c r="AF68" i="2"/>
  <c r="V68" i="2"/>
  <c r="AD68" i="2"/>
  <c r="AI68" i="2"/>
  <c r="J68" i="2"/>
  <c r="AT68" i="2"/>
  <c r="AH68" i="2"/>
  <c r="BC68" i="2"/>
  <c r="AY68" i="2"/>
  <c r="AO68" i="2"/>
  <c r="AE68" i="2"/>
  <c r="S68" i="2"/>
  <c r="K68" i="2"/>
  <c r="H68" i="2"/>
  <c r="P68" i="2"/>
  <c r="I68" i="2"/>
  <c r="BA68" i="2"/>
  <c r="AK68" i="2"/>
  <c r="M68" i="2"/>
  <c r="N68" i="2"/>
  <c r="AS68" i="2"/>
  <c r="AC68" i="2"/>
  <c r="U68" i="2"/>
  <c r="AZ68" i="2"/>
  <c r="AR68" i="2"/>
  <c r="AJ68" i="2"/>
  <c r="AB68" i="2"/>
  <c r="T68" i="2"/>
  <c r="L68" i="2"/>
  <c r="C388" i="2"/>
  <c r="BD431" i="2"/>
  <c r="C431" i="2" s="1"/>
  <c r="AZ85" i="2"/>
  <c r="AZ86" i="2" s="1"/>
  <c r="AY85" i="2"/>
  <c r="BD85" i="2"/>
  <c r="BC85" i="2"/>
  <c r="C84" i="2"/>
  <c r="I85" i="2"/>
  <c r="K85" i="2"/>
  <c r="G85" i="2"/>
  <c r="L85" i="2"/>
  <c r="M85" i="2"/>
  <c r="J85" i="2"/>
  <c r="H85" i="2"/>
  <c r="O85" i="2"/>
  <c r="R85" i="2"/>
  <c r="Q85" i="2"/>
  <c r="N85" i="2"/>
  <c r="P85" i="2"/>
  <c r="T85" i="2"/>
  <c r="S85" i="2"/>
  <c r="U85" i="2"/>
  <c r="V85" i="2"/>
  <c r="Y85" i="2"/>
  <c r="W85" i="2"/>
  <c r="AA85" i="2"/>
  <c r="AC85" i="2"/>
  <c r="Z85" i="2"/>
  <c r="X85" i="2"/>
  <c r="AB85" i="2"/>
  <c r="AE85" i="2"/>
  <c r="AD85" i="2"/>
  <c r="AF85" i="2"/>
  <c r="AG85" i="2"/>
  <c r="AH85" i="2"/>
  <c r="AI85" i="2"/>
  <c r="AK85" i="2"/>
  <c r="AL85" i="2"/>
  <c r="AJ85" i="2"/>
  <c r="AM85" i="2"/>
  <c r="AO85" i="2"/>
  <c r="AQ85" i="2"/>
  <c r="AP85" i="2"/>
  <c r="AS85" i="2"/>
  <c r="AR85" i="2"/>
  <c r="AN85" i="2"/>
  <c r="AU85" i="2"/>
  <c r="AT85" i="2"/>
  <c r="AV85" i="2"/>
  <c r="AX85" i="2"/>
  <c r="AW85" i="2"/>
  <c r="BA85" i="2"/>
  <c r="R78" i="2"/>
  <c r="U817" i="2"/>
  <c r="BA907" i="2"/>
  <c r="BD40" i="2"/>
  <c r="BC41" i="2" s="1"/>
  <c r="BB41" i="2"/>
  <c r="BB86" i="2" l="1"/>
  <c r="R407" i="2"/>
  <c r="AZ89" i="2"/>
  <c r="AZ94" i="2" s="1"/>
  <c r="AU86" i="2"/>
  <c r="AU89" i="2"/>
  <c r="AU94" i="2" s="1"/>
  <c r="AE89" i="2"/>
  <c r="AE94" i="2" s="1"/>
  <c r="AE86" i="2"/>
  <c r="V89" i="2"/>
  <c r="V94" i="2" s="1"/>
  <c r="V86" i="2"/>
  <c r="O86" i="2"/>
  <c r="O89" i="2"/>
  <c r="O94" i="2" s="1"/>
  <c r="AN86" i="2"/>
  <c r="AN89" i="2"/>
  <c r="AN94" i="2" s="1"/>
  <c r="AL89" i="2"/>
  <c r="AL94" i="2" s="1"/>
  <c r="AL86" i="2"/>
  <c r="AB89" i="2"/>
  <c r="AB94" i="2" s="1"/>
  <c r="AB86" i="2"/>
  <c r="U89" i="2"/>
  <c r="U94" i="2" s="1"/>
  <c r="U86" i="2"/>
  <c r="H86" i="2"/>
  <c r="H89" i="2"/>
  <c r="H94" i="2" s="1"/>
  <c r="BC89" i="2"/>
  <c r="BC94" i="2" s="1"/>
  <c r="BC86" i="2"/>
  <c r="AR86" i="2"/>
  <c r="AR89" i="2"/>
  <c r="AR94" i="2" s="1"/>
  <c r="AK89" i="2"/>
  <c r="AK94" i="2" s="1"/>
  <c r="AK86" i="2"/>
  <c r="X89" i="2"/>
  <c r="X94" i="2" s="1"/>
  <c r="X86" i="2"/>
  <c r="S86" i="2"/>
  <c r="S89" i="2"/>
  <c r="S94" i="2" s="1"/>
  <c r="J86" i="2"/>
  <c r="J89" i="2"/>
  <c r="J94" i="2" s="1"/>
  <c r="BD86" i="2"/>
  <c r="BD89" i="2"/>
  <c r="BD94" i="2" s="1"/>
  <c r="T89" i="2"/>
  <c r="T94" i="2" s="1"/>
  <c r="T86" i="2"/>
  <c r="AY86" i="2"/>
  <c r="AY89" i="2"/>
  <c r="AY94" i="2" s="1"/>
  <c r="AJ89" i="2"/>
  <c r="AJ94" i="2" s="1"/>
  <c r="AJ86" i="2"/>
  <c r="AI86" i="2"/>
  <c r="AI89" i="2"/>
  <c r="AI94" i="2" s="1"/>
  <c r="M89" i="2"/>
  <c r="M86" i="2"/>
  <c r="AW89" i="2"/>
  <c r="AW94" i="2" s="1"/>
  <c r="AW86" i="2"/>
  <c r="AH89" i="2"/>
  <c r="AH94" i="2" s="1"/>
  <c r="AH86" i="2"/>
  <c r="AC89" i="2"/>
  <c r="AC94" i="2" s="1"/>
  <c r="AC86" i="2"/>
  <c r="P89" i="2"/>
  <c r="P94" i="2" s="1"/>
  <c r="P86" i="2"/>
  <c r="L86" i="2"/>
  <c r="L89" i="2"/>
  <c r="L94" i="2" s="1"/>
  <c r="AX89" i="2"/>
  <c r="AX94" i="2" s="1"/>
  <c r="AX86" i="2"/>
  <c r="AG89" i="2"/>
  <c r="AG94" i="2" s="1"/>
  <c r="AG86" i="2"/>
  <c r="N86" i="2"/>
  <c r="N89" i="2"/>
  <c r="N94" i="2" s="1"/>
  <c r="AV86" i="2"/>
  <c r="AV89" i="2"/>
  <c r="AV94" i="2" s="1"/>
  <c r="AO86" i="2"/>
  <c r="AO89" i="2"/>
  <c r="AO94" i="2" s="1"/>
  <c r="AF89" i="2"/>
  <c r="AF94" i="2" s="1"/>
  <c r="AF86" i="2"/>
  <c r="W86" i="2"/>
  <c r="W89" i="2"/>
  <c r="W94" i="2" s="1"/>
  <c r="Q89" i="2"/>
  <c r="Q94" i="2" s="1"/>
  <c r="Q86" i="2"/>
  <c r="K89" i="2"/>
  <c r="K94" i="2" s="1"/>
  <c r="K86" i="2"/>
  <c r="BA86" i="2"/>
  <c r="BA89" i="2"/>
  <c r="BA94" i="2" s="1"/>
  <c r="AS89" i="2"/>
  <c r="AS94" i="2" s="1"/>
  <c r="AS86" i="2"/>
  <c r="Z86" i="2"/>
  <c r="Z89" i="2"/>
  <c r="Z94" i="2" s="1"/>
  <c r="AP86" i="2"/>
  <c r="AP89" i="2"/>
  <c r="AP94" i="2" s="1"/>
  <c r="AQ89" i="2"/>
  <c r="AQ94" i="2" s="1"/>
  <c r="AQ86" i="2"/>
  <c r="AA89" i="2"/>
  <c r="AA94" i="2" s="1"/>
  <c r="AA86" i="2"/>
  <c r="G86" i="2"/>
  <c r="G87" i="2" s="1"/>
  <c r="G90" i="2" s="1"/>
  <c r="G89" i="2"/>
  <c r="G94" i="2" s="1"/>
  <c r="G95" i="2" s="1"/>
  <c r="AT86" i="2"/>
  <c r="AT89" i="2"/>
  <c r="AT94" i="2" s="1"/>
  <c r="AM89" i="2"/>
  <c r="AM94" i="2" s="1"/>
  <c r="AM86" i="2"/>
  <c r="AD86" i="2"/>
  <c r="AD89" i="2"/>
  <c r="AD94" i="2" s="1"/>
  <c r="Y86" i="2"/>
  <c r="Y89" i="2"/>
  <c r="Y94" i="2" s="1"/>
  <c r="R86" i="2"/>
  <c r="R89" i="2"/>
  <c r="R94" i="2" s="1"/>
  <c r="I86" i="2"/>
  <c r="I89" i="2"/>
  <c r="I94" i="2" s="1"/>
  <c r="C85" i="2"/>
  <c r="R81" i="2"/>
  <c r="S77" i="2" s="1"/>
  <c r="S78" i="2" s="1"/>
  <c r="R483" i="2"/>
  <c r="R813" i="2"/>
  <c r="R834" i="2" s="1"/>
  <c r="R433" i="2"/>
  <c r="R215" i="2"/>
  <c r="BB907" i="2"/>
  <c r="BD41" i="2"/>
  <c r="C41" i="2" s="1"/>
  <c r="C40" i="2"/>
  <c r="C89" i="2" l="1"/>
  <c r="M94" i="2"/>
  <c r="H87" i="2"/>
  <c r="S79" i="2"/>
  <c r="S80" i="2" s="1"/>
  <c r="R914" i="2"/>
  <c r="R921" i="2" s="1"/>
  <c r="BC907" i="2"/>
  <c r="S407" i="2" l="1"/>
  <c r="C94" i="2"/>
  <c r="I87" i="2"/>
  <c r="H90" i="2"/>
  <c r="G96" i="2"/>
  <c r="S81" i="2"/>
  <c r="T77" i="2" s="1"/>
  <c r="T78" i="2" s="1"/>
  <c r="S215" i="2"/>
  <c r="S433" i="2"/>
  <c r="S483" i="2"/>
  <c r="S813" i="2"/>
  <c r="V817" i="2"/>
  <c r="C897" i="2"/>
  <c r="G408" i="2" l="1"/>
  <c r="G97" i="2"/>
  <c r="G609" i="2"/>
  <c r="G434" i="2"/>
  <c r="J87" i="2"/>
  <c r="I90" i="2"/>
  <c r="T79" i="2"/>
  <c r="T80" i="2" s="1"/>
  <c r="S914" i="2"/>
  <c r="S834" i="2"/>
  <c r="BD907" i="2"/>
  <c r="C907" i="2" s="1"/>
  <c r="C253" i="2"/>
  <c r="T407" i="2" l="1"/>
  <c r="K87" i="2"/>
  <c r="J90" i="2"/>
  <c r="T215" i="2"/>
  <c r="T433" i="2"/>
  <c r="T483" i="2"/>
  <c r="T813" i="2"/>
  <c r="T81" i="2"/>
  <c r="S921" i="2"/>
  <c r="W817" i="2"/>
  <c r="L87" i="2" l="1"/>
  <c r="K90" i="2"/>
  <c r="U79" i="2"/>
  <c r="U77" i="2"/>
  <c r="U78" i="2" s="1"/>
  <c r="T914" i="2"/>
  <c r="T834" i="2"/>
  <c r="X817" i="2"/>
  <c r="M87" i="2" l="1"/>
  <c r="L90" i="2"/>
  <c r="T921" i="2"/>
  <c r="U80" i="2"/>
  <c r="U407" i="2" s="1"/>
  <c r="Y817" i="2"/>
  <c r="N87" i="2" l="1"/>
  <c r="M90" i="2"/>
  <c r="U81" i="2"/>
  <c r="V79" i="2" s="1"/>
  <c r="U215" i="2"/>
  <c r="U433" i="2"/>
  <c r="U483" i="2"/>
  <c r="U813" i="2"/>
  <c r="Z817" i="2"/>
  <c r="O87" i="2" l="1"/>
  <c r="N90" i="2"/>
  <c r="V77" i="2"/>
  <c r="V78" i="2" s="1"/>
  <c r="U914" i="2"/>
  <c r="U834" i="2"/>
  <c r="AA817" i="2"/>
  <c r="P87" i="2" l="1"/>
  <c r="O90" i="2"/>
  <c r="V80" i="2"/>
  <c r="V407" i="2" s="1"/>
  <c r="U921" i="2"/>
  <c r="AB817" i="2"/>
  <c r="Q87" i="2" l="1"/>
  <c r="P90" i="2"/>
  <c r="V483" i="2"/>
  <c r="V81" i="2"/>
  <c r="W79" i="2" s="1"/>
  <c r="V813" i="2"/>
  <c r="V914" i="2" s="1"/>
  <c r="V215" i="2"/>
  <c r="V433" i="2"/>
  <c r="AC817" i="2"/>
  <c r="R87" i="2" l="1"/>
  <c r="Q90" i="2"/>
  <c r="V834" i="2"/>
  <c r="W77" i="2"/>
  <c r="W78" i="2" s="1"/>
  <c r="V921" i="2"/>
  <c r="AD817" i="2"/>
  <c r="S87" i="2" l="1"/>
  <c r="R90" i="2"/>
  <c r="W80" i="2"/>
  <c r="W81" i="2" s="1"/>
  <c r="AE817" i="2"/>
  <c r="W407" i="2" l="1"/>
  <c r="T87" i="2"/>
  <c r="S90" i="2"/>
  <c r="W483" i="2"/>
  <c r="W433" i="2"/>
  <c r="W215" i="2"/>
  <c r="W813" i="2"/>
  <c r="W914" i="2" s="1"/>
  <c r="W921" i="2" s="1"/>
  <c r="X79" i="2"/>
  <c r="X77" i="2"/>
  <c r="X78" i="2" s="1"/>
  <c r="AF817" i="2"/>
  <c r="U87" i="2" l="1"/>
  <c r="T90" i="2"/>
  <c r="W834" i="2"/>
  <c r="X80" i="2"/>
  <c r="X81" i="2" s="1"/>
  <c r="AG817" i="2"/>
  <c r="X407" i="2" l="1"/>
  <c r="V87" i="2"/>
  <c r="U90" i="2"/>
  <c r="X215" i="2"/>
  <c r="Y77" i="2"/>
  <c r="Y78" i="2" s="1"/>
  <c r="Y79" i="2"/>
  <c r="X433" i="2"/>
  <c r="X813" i="2"/>
  <c r="X483" i="2"/>
  <c r="AH817" i="2"/>
  <c r="W87" i="2" l="1"/>
  <c r="V90" i="2"/>
  <c r="Y80" i="2"/>
  <c r="Y407" i="2" s="1"/>
  <c r="X914" i="2"/>
  <c r="X921" i="2" s="1"/>
  <c r="X834" i="2"/>
  <c r="AI817" i="2"/>
  <c r="X87" i="2" l="1"/>
  <c r="W90" i="2"/>
  <c r="Y81" i="2"/>
  <c r="Z79" i="2" s="1"/>
  <c r="Y215" i="2"/>
  <c r="Y433" i="2"/>
  <c r="Y813" i="2"/>
  <c r="Y483" i="2"/>
  <c r="AJ817" i="2"/>
  <c r="Y87" i="2" l="1"/>
  <c r="X90" i="2"/>
  <c r="Z77" i="2"/>
  <c r="Z78" i="2" s="1"/>
  <c r="Y914" i="2"/>
  <c r="Y921" i="2" s="1"/>
  <c r="Y834" i="2"/>
  <c r="AK817" i="2"/>
  <c r="Z87" i="2" l="1"/>
  <c r="Y90" i="2"/>
  <c r="Z80" i="2"/>
  <c r="Z407" i="2" s="1"/>
  <c r="AL817" i="2"/>
  <c r="AA87" i="2" l="1"/>
  <c r="Z90" i="2"/>
  <c r="Z433" i="2"/>
  <c r="Z813" i="2"/>
  <c r="Z834" i="2" s="1"/>
  <c r="Z483" i="2"/>
  <c r="Z215" i="2"/>
  <c r="Z81" i="2"/>
  <c r="AM817" i="2"/>
  <c r="AB87" i="2" l="1"/>
  <c r="AA90" i="2"/>
  <c r="Z914" i="2"/>
  <c r="Z921" i="2" s="1"/>
  <c r="AA77" i="2"/>
  <c r="AA78" i="2" s="1"/>
  <c r="AA79" i="2"/>
  <c r="AC87" i="2" l="1"/>
  <c r="AB90" i="2"/>
  <c r="AA80" i="2"/>
  <c r="AA483" i="2" s="1"/>
  <c r="AN817" i="2"/>
  <c r="AA407" i="2" l="1"/>
  <c r="AD87" i="2"/>
  <c r="AC90" i="2"/>
  <c r="AA215" i="2"/>
  <c r="AA81" i="2"/>
  <c r="AA813" i="2"/>
  <c r="AA433" i="2"/>
  <c r="AO817" i="2"/>
  <c r="AE87" i="2" l="1"/>
  <c r="AD90" i="2"/>
  <c r="AA914" i="2"/>
  <c r="AA921" i="2" s="1"/>
  <c r="AA834" i="2"/>
  <c r="AB77" i="2"/>
  <c r="AB78" i="2" s="1"/>
  <c r="AB79" i="2"/>
  <c r="AP817" i="2"/>
  <c r="AB80" i="2" l="1"/>
  <c r="AB407" i="2" s="1"/>
  <c r="AF87" i="2"/>
  <c r="AE90" i="2"/>
  <c r="AQ817" i="2"/>
  <c r="AB433" i="2" l="1"/>
  <c r="AB483" i="2"/>
  <c r="AB81" i="2"/>
  <c r="AC77" i="2" s="1"/>
  <c r="AC78" i="2" s="1"/>
  <c r="AB215" i="2"/>
  <c r="AB813" i="2"/>
  <c r="AB834" i="2" s="1"/>
  <c r="AG87" i="2"/>
  <c r="AF90" i="2"/>
  <c r="AR817" i="2"/>
  <c r="AC79" i="2" l="1"/>
  <c r="AC80" i="2" s="1"/>
  <c r="AC433" i="2" s="1"/>
  <c r="AB914" i="2"/>
  <c r="AB921" i="2" s="1"/>
  <c r="AH87" i="2"/>
  <c r="AG90" i="2"/>
  <c r="AS817" i="2"/>
  <c r="AC215" i="2" l="1"/>
  <c r="AC813" i="2"/>
  <c r="AC834" i="2" s="1"/>
  <c r="AC483" i="2"/>
  <c r="AC407" i="2"/>
  <c r="AC81" i="2"/>
  <c r="AD79" i="2" s="1"/>
  <c r="AI87" i="2"/>
  <c r="AH90" i="2"/>
  <c r="AT817" i="2"/>
  <c r="AC914" i="2" l="1"/>
  <c r="AC921" i="2" s="1"/>
  <c r="AD77" i="2"/>
  <c r="AJ87" i="2"/>
  <c r="AI90" i="2"/>
  <c r="AU817" i="2"/>
  <c r="AD80" i="2" l="1"/>
  <c r="AD78" i="2"/>
  <c r="AK87" i="2"/>
  <c r="AJ90" i="2"/>
  <c r="AV817" i="2"/>
  <c r="AD215" i="2" l="1"/>
  <c r="AD813" i="2"/>
  <c r="AD834" i="2" s="1"/>
  <c r="AD483" i="2"/>
  <c r="AD433" i="2"/>
  <c r="AD81" i="2"/>
  <c r="AE77" i="2" s="1"/>
  <c r="AE78" i="2" s="1"/>
  <c r="AD407" i="2"/>
  <c r="AL87" i="2"/>
  <c r="AK90" i="2"/>
  <c r="AW817" i="2"/>
  <c r="G817" i="2"/>
  <c r="AE79" i="2" l="1"/>
  <c r="AE80" i="2" s="1"/>
  <c r="AE215" i="2" s="1"/>
  <c r="AD914" i="2"/>
  <c r="AD921" i="2" s="1"/>
  <c r="AM87" i="2"/>
  <c r="AL90" i="2"/>
  <c r="AX817" i="2"/>
  <c r="AE813" i="2" l="1"/>
  <c r="AE834" i="2" s="1"/>
  <c r="AE433" i="2"/>
  <c r="AE483" i="2"/>
  <c r="AE81" i="2"/>
  <c r="AF77" i="2" s="1"/>
  <c r="AF78" i="2" s="1"/>
  <c r="AE407" i="2"/>
  <c r="AN87" i="2"/>
  <c r="AM90" i="2"/>
  <c r="AY817" i="2"/>
  <c r="AE914" i="2" l="1"/>
  <c r="AE921" i="2" s="1"/>
  <c r="AF79" i="2"/>
  <c r="AF80" i="2" s="1"/>
  <c r="AO87" i="2"/>
  <c r="AN90" i="2"/>
  <c r="AZ817" i="2"/>
  <c r="AF483" i="2" l="1"/>
  <c r="AF81" i="2"/>
  <c r="AG77" i="2" s="1"/>
  <c r="AG78" i="2" s="1"/>
  <c r="AF433" i="2"/>
  <c r="AF407" i="2"/>
  <c r="AF215" i="2"/>
  <c r="AF813" i="2"/>
  <c r="AP87" i="2"/>
  <c r="AO90" i="2"/>
  <c r="BA817" i="2"/>
  <c r="AG79" i="2" l="1"/>
  <c r="AG80" i="2" s="1"/>
  <c r="AG81" i="2" s="1"/>
  <c r="AH79" i="2" s="1"/>
  <c r="AF834" i="2"/>
  <c r="AF914" i="2"/>
  <c r="AF921" i="2" s="1"/>
  <c r="AQ87" i="2"/>
  <c r="AP90" i="2"/>
  <c r="BB817" i="2"/>
  <c r="AG215" i="2" l="1"/>
  <c r="AG813" i="2"/>
  <c r="AG834" i="2" s="1"/>
  <c r="AG433" i="2"/>
  <c r="AG483" i="2"/>
  <c r="AG407" i="2"/>
  <c r="AH77" i="2"/>
  <c r="AH78" i="2" s="1"/>
  <c r="AR87" i="2"/>
  <c r="AQ90" i="2"/>
  <c r="BC817" i="2"/>
  <c r="AH80" i="2" l="1"/>
  <c r="AH81" i="2" s="1"/>
  <c r="AI77" i="2" s="1"/>
  <c r="AI78" i="2" s="1"/>
  <c r="AG914" i="2"/>
  <c r="AG921" i="2" s="1"/>
  <c r="AS87" i="2"/>
  <c r="AR90" i="2"/>
  <c r="C477" i="2"/>
  <c r="AH433" i="2" l="1"/>
  <c r="AH813" i="2"/>
  <c r="AH834" i="2" s="1"/>
  <c r="AH215" i="2"/>
  <c r="AH483" i="2"/>
  <c r="AH407" i="2"/>
  <c r="AI79" i="2"/>
  <c r="AI80" i="2" s="1"/>
  <c r="AI407" i="2" s="1"/>
  <c r="AT87" i="2"/>
  <c r="AS90" i="2"/>
  <c r="C427" i="2"/>
  <c r="BD817" i="2"/>
  <c r="C817" i="2" s="1"/>
  <c r="C796" i="2"/>
  <c r="AH914" i="2" l="1"/>
  <c r="AH921" i="2" s="1"/>
  <c r="AI215" i="2"/>
  <c r="AI813" i="2"/>
  <c r="AI834" i="2" s="1"/>
  <c r="AI483" i="2"/>
  <c r="AI433" i="2"/>
  <c r="AI81" i="2"/>
  <c r="AJ79" i="2" s="1"/>
  <c r="AU87" i="2"/>
  <c r="AT90" i="2"/>
  <c r="AJ77" i="2" l="1"/>
  <c r="AJ80" i="2" s="1"/>
  <c r="AI914" i="2"/>
  <c r="AI921" i="2" s="1"/>
  <c r="AV87" i="2"/>
  <c r="AU90" i="2"/>
  <c r="G557" i="2"/>
  <c r="AJ78" i="2" l="1"/>
  <c r="AJ407" i="2" s="1"/>
  <c r="AW87" i="2"/>
  <c r="AV90" i="2"/>
  <c r="G801" i="2"/>
  <c r="G559" i="2"/>
  <c r="G894" i="2"/>
  <c r="G904" i="2" s="1"/>
  <c r="AJ813" i="2" l="1"/>
  <c r="AJ914" i="2" s="1"/>
  <c r="AJ921" i="2" s="1"/>
  <c r="AJ483" i="2"/>
  <c r="AJ81" i="2"/>
  <c r="AK79" i="2" s="1"/>
  <c r="AJ433" i="2"/>
  <c r="AJ215" i="2"/>
  <c r="AX87" i="2"/>
  <c r="AW90" i="2"/>
  <c r="G822" i="2"/>
  <c r="G805" i="2"/>
  <c r="AJ834" i="2" l="1"/>
  <c r="AK77" i="2"/>
  <c r="AK80" i="2" s="1"/>
  <c r="AK78" i="2"/>
  <c r="AY87" i="2"/>
  <c r="AX90" i="2"/>
  <c r="H557" i="2"/>
  <c r="G826" i="2"/>
  <c r="AK407" i="2" l="1"/>
  <c r="AK483" i="2"/>
  <c r="AK813" i="2"/>
  <c r="AK914" i="2" s="1"/>
  <c r="AK921" i="2" s="1"/>
  <c r="AK215" i="2"/>
  <c r="AK433" i="2"/>
  <c r="AK81" i="2"/>
  <c r="AZ87" i="2"/>
  <c r="AY90" i="2"/>
  <c r="H805" i="2"/>
  <c r="AK834" i="2" l="1"/>
  <c r="AL77" i="2"/>
  <c r="AL78" i="2" s="1"/>
  <c r="AL79" i="2"/>
  <c r="BA87" i="2"/>
  <c r="AZ90" i="2"/>
  <c r="I557" i="2"/>
  <c r="H826" i="2"/>
  <c r="AL80" i="2" l="1"/>
  <c r="AL483" i="2" s="1"/>
  <c r="BB87" i="2"/>
  <c r="BA90" i="2"/>
  <c r="I805" i="2"/>
  <c r="AL407" i="2" l="1"/>
  <c r="AL81" i="2"/>
  <c r="AM77" i="2" s="1"/>
  <c r="AM78" i="2" s="1"/>
  <c r="AL433" i="2"/>
  <c r="AL215" i="2"/>
  <c r="AL813" i="2"/>
  <c r="AL914" i="2" s="1"/>
  <c r="AL921" i="2" s="1"/>
  <c r="BC87" i="2"/>
  <c r="BB90" i="2"/>
  <c r="J557" i="2"/>
  <c r="I826" i="2"/>
  <c r="AL834" i="2" l="1"/>
  <c r="AM79" i="2"/>
  <c r="AM80" i="2" s="1"/>
  <c r="AM483" i="2" s="1"/>
  <c r="BD87" i="2"/>
  <c r="BD90" i="2" s="1"/>
  <c r="BC90" i="2"/>
  <c r="J805" i="2"/>
  <c r="AM215" i="2" l="1"/>
  <c r="AM81" i="2"/>
  <c r="AN77" i="2" s="1"/>
  <c r="AN78" i="2" s="1"/>
  <c r="AM433" i="2"/>
  <c r="AM407" i="2"/>
  <c r="AM813" i="2"/>
  <c r="AM914" i="2" s="1"/>
  <c r="AM921" i="2" s="1"/>
  <c r="BC91" i="2"/>
  <c r="AU91" i="2"/>
  <c r="BB91" i="2"/>
  <c r="BD91" i="2"/>
  <c r="G91" i="2"/>
  <c r="G98" i="2" s="1"/>
  <c r="C90" i="2"/>
  <c r="J91" i="2"/>
  <c r="I91" i="2"/>
  <c r="H91" i="2"/>
  <c r="M91" i="2"/>
  <c r="L91" i="2"/>
  <c r="K91" i="2"/>
  <c r="O91" i="2"/>
  <c r="P91" i="2"/>
  <c r="Q91" i="2"/>
  <c r="R91" i="2"/>
  <c r="S91" i="2"/>
  <c r="T91" i="2"/>
  <c r="N91" i="2"/>
  <c r="U91" i="2"/>
  <c r="W91" i="2"/>
  <c r="Y91" i="2"/>
  <c r="X91" i="2"/>
  <c r="Z91" i="2"/>
  <c r="AB91" i="2"/>
  <c r="V91" i="2"/>
  <c r="AE91" i="2"/>
  <c r="AC91" i="2"/>
  <c r="AA91" i="2"/>
  <c r="AF91" i="2"/>
  <c r="AH91" i="2"/>
  <c r="AD91" i="2"/>
  <c r="AI91" i="2"/>
  <c r="AG91" i="2"/>
  <c r="AJ91" i="2"/>
  <c r="AM91" i="2"/>
  <c r="AK91" i="2"/>
  <c r="AN91" i="2"/>
  <c r="AL91" i="2"/>
  <c r="AP91" i="2"/>
  <c r="AT91" i="2"/>
  <c r="AQ91" i="2"/>
  <c r="AR91" i="2"/>
  <c r="AS91" i="2"/>
  <c r="AO91" i="2"/>
  <c r="AW91" i="2"/>
  <c r="AV91" i="2"/>
  <c r="AY91" i="2"/>
  <c r="AZ91" i="2"/>
  <c r="AX91" i="2"/>
  <c r="BA91" i="2"/>
  <c r="K557" i="2"/>
  <c r="J826" i="2"/>
  <c r="AN79" i="2" l="1"/>
  <c r="AN80" i="2" s="1"/>
  <c r="AN81" i="2" s="1"/>
  <c r="AO77" i="2" s="1"/>
  <c r="AO78" i="2" s="1"/>
  <c r="AM834" i="2"/>
  <c r="G99" i="2"/>
  <c r="H93" i="2" s="1"/>
  <c r="G519" i="2"/>
  <c r="G101" i="2"/>
  <c r="K805" i="2"/>
  <c r="C254" i="2"/>
  <c r="AN407" i="2" l="1"/>
  <c r="H95" i="2"/>
  <c r="AN215" i="2"/>
  <c r="AO79" i="2"/>
  <c r="AN483" i="2"/>
  <c r="G216" i="2"/>
  <c r="G258" i="2"/>
  <c r="G577" i="2"/>
  <c r="G802" i="2"/>
  <c r="G532" i="2"/>
  <c r="G587" i="2"/>
  <c r="AN433" i="2"/>
  <c r="G534" i="2"/>
  <c r="G804" i="2"/>
  <c r="G578" i="2"/>
  <c r="G860" i="2"/>
  <c r="G589" i="2"/>
  <c r="AN813" i="2"/>
  <c r="AN834" i="2" s="1"/>
  <c r="K826" i="2"/>
  <c r="H96" i="2" l="1"/>
  <c r="H408" i="2" s="1"/>
  <c r="AO80" i="2"/>
  <c r="AO81" i="2" s="1"/>
  <c r="AP79" i="2" s="1"/>
  <c r="G823" i="2"/>
  <c r="G883" i="2"/>
  <c r="G898" i="2"/>
  <c r="G825" i="2"/>
  <c r="AN914" i="2"/>
  <c r="AN921" i="2" s="1"/>
  <c r="L557" i="2"/>
  <c r="L805" i="2"/>
  <c r="H434" i="2" l="1"/>
  <c r="H97" i="2"/>
  <c r="H98" i="2" s="1"/>
  <c r="H609" i="2"/>
  <c r="AO407" i="2"/>
  <c r="AO813" i="2"/>
  <c r="AO914" i="2" s="1"/>
  <c r="AO921" i="2" s="1"/>
  <c r="AO433" i="2"/>
  <c r="AO483" i="2"/>
  <c r="AP77" i="2"/>
  <c r="AO215" i="2"/>
  <c r="G908" i="2"/>
  <c r="G982" i="2"/>
  <c r="L826" i="2"/>
  <c r="AP80" i="2" l="1"/>
  <c r="AP78" i="2"/>
  <c r="C78" i="2" s="1"/>
  <c r="H101" i="2"/>
  <c r="H216" i="2" s="1"/>
  <c r="H519" i="2"/>
  <c r="H99" i="2"/>
  <c r="I93" i="2" s="1"/>
  <c r="I95" i="2" s="1"/>
  <c r="I96" i="2" s="1"/>
  <c r="I408" i="2" s="1"/>
  <c r="AO834" i="2"/>
  <c r="M557" i="2"/>
  <c r="M805" i="2"/>
  <c r="AP215" i="2" l="1"/>
  <c r="AP407" i="2"/>
  <c r="AP81" i="2"/>
  <c r="AQ79" i="2" s="1"/>
  <c r="AP813" i="2"/>
  <c r="AP834" i="2" s="1"/>
  <c r="AP483" i="2"/>
  <c r="AP433" i="2"/>
  <c r="H587" i="2"/>
  <c r="H532" i="2"/>
  <c r="H258" i="2"/>
  <c r="H577" i="2"/>
  <c r="H898" i="2" s="1"/>
  <c r="H908" i="2" s="1"/>
  <c r="H802" i="2"/>
  <c r="H823" i="2" s="1"/>
  <c r="H534" i="2"/>
  <c r="H578" i="2"/>
  <c r="H860" i="2"/>
  <c r="H883" i="2" s="1"/>
  <c r="H982" i="2" s="1"/>
  <c r="H804" i="2"/>
  <c r="H825" i="2" s="1"/>
  <c r="H589" i="2"/>
  <c r="I434" i="2"/>
  <c r="I609" i="2"/>
  <c r="I97" i="2"/>
  <c r="I98" i="2" s="1"/>
  <c r="I101" i="2" s="1"/>
  <c r="I577" i="2" s="1"/>
  <c r="I898" i="2"/>
  <c r="M826" i="2"/>
  <c r="AP914" i="2" l="1"/>
  <c r="AP921" i="2" s="1"/>
  <c r="AQ77" i="2"/>
  <c r="AQ80" i="2" s="1"/>
  <c r="AQ81" i="2" s="1"/>
  <c r="I519" i="2"/>
  <c r="I860" i="2" s="1"/>
  <c r="I883" i="2" s="1"/>
  <c r="I982" i="2" s="1"/>
  <c r="I802" i="2"/>
  <c r="I823" i="2" s="1"/>
  <c r="I532" i="2"/>
  <c r="I587" i="2"/>
  <c r="I258" i="2"/>
  <c r="I99" i="2"/>
  <c r="J93" i="2" s="1"/>
  <c r="J95" i="2" s="1"/>
  <c r="J96" i="2" s="1"/>
  <c r="J408" i="2" s="1"/>
  <c r="I216" i="2"/>
  <c r="I908" i="2"/>
  <c r="O557" i="2"/>
  <c r="I534" i="2" l="1"/>
  <c r="I578" i="2"/>
  <c r="I804" i="2"/>
  <c r="I825" i="2" s="1"/>
  <c r="I589" i="2"/>
  <c r="J97" i="2"/>
  <c r="J98" i="2" s="1"/>
  <c r="J101" i="2" s="1"/>
  <c r="J434" i="2"/>
  <c r="J609" i="2"/>
  <c r="AQ407" i="2"/>
  <c r="AQ215" i="2"/>
  <c r="AR79" i="2"/>
  <c r="AR77" i="2"/>
  <c r="AQ813" i="2"/>
  <c r="AQ483" i="2"/>
  <c r="AQ433" i="2"/>
  <c r="P557" i="2"/>
  <c r="J519" i="2" l="1"/>
  <c r="J589" i="2" s="1"/>
  <c r="J99" i="2"/>
  <c r="K93" i="2" s="1"/>
  <c r="K95" i="2" s="1"/>
  <c r="K96" i="2" s="1"/>
  <c r="K408" i="2" s="1"/>
  <c r="J577" i="2"/>
  <c r="J532" i="2"/>
  <c r="J216" i="2"/>
  <c r="J258" i="2"/>
  <c r="J802" i="2"/>
  <c r="J587" i="2"/>
  <c r="AQ914" i="2"/>
  <c r="AQ921" i="2" s="1"/>
  <c r="AQ834" i="2"/>
  <c r="AR80" i="2"/>
  <c r="AR433" i="2" s="1"/>
  <c r="P805" i="2"/>
  <c r="J578" i="2" l="1"/>
  <c r="J534" i="2"/>
  <c r="J860" i="2"/>
  <c r="J883" i="2" s="1"/>
  <c r="J804" i="2"/>
  <c r="J825" i="2" s="1"/>
  <c r="K97" i="2"/>
  <c r="K98" i="2" s="1"/>
  <c r="K101" i="2" s="1"/>
  <c r="K532" i="2" s="1"/>
  <c r="K609" i="2"/>
  <c r="K434" i="2"/>
  <c r="AR407" i="2"/>
  <c r="J823" i="2"/>
  <c r="J898" i="2"/>
  <c r="AR215" i="2"/>
  <c r="AR483" i="2"/>
  <c r="AR813" i="2"/>
  <c r="AR81" i="2"/>
  <c r="Q557" i="2"/>
  <c r="P826" i="2"/>
  <c r="K519" i="2" l="1"/>
  <c r="K860" i="2" s="1"/>
  <c r="K883" i="2" s="1"/>
  <c r="K982" i="2" s="1"/>
  <c r="K99" i="2"/>
  <c r="L93" i="2" s="1"/>
  <c r="L95" i="2" s="1"/>
  <c r="L96" i="2" s="1"/>
  <c r="L408" i="2" s="1"/>
  <c r="K577" i="2"/>
  <c r="K898" i="2" s="1"/>
  <c r="K908" i="2" s="1"/>
  <c r="K258" i="2"/>
  <c r="K802" i="2"/>
  <c r="K823" i="2" s="1"/>
  <c r="K587" i="2"/>
  <c r="K216" i="2"/>
  <c r="J908" i="2"/>
  <c r="J982" i="2"/>
  <c r="AR914" i="2"/>
  <c r="AR921" i="2" s="1"/>
  <c r="AR834" i="2"/>
  <c r="AS77" i="2"/>
  <c r="AS79" i="2"/>
  <c r="R557" i="2"/>
  <c r="K578" i="2" l="1"/>
  <c r="K589" i="2"/>
  <c r="K804" i="2"/>
  <c r="K825" i="2" s="1"/>
  <c r="K534" i="2"/>
  <c r="L97" i="2"/>
  <c r="L98" i="2" s="1"/>
  <c r="L99" i="2" s="1"/>
  <c r="M93" i="2" s="1"/>
  <c r="L609" i="2"/>
  <c r="L434" i="2"/>
  <c r="AS80" i="2"/>
  <c r="AS433" i="2" s="1"/>
  <c r="R805" i="2"/>
  <c r="L519" i="2" l="1"/>
  <c r="L534" i="2" s="1"/>
  <c r="L101" i="2"/>
  <c r="L587" i="2" s="1"/>
  <c r="AS407" i="2"/>
  <c r="M95" i="2"/>
  <c r="AS215" i="2"/>
  <c r="AS81" i="2"/>
  <c r="AT77" i="2" s="1"/>
  <c r="AS813" i="2"/>
  <c r="AS914" i="2" s="1"/>
  <c r="AS921" i="2" s="1"/>
  <c r="AS483" i="2"/>
  <c r="S557" i="2"/>
  <c r="R826" i="2"/>
  <c r="L578" i="2" l="1"/>
  <c r="L804" i="2"/>
  <c r="L825" i="2" s="1"/>
  <c r="L589" i="2"/>
  <c r="L860" i="2"/>
  <c r="L883" i="2" s="1"/>
  <c r="L982" i="2" s="1"/>
  <c r="L802" i="2"/>
  <c r="L823" i="2" s="1"/>
  <c r="L258" i="2"/>
  <c r="L216" i="2"/>
  <c r="L577" i="2"/>
  <c r="L532" i="2"/>
  <c r="M96" i="2"/>
  <c r="M408" i="2" s="1"/>
  <c r="L898" i="2"/>
  <c r="AT79" i="2"/>
  <c r="AS834" i="2"/>
  <c r="M97" i="2" l="1"/>
  <c r="M98" i="2" s="1"/>
  <c r="M101" i="2" s="1"/>
  <c r="M258" i="2" s="1"/>
  <c r="M609" i="2"/>
  <c r="M434" i="2"/>
  <c r="L908" i="2"/>
  <c r="AT80" i="2"/>
  <c r="AT433" i="2" s="1"/>
  <c r="T557" i="2"/>
  <c r="M519" i="2" l="1"/>
  <c r="M578" i="2" s="1"/>
  <c r="M99" i="2"/>
  <c r="N93" i="2" s="1"/>
  <c r="N95" i="2" s="1"/>
  <c r="N96" i="2" s="1"/>
  <c r="N408" i="2" s="1"/>
  <c r="AT407" i="2"/>
  <c r="M802" i="2"/>
  <c r="M823" i="2" s="1"/>
  <c r="M216" i="2"/>
  <c r="M587" i="2"/>
  <c r="M577" i="2"/>
  <c r="M898" i="2" s="1"/>
  <c r="M908" i="2" s="1"/>
  <c r="M532" i="2"/>
  <c r="AT81" i="2"/>
  <c r="AU77" i="2" s="1"/>
  <c r="AT215" i="2"/>
  <c r="AT483" i="2"/>
  <c r="AT813" i="2"/>
  <c r="AT914" i="2" s="1"/>
  <c r="AT921" i="2" s="1"/>
  <c r="M804" i="2" l="1"/>
  <c r="M825" i="2" s="1"/>
  <c r="M860" i="2"/>
  <c r="M883" i="2" s="1"/>
  <c r="M982" i="2" s="1"/>
  <c r="M589" i="2"/>
  <c r="M534" i="2"/>
  <c r="N609" i="2"/>
  <c r="N434" i="2"/>
  <c r="N97" i="2"/>
  <c r="N98" i="2" s="1"/>
  <c r="AT834" i="2"/>
  <c r="AU79" i="2"/>
  <c r="U557" i="2"/>
  <c r="V557" i="2"/>
  <c r="N101" i="2" l="1"/>
  <c r="N258" i="2" s="1"/>
  <c r="N519" i="2"/>
  <c r="N99" i="2"/>
  <c r="O93" i="2" s="1"/>
  <c r="O95" i="2" s="1"/>
  <c r="O96" i="2" s="1"/>
  <c r="O408" i="2" s="1"/>
  <c r="AU80" i="2"/>
  <c r="AU433" i="2" s="1"/>
  <c r="N587" i="2" l="1"/>
  <c r="N216" i="2"/>
  <c r="N577" i="2"/>
  <c r="N898" i="2" s="1"/>
  <c r="N908" i="2" s="1"/>
  <c r="N532" i="2"/>
  <c r="N802" i="2"/>
  <c r="N823" i="2" s="1"/>
  <c r="N578" i="2"/>
  <c r="N534" i="2"/>
  <c r="N804" i="2"/>
  <c r="N825" i="2" s="1"/>
  <c r="N860" i="2"/>
  <c r="N883" i="2" s="1"/>
  <c r="N982" i="2" s="1"/>
  <c r="N589" i="2"/>
  <c r="O609" i="2"/>
  <c r="O97" i="2"/>
  <c r="O98" i="2" s="1"/>
  <c r="O101" i="2" s="1"/>
  <c r="O577" i="2" s="1"/>
  <c r="O898" i="2" s="1"/>
  <c r="O908" i="2" s="1"/>
  <c r="O434" i="2"/>
  <c r="AU407" i="2"/>
  <c r="AU215" i="2"/>
  <c r="AU813" i="2"/>
  <c r="AU834" i="2" s="1"/>
  <c r="AU483" i="2"/>
  <c r="AU81" i="2"/>
  <c r="AV77" i="2" s="1"/>
  <c r="W557" i="2"/>
  <c r="O519" i="2" l="1"/>
  <c r="O802" i="2"/>
  <c r="O823" i="2" s="1"/>
  <c r="O587" i="2"/>
  <c r="O258" i="2"/>
  <c r="O216" i="2"/>
  <c r="O99" i="2"/>
  <c r="P93" i="2" s="1"/>
  <c r="P95" i="2" s="1"/>
  <c r="P96" i="2" s="1"/>
  <c r="P408" i="2" s="1"/>
  <c r="O532" i="2"/>
  <c r="AU914" i="2"/>
  <c r="AU921" i="2" s="1"/>
  <c r="AV79" i="2"/>
  <c r="X557" i="2"/>
  <c r="O534" i="2" l="1"/>
  <c r="O589" i="2"/>
  <c r="O860" i="2"/>
  <c r="O883" i="2" s="1"/>
  <c r="O982" i="2" s="1"/>
  <c r="O804" i="2"/>
  <c r="O825" i="2" s="1"/>
  <c r="O578" i="2"/>
  <c r="P434" i="2"/>
  <c r="P609" i="2"/>
  <c r="P97" i="2"/>
  <c r="P98" i="2" s="1"/>
  <c r="P101" i="2" s="1"/>
  <c r="P258" i="2" s="1"/>
  <c r="AV80" i="2"/>
  <c r="AV433" i="2" s="1"/>
  <c r="Y557" i="2"/>
  <c r="P519" i="2" l="1"/>
  <c r="P802" i="2"/>
  <c r="P823" i="2" s="1"/>
  <c r="P532" i="2"/>
  <c r="P216" i="2"/>
  <c r="P577" i="2"/>
  <c r="P898" i="2" s="1"/>
  <c r="P908" i="2" s="1"/>
  <c r="P99" i="2"/>
  <c r="Q93" i="2" s="1"/>
  <c r="Q95" i="2" s="1"/>
  <c r="Q96" i="2" s="1"/>
  <c r="Q408" i="2" s="1"/>
  <c r="P587" i="2"/>
  <c r="AV407" i="2"/>
  <c r="AV81" i="2"/>
  <c r="AW79" i="2" s="1"/>
  <c r="AV215" i="2"/>
  <c r="AV813" i="2"/>
  <c r="AV834" i="2" s="1"/>
  <c r="AV483" i="2"/>
  <c r="P578" i="2" l="1"/>
  <c r="P589" i="2"/>
  <c r="P860" i="2"/>
  <c r="P883" i="2" s="1"/>
  <c r="P982" i="2" s="1"/>
  <c r="P534" i="2"/>
  <c r="P804" i="2"/>
  <c r="P825" i="2" s="1"/>
  <c r="Q609" i="2"/>
  <c r="Q97" i="2"/>
  <c r="Q98" i="2" s="1"/>
  <c r="Q99" i="2" s="1"/>
  <c r="R93" i="2" s="1"/>
  <c r="Q434" i="2"/>
  <c r="AW77" i="2"/>
  <c r="AW80" i="2" s="1"/>
  <c r="AW81" i="2" s="1"/>
  <c r="AX77" i="2" s="1"/>
  <c r="AV914" i="2"/>
  <c r="AV921" i="2" s="1"/>
  <c r="Z557" i="2"/>
  <c r="Q519" i="2" l="1"/>
  <c r="Q534" i="2" s="1"/>
  <c r="Q101" i="2"/>
  <c r="Q577" i="2" s="1"/>
  <c r="Q898" i="2" s="1"/>
  <c r="Q908" i="2" s="1"/>
  <c r="AW407" i="2"/>
  <c r="R95" i="2"/>
  <c r="AW433" i="2"/>
  <c r="AW483" i="2"/>
  <c r="AX79" i="2"/>
  <c r="AW813" i="2"/>
  <c r="AW834" i="2" s="1"/>
  <c r="AW215" i="2"/>
  <c r="Q802" i="2" l="1"/>
  <c r="Q823" i="2" s="1"/>
  <c r="Q589" i="2"/>
  <c r="Q804" i="2"/>
  <c r="Q825" i="2" s="1"/>
  <c r="Q860" i="2"/>
  <c r="Q883" i="2" s="1"/>
  <c r="Q982" i="2" s="1"/>
  <c r="Q578" i="2"/>
  <c r="Q216" i="2"/>
  <c r="Q258" i="2"/>
  <c r="Q532" i="2"/>
  <c r="Q587" i="2"/>
  <c r="R96" i="2"/>
  <c r="R408" i="2" s="1"/>
  <c r="AX80" i="2"/>
  <c r="AX433" i="2" s="1"/>
  <c r="AW914" i="2"/>
  <c r="AW921" i="2" s="1"/>
  <c r="AA557" i="2"/>
  <c r="R97" i="2" l="1"/>
  <c r="R98" i="2" s="1"/>
  <c r="R434" i="2"/>
  <c r="R609" i="2"/>
  <c r="AX407" i="2"/>
  <c r="AX813" i="2"/>
  <c r="AX914" i="2" s="1"/>
  <c r="AX921" i="2" s="1"/>
  <c r="AX215" i="2"/>
  <c r="AX81" i="2"/>
  <c r="AY79" i="2" s="1"/>
  <c r="AX483" i="2"/>
  <c r="R101" i="2" l="1"/>
  <c r="R802" i="2" s="1"/>
  <c r="R823" i="2" s="1"/>
  <c r="R519" i="2"/>
  <c r="R99" i="2"/>
  <c r="S93" i="2" s="1"/>
  <c r="S95" i="2" s="1"/>
  <c r="S96" i="2" s="1"/>
  <c r="S408" i="2" s="1"/>
  <c r="AX834" i="2"/>
  <c r="AY77" i="2"/>
  <c r="AY80" i="2" s="1"/>
  <c r="AY433" i="2" s="1"/>
  <c r="AB557" i="2"/>
  <c r="R258" i="2" l="1"/>
  <c r="R587" i="2"/>
  <c r="R577" i="2"/>
  <c r="R898" i="2" s="1"/>
  <c r="R908" i="2" s="1"/>
  <c r="R532" i="2"/>
  <c r="R216" i="2"/>
  <c r="R804" i="2"/>
  <c r="R825" i="2" s="1"/>
  <c r="R589" i="2"/>
  <c r="R534" i="2"/>
  <c r="R860" i="2"/>
  <c r="R883" i="2" s="1"/>
  <c r="R982" i="2" s="1"/>
  <c r="R578" i="2"/>
  <c r="S97" i="2"/>
  <c r="S98" i="2" s="1"/>
  <c r="S434" i="2"/>
  <c r="S609" i="2"/>
  <c r="AY407" i="2"/>
  <c r="AY813" i="2"/>
  <c r="AY914" i="2" s="1"/>
  <c r="AY921" i="2" s="1"/>
  <c r="AY215" i="2"/>
  <c r="AY483" i="2"/>
  <c r="AY81" i="2"/>
  <c r="AZ77" i="2" s="1"/>
  <c r="AC557" i="2"/>
  <c r="S101" i="2" l="1"/>
  <c r="S587" i="2" s="1"/>
  <c r="S519" i="2"/>
  <c r="S99" i="2"/>
  <c r="T93" i="2" s="1"/>
  <c r="T95" i="2" s="1"/>
  <c r="AY834" i="2"/>
  <c r="AZ79" i="2"/>
  <c r="T96" i="2" l="1"/>
  <c r="T434" i="2" s="1"/>
  <c r="S577" i="2"/>
  <c r="S898" i="2" s="1"/>
  <c r="S908" i="2" s="1"/>
  <c r="S532" i="2"/>
  <c r="S258" i="2"/>
  <c r="S216" i="2"/>
  <c r="S802" i="2"/>
  <c r="S823" i="2" s="1"/>
  <c r="S578" i="2"/>
  <c r="S804" i="2"/>
  <c r="S825" i="2" s="1"/>
  <c r="S860" i="2"/>
  <c r="S883" i="2" s="1"/>
  <c r="S982" i="2" s="1"/>
  <c r="S534" i="2"/>
  <c r="S589" i="2"/>
  <c r="AZ80" i="2"/>
  <c r="AZ483" i="2" s="1"/>
  <c r="AD557" i="2"/>
  <c r="T408" i="2" l="1"/>
  <c r="T97" i="2"/>
  <c r="T98" i="2" s="1"/>
  <c r="T101" i="2" s="1"/>
  <c r="T609" i="2"/>
  <c r="AZ407" i="2"/>
  <c r="AZ81" i="2"/>
  <c r="BA77" i="2" s="1"/>
  <c r="AZ215" i="2"/>
  <c r="AZ433" i="2"/>
  <c r="AZ813" i="2"/>
  <c r="AZ914" i="2" s="1"/>
  <c r="AZ921" i="2" s="1"/>
  <c r="AE557" i="2"/>
  <c r="T519" i="2" l="1"/>
  <c r="T804" i="2" s="1"/>
  <c r="T825" i="2" s="1"/>
  <c r="T99" i="2"/>
  <c r="U93" i="2" s="1"/>
  <c r="U95" i="2" s="1"/>
  <c r="U96" i="2" s="1"/>
  <c r="U97" i="2" s="1"/>
  <c r="U98" i="2" s="1"/>
  <c r="T258" i="2"/>
  <c r="T532" i="2"/>
  <c r="T587" i="2"/>
  <c r="T802" i="2"/>
  <c r="T823" i="2" s="1"/>
  <c r="T577" i="2"/>
  <c r="T898" i="2" s="1"/>
  <c r="T908" i="2" s="1"/>
  <c r="T216" i="2"/>
  <c r="BA79" i="2"/>
  <c r="AZ834" i="2"/>
  <c r="AF557" i="2"/>
  <c r="T860" i="2" l="1"/>
  <c r="T883" i="2" s="1"/>
  <c r="T982" i="2" s="1"/>
  <c r="T589" i="2"/>
  <c r="T578" i="2"/>
  <c r="T534" i="2"/>
  <c r="U408" i="2"/>
  <c r="U609" i="2"/>
  <c r="U434" i="2"/>
  <c r="U99" i="2"/>
  <c r="V93" i="2" s="1"/>
  <c r="V95" i="2" s="1"/>
  <c r="U519" i="2"/>
  <c r="BA80" i="2"/>
  <c r="BA433" i="2" s="1"/>
  <c r="U101" i="2"/>
  <c r="AF805" i="2"/>
  <c r="V96" i="2" l="1"/>
  <c r="V609" i="2" s="1"/>
  <c r="U534" i="2"/>
  <c r="U589" i="2"/>
  <c r="U804" i="2"/>
  <c r="U825" i="2" s="1"/>
  <c r="U860" i="2"/>
  <c r="U883" i="2" s="1"/>
  <c r="U982" i="2" s="1"/>
  <c r="U578" i="2"/>
  <c r="BA813" i="2"/>
  <c r="BA914" i="2" s="1"/>
  <c r="BA921" i="2" s="1"/>
  <c r="BA483" i="2"/>
  <c r="BA81" i="2"/>
  <c r="BB79" i="2" s="1"/>
  <c r="BA215" i="2"/>
  <c r="BA407" i="2"/>
  <c r="U577" i="2"/>
  <c r="U898" i="2" s="1"/>
  <c r="U908" i="2" s="1"/>
  <c r="U587" i="2"/>
  <c r="U216" i="2"/>
  <c r="U802" i="2"/>
  <c r="U823" i="2" s="1"/>
  <c r="U258" i="2"/>
  <c r="U532" i="2"/>
  <c r="AG557" i="2"/>
  <c r="AF826" i="2"/>
  <c r="V408" i="2" l="1"/>
  <c r="V434" i="2"/>
  <c r="V97" i="2"/>
  <c r="V98" i="2" s="1"/>
  <c r="V101" i="2" s="1"/>
  <c r="V577" i="2" s="1"/>
  <c r="V898" i="2" s="1"/>
  <c r="V908" i="2" s="1"/>
  <c r="BA834" i="2"/>
  <c r="BB77" i="2"/>
  <c r="BB80" i="2" s="1"/>
  <c r="AG805" i="2"/>
  <c r="V519" i="2" l="1"/>
  <c r="V534" i="2" s="1"/>
  <c r="V99" i="2"/>
  <c r="W93" i="2" s="1"/>
  <c r="W95" i="2" s="1"/>
  <c r="W96" i="2" s="1"/>
  <c r="W434" i="2" s="1"/>
  <c r="V802" i="2"/>
  <c r="V823" i="2" s="1"/>
  <c r="V587" i="2"/>
  <c r="V216" i="2"/>
  <c r="V258" i="2"/>
  <c r="V532" i="2"/>
  <c r="BB483" i="2"/>
  <c r="BB215" i="2"/>
  <c r="BB433" i="2"/>
  <c r="BB813" i="2"/>
  <c r="BB834" i="2" s="1"/>
  <c r="BB81" i="2"/>
  <c r="BC77" i="2" s="1"/>
  <c r="BB407" i="2"/>
  <c r="AH557" i="2"/>
  <c r="AG826" i="2"/>
  <c r="V589" i="2" l="1"/>
  <c r="V860" i="2"/>
  <c r="V883" i="2" s="1"/>
  <c r="V982" i="2" s="1"/>
  <c r="V804" i="2"/>
  <c r="V825" i="2" s="1"/>
  <c r="V578" i="2"/>
  <c r="W408" i="2"/>
  <c r="W97" i="2"/>
  <c r="W98" i="2" s="1"/>
  <c r="W101" i="2" s="1"/>
  <c r="W216" i="2" s="1"/>
  <c r="W609" i="2"/>
  <c r="BB914" i="2"/>
  <c r="BB921" i="2" s="1"/>
  <c r="BC79" i="2"/>
  <c r="BC80" i="2" s="1"/>
  <c r="BC81" i="2" s="1"/>
  <c r="BD77" i="2" s="1"/>
  <c r="W519" i="2" l="1"/>
  <c r="W534" i="2" s="1"/>
  <c r="W99" i="2"/>
  <c r="X93" i="2" s="1"/>
  <c r="X95" i="2" s="1"/>
  <c r="X96" i="2" s="1"/>
  <c r="X609" i="2" s="1"/>
  <c r="W802" i="2"/>
  <c r="W823" i="2" s="1"/>
  <c r="W577" i="2"/>
  <c r="W898" i="2" s="1"/>
  <c r="W908" i="2" s="1"/>
  <c r="W258" i="2"/>
  <c r="W587" i="2"/>
  <c r="W532" i="2"/>
  <c r="BC407" i="2"/>
  <c r="BC433" i="2"/>
  <c r="BC813" i="2"/>
  <c r="BC834" i="2" s="1"/>
  <c r="BC483" i="2"/>
  <c r="BC215" i="2"/>
  <c r="BD79" i="2"/>
  <c r="AI557" i="2"/>
  <c r="W589" i="2" l="1"/>
  <c r="W804" i="2"/>
  <c r="W825" i="2" s="1"/>
  <c r="W860" i="2"/>
  <c r="W883" i="2" s="1"/>
  <c r="W982" i="2" s="1"/>
  <c r="W578" i="2"/>
  <c r="X408" i="2"/>
  <c r="X434" i="2"/>
  <c r="X97" i="2"/>
  <c r="X98" i="2" s="1"/>
  <c r="BC914" i="2"/>
  <c r="BC921" i="2" s="1"/>
  <c r="BD80" i="2"/>
  <c r="BD215" i="2" s="1"/>
  <c r="C215" i="2" s="1"/>
  <c r="C79" i="2"/>
  <c r="X101" i="2" l="1"/>
  <c r="X216" i="2" s="1"/>
  <c r="X519" i="2"/>
  <c r="BD407" i="2"/>
  <c r="C407" i="2" s="1"/>
  <c r="X99" i="2"/>
  <c r="Y93" i="2" s="1"/>
  <c r="Y95" i="2" s="1"/>
  <c r="BD483" i="2"/>
  <c r="C483" i="2" s="1"/>
  <c r="BD433" i="2"/>
  <c r="C433" i="2" s="1"/>
  <c r="BD813" i="2"/>
  <c r="BD834" i="2" s="1"/>
  <c r="C80" i="2"/>
  <c r="BD81" i="2"/>
  <c r="Y96" i="2" l="1"/>
  <c r="Y434" i="2" s="1"/>
  <c r="X802" i="2"/>
  <c r="X823" i="2" s="1"/>
  <c r="X258" i="2"/>
  <c r="X577" i="2"/>
  <c r="X898" i="2" s="1"/>
  <c r="X908" i="2" s="1"/>
  <c r="X587" i="2"/>
  <c r="X532" i="2"/>
  <c r="X804" i="2"/>
  <c r="X825" i="2" s="1"/>
  <c r="X589" i="2"/>
  <c r="X578" i="2"/>
  <c r="X860" i="2"/>
  <c r="X883" i="2" s="1"/>
  <c r="X982" i="2" s="1"/>
  <c r="X534" i="2"/>
  <c r="G952" i="2"/>
  <c r="H952" i="2"/>
  <c r="C813" i="2"/>
  <c r="J952" i="2"/>
  <c r="C834" i="2"/>
  <c r="I952" i="2"/>
  <c r="BD914" i="2"/>
  <c r="BD921" i="2" s="1"/>
  <c r="C921" i="2" s="1"/>
  <c r="K952" i="2"/>
  <c r="AJ557" i="2"/>
  <c r="AJ805" i="2"/>
  <c r="Y97" i="2" l="1"/>
  <c r="Y98" i="2" s="1"/>
  <c r="Y101" i="2" s="1"/>
  <c r="Y408" i="2"/>
  <c r="Y609" i="2"/>
  <c r="C914" i="2"/>
  <c r="AJ826" i="2"/>
  <c r="Y519" i="2" l="1"/>
  <c r="Y804" i="2" s="1"/>
  <c r="Y825" i="2" s="1"/>
  <c r="Y99" i="2"/>
  <c r="Z93" i="2" s="1"/>
  <c r="Z95" i="2" s="1"/>
  <c r="Z96" i="2" s="1"/>
  <c r="Y802" i="2"/>
  <c r="Y823" i="2" s="1"/>
  <c r="Y258" i="2"/>
  <c r="Y577" i="2"/>
  <c r="Y898" i="2" s="1"/>
  <c r="Y908" i="2" s="1"/>
  <c r="Y532" i="2"/>
  <c r="Y587" i="2"/>
  <c r="Y216" i="2"/>
  <c r="AK805" i="2"/>
  <c r="Y534" i="2" l="1"/>
  <c r="Y578" i="2"/>
  <c r="Y860" i="2"/>
  <c r="Y883" i="2" s="1"/>
  <c r="Y982" i="2" s="1"/>
  <c r="Y589" i="2"/>
  <c r="Z408" i="2"/>
  <c r="Z97" i="2"/>
  <c r="Z98" i="2" s="1"/>
  <c r="Z99" i="2" s="1"/>
  <c r="AA93" i="2" s="1"/>
  <c r="AA95" i="2" s="1"/>
  <c r="Z609" i="2"/>
  <c r="Z434" i="2"/>
  <c r="AK826" i="2"/>
  <c r="Z519" i="2" l="1"/>
  <c r="Z534" i="2" s="1"/>
  <c r="Z101" i="2"/>
  <c r="Z216" i="2" s="1"/>
  <c r="AA96" i="2"/>
  <c r="AA408" i="2" s="1"/>
  <c r="AL557" i="2"/>
  <c r="AL805" i="2"/>
  <c r="Z804" i="2" l="1"/>
  <c r="Z825" i="2" s="1"/>
  <c r="Z589" i="2"/>
  <c r="Z860" i="2"/>
  <c r="Z883" i="2" s="1"/>
  <c r="Z982" i="2" s="1"/>
  <c r="Z578" i="2"/>
  <c r="Z587" i="2"/>
  <c r="Z532" i="2"/>
  <c r="Z577" i="2"/>
  <c r="Z898" i="2" s="1"/>
  <c r="Z908" i="2" s="1"/>
  <c r="AA434" i="2"/>
  <c r="Z258" i="2"/>
  <c r="Z802" i="2"/>
  <c r="Z823" i="2" s="1"/>
  <c r="AA97" i="2"/>
  <c r="AA98" i="2" s="1"/>
  <c r="AA101" i="2" s="1"/>
  <c r="AA609" i="2"/>
  <c r="AL826" i="2"/>
  <c r="AA519" i="2" l="1"/>
  <c r="AA534" i="2" s="1"/>
  <c r="AA99" i="2"/>
  <c r="AB93" i="2" s="1"/>
  <c r="AB95" i="2" s="1"/>
  <c r="AB96" i="2" s="1"/>
  <c r="AA802" i="2"/>
  <c r="AA823" i="2" s="1"/>
  <c r="AA258" i="2"/>
  <c r="AA587" i="2"/>
  <c r="AA532" i="2"/>
  <c r="AA216" i="2"/>
  <c r="AA577" i="2"/>
  <c r="AA898" i="2" s="1"/>
  <c r="AA908" i="2" s="1"/>
  <c r="AK557" i="2"/>
  <c r="AA804" i="2" l="1"/>
  <c r="AA825" i="2" s="1"/>
  <c r="AA860" i="2"/>
  <c r="AA883" i="2" s="1"/>
  <c r="AA982" i="2" s="1"/>
  <c r="AA578" i="2"/>
  <c r="AA589" i="2"/>
  <c r="AB434" i="2"/>
  <c r="AB609" i="2"/>
  <c r="AB408" i="2"/>
  <c r="AB97" i="2"/>
  <c r="AB98" i="2" s="1"/>
  <c r="AB101" i="2" s="1"/>
  <c r="AM805" i="2"/>
  <c r="AB519" i="2" l="1"/>
  <c r="AB804" i="2" s="1"/>
  <c r="AB825" i="2" s="1"/>
  <c r="AB99" i="2"/>
  <c r="AC93" i="2" s="1"/>
  <c r="AC95" i="2" s="1"/>
  <c r="AC96" i="2" s="1"/>
  <c r="AB587" i="2"/>
  <c r="AB532" i="2"/>
  <c r="AB577" i="2"/>
  <c r="AB898" i="2" s="1"/>
  <c r="AB908" i="2" s="1"/>
  <c r="AB216" i="2"/>
  <c r="AB802" i="2"/>
  <c r="AB823" i="2" s="1"/>
  <c r="AB258" i="2"/>
  <c r="AM826" i="2"/>
  <c r="AB860" i="2" l="1"/>
  <c r="AB883" i="2" s="1"/>
  <c r="AB982" i="2" s="1"/>
  <c r="AB589" i="2"/>
  <c r="AB578" i="2"/>
  <c r="AB534" i="2"/>
  <c r="AC609" i="2"/>
  <c r="AC434" i="2"/>
  <c r="AC408" i="2"/>
  <c r="AC97" i="2"/>
  <c r="AC98" i="2" s="1"/>
  <c r="AN557" i="2"/>
  <c r="AN805" i="2"/>
  <c r="AC101" i="2" l="1"/>
  <c r="AC802" i="2" s="1"/>
  <c r="AC823" i="2" s="1"/>
  <c r="AC519" i="2"/>
  <c r="AC99" i="2"/>
  <c r="AD93" i="2" s="1"/>
  <c r="AD95" i="2" s="1"/>
  <c r="AP557" i="2"/>
  <c r="AN826" i="2"/>
  <c r="AD96" i="2" l="1"/>
  <c r="AD434" i="2" s="1"/>
  <c r="AC258" i="2"/>
  <c r="AC532" i="2"/>
  <c r="AC216" i="2"/>
  <c r="AC577" i="2"/>
  <c r="AC898" i="2" s="1"/>
  <c r="AC908" i="2" s="1"/>
  <c r="AC587" i="2"/>
  <c r="AC804" i="2"/>
  <c r="AC825" i="2" s="1"/>
  <c r="AC589" i="2"/>
  <c r="AC860" i="2"/>
  <c r="AC883" i="2" s="1"/>
  <c r="AC982" i="2" s="1"/>
  <c r="AC578" i="2"/>
  <c r="AC534" i="2"/>
  <c r="AM557" i="2"/>
  <c r="AO557" i="2"/>
  <c r="AQ557" i="2"/>
  <c r="AO805" i="2"/>
  <c r="AD609" i="2" l="1"/>
  <c r="AD408" i="2"/>
  <c r="AD97" i="2"/>
  <c r="AD98" i="2" s="1"/>
  <c r="AD101" i="2" s="1"/>
  <c r="AO826" i="2"/>
  <c r="AD519" i="2" l="1"/>
  <c r="AD578" i="2" s="1"/>
  <c r="AD99" i="2"/>
  <c r="AE93" i="2" s="1"/>
  <c r="AE95" i="2" s="1"/>
  <c r="AE96" i="2" s="1"/>
  <c r="AE408" i="2" s="1"/>
  <c r="AD587" i="2"/>
  <c r="AD216" i="2"/>
  <c r="AD802" i="2"/>
  <c r="AD823" i="2" s="1"/>
  <c r="AD577" i="2"/>
  <c r="AD898" i="2" s="1"/>
  <c r="AD908" i="2" s="1"/>
  <c r="AD532" i="2"/>
  <c r="AD258" i="2"/>
  <c r="AS557" i="2"/>
  <c r="AD804" i="2" l="1"/>
  <c r="AD825" i="2" s="1"/>
  <c r="AD589" i="2"/>
  <c r="AD534" i="2"/>
  <c r="AD860" i="2"/>
  <c r="AD883" i="2" s="1"/>
  <c r="AD982" i="2" s="1"/>
  <c r="AE97" i="2"/>
  <c r="AE98" i="2" s="1"/>
  <c r="AE101" i="2" s="1"/>
  <c r="AE609" i="2"/>
  <c r="AE434" i="2"/>
  <c r="AT557" i="2"/>
  <c r="AQ805" i="2"/>
  <c r="AE519" i="2" l="1"/>
  <c r="AE578" i="2" s="1"/>
  <c r="AE99" i="2"/>
  <c r="AF93" i="2" s="1"/>
  <c r="AF95" i="2" s="1"/>
  <c r="AF96" i="2" s="1"/>
  <c r="AE802" i="2"/>
  <c r="AE823" i="2" s="1"/>
  <c r="AE258" i="2"/>
  <c r="AE577" i="2"/>
  <c r="AE898" i="2" s="1"/>
  <c r="AE908" i="2" s="1"/>
  <c r="AE587" i="2"/>
  <c r="AE532" i="2"/>
  <c r="AE216" i="2"/>
  <c r="AQ826" i="2"/>
  <c r="AE589" i="2" l="1"/>
  <c r="AE860" i="2"/>
  <c r="AE883" i="2" s="1"/>
  <c r="AE982" i="2" s="1"/>
  <c r="AE804" i="2"/>
  <c r="AE825" i="2" s="1"/>
  <c r="AE534" i="2"/>
  <c r="AF97" i="2"/>
  <c r="AF98" i="2" s="1"/>
  <c r="AF101" i="2" s="1"/>
  <c r="AF802" i="2" s="1"/>
  <c r="AF823" i="2" s="1"/>
  <c r="AF609" i="2"/>
  <c r="AF434" i="2"/>
  <c r="AF408" i="2"/>
  <c r="AV557" i="2"/>
  <c r="AF519" i="2" l="1"/>
  <c r="AF578" i="2" s="1"/>
  <c r="AF99" i="2"/>
  <c r="AG93" i="2" s="1"/>
  <c r="AG95" i="2" s="1"/>
  <c r="AG96" i="2" s="1"/>
  <c r="AF216" i="2"/>
  <c r="AF532" i="2"/>
  <c r="AF258" i="2"/>
  <c r="AF577" i="2"/>
  <c r="AF898" i="2" s="1"/>
  <c r="AF908" i="2" s="1"/>
  <c r="AF587" i="2"/>
  <c r="AW557" i="2"/>
  <c r="AR805" i="2"/>
  <c r="AF589" i="2" l="1"/>
  <c r="AF860" i="2"/>
  <c r="AF883" i="2" s="1"/>
  <c r="AF982" i="2" s="1"/>
  <c r="AF804" i="2"/>
  <c r="AF825" i="2" s="1"/>
  <c r="AF534" i="2"/>
  <c r="AG408" i="2"/>
  <c r="AG609" i="2"/>
  <c r="AG434" i="2"/>
  <c r="AG97" i="2"/>
  <c r="AG98" i="2" s="1"/>
  <c r="AR557" i="2"/>
  <c r="AX557" i="2"/>
  <c r="AR826" i="2"/>
  <c r="AG99" i="2" l="1"/>
  <c r="AH93" i="2" s="1"/>
  <c r="AH95" i="2" s="1"/>
  <c r="AG519" i="2"/>
  <c r="AG101" i="2"/>
  <c r="AY557" i="2"/>
  <c r="AH96" i="2" l="1"/>
  <c r="AH408" i="2" s="1"/>
  <c r="AG860" i="2"/>
  <c r="AG883" i="2" s="1"/>
  <c r="AG982" i="2" s="1"/>
  <c r="AG589" i="2"/>
  <c r="AG804" i="2"/>
  <c r="AG825" i="2" s="1"/>
  <c r="AG578" i="2"/>
  <c r="AG534" i="2"/>
  <c r="AG802" i="2"/>
  <c r="AG823" i="2" s="1"/>
  <c r="AG577" i="2"/>
  <c r="AG898" i="2" s="1"/>
  <c r="AG908" i="2" s="1"/>
  <c r="AG216" i="2"/>
  <c r="AG258" i="2"/>
  <c r="AG587" i="2"/>
  <c r="AG532" i="2"/>
  <c r="AZ557" i="2"/>
  <c r="AS805" i="2"/>
  <c r="AH434" i="2" l="1"/>
  <c r="AH97" i="2"/>
  <c r="AH98" i="2" s="1"/>
  <c r="AH101" i="2" s="1"/>
  <c r="AH609" i="2"/>
  <c r="BA557" i="2"/>
  <c r="AS826" i="2"/>
  <c r="AH519" i="2" l="1"/>
  <c r="AH534" i="2" s="1"/>
  <c r="AH99" i="2"/>
  <c r="AI93" i="2" s="1"/>
  <c r="AI95" i="2" s="1"/>
  <c r="AI96" i="2" s="1"/>
  <c r="AH802" i="2"/>
  <c r="AH823" i="2" s="1"/>
  <c r="AH532" i="2"/>
  <c r="AH258" i="2"/>
  <c r="AH577" i="2"/>
  <c r="AH898" i="2" s="1"/>
  <c r="AH908" i="2" s="1"/>
  <c r="AH216" i="2"/>
  <c r="AH587" i="2"/>
  <c r="BB557" i="2"/>
  <c r="AH804" i="2" l="1"/>
  <c r="AH825" i="2" s="1"/>
  <c r="AH589" i="2"/>
  <c r="AH578" i="2"/>
  <c r="AH860" i="2"/>
  <c r="AH883" i="2" s="1"/>
  <c r="AH982" i="2" s="1"/>
  <c r="AI434" i="2"/>
  <c r="AI609" i="2"/>
  <c r="AI97" i="2"/>
  <c r="AI98" i="2" s="1"/>
  <c r="AI99" i="2" s="1"/>
  <c r="AJ93" i="2" s="1"/>
  <c r="AJ95" i="2" s="1"/>
  <c r="AI408" i="2"/>
  <c r="BC557" i="2"/>
  <c r="AT805" i="2"/>
  <c r="AI519" i="2" l="1"/>
  <c r="AI804" i="2" s="1"/>
  <c r="AI825" i="2" s="1"/>
  <c r="AI101" i="2"/>
  <c r="AI802" i="2" s="1"/>
  <c r="AI823" i="2" s="1"/>
  <c r="AJ96" i="2"/>
  <c r="AJ408" i="2" s="1"/>
  <c r="AT826" i="2"/>
  <c r="AI589" i="2" l="1"/>
  <c r="AI578" i="2"/>
  <c r="AI534" i="2"/>
  <c r="AI860" i="2"/>
  <c r="AI883" i="2" s="1"/>
  <c r="AI982" i="2" s="1"/>
  <c r="AJ609" i="2"/>
  <c r="AJ97" i="2"/>
  <c r="AJ98" i="2" s="1"/>
  <c r="AJ101" i="2" s="1"/>
  <c r="AJ434" i="2"/>
  <c r="AI216" i="2"/>
  <c r="AI532" i="2"/>
  <c r="AI587" i="2"/>
  <c r="AI577" i="2"/>
  <c r="AI898" i="2" s="1"/>
  <c r="AI908" i="2" s="1"/>
  <c r="AI258" i="2"/>
  <c r="AU805" i="2"/>
  <c r="AJ519" i="2" l="1"/>
  <c r="AJ578" i="2" s="1"/>
  <c r="AJ99" i="2"/>
  <c r="AK93" i="2" s="1"/>
  <c r="AK95" i="2" s="1"/>
  <c r="AK96" i="2" s="1"/>
  <c r="AK408" i="2" s="1"/>
  <c r="AJ532" i="2"/>
  <c r="AJ802" i="2"/>
  <c r="AJ823" i="2" s="1"/>
  <c r="AJ587" i="2"/>
  <c r="AJ216" i="2"/>
  <c r="AJ577" i="2"/>
  <c r="AJ898" i="2" s="1"/>
  <c r="AJ908" i="2" s="1"/>
  <c r="AJ258" i="2"/>
  <c r="AU826" i="2"/>
  <c r="AJ860" i="2" l="1"/>
  <c r="AJ883" i="2" s="1"/>
  <c r="AJ982" i="2" s="1"/>
  <c r="AJ804" i="2"/>
  <c r="AJ825" i="2" s="1"/>
  <c r="AJ534" i="2"/>
  <c r="AJ589" i="2"/>
  <c r="AK609" i="2"/>
  <c r="AK97" i="2"/>
  <c r="AK98" i="2" s="1"/>
  <c r="AK101" i="2" s="1"/>
  <c r="AK802" i="2" s="1"/>
  <c r="AK823" i="2" s="1"/>
  <c r="AK434" i="2"/>
  <c r="BD557" i="2"/>
  <c r="AV805" i="2"/>
  <c r="AK519" i="2" l="1"/>
  <c r="AK578" i="2" s="1"/>
  <c r="AK99" i="2"/>
  <c r="AL93" i="2" s="1"/>
  <c r="AL95" i="2" s="1"/>
  <c r="AL96" i="2" s="1"/>
  <c r="AL434" i="2" s="1"/>
  <c r="AK577" i="2"/>
  <c r="AK898" i="2" s="1"/>
  <c r="AK908" i="2" s="1"/>
  <c r="AK258" i="2"/>
  <c r="AK532" i="2"/>
  <c r="AK587" i="2"/>
  <c r="AK216" i="2"/>
  <c r="AV826" i="2"/>
  <c r="AK804" i="2" l="1"/>
  <c r="AK825" i="2" s="1"/>
  <c r="AK589" i="2"/>
  <c r="AK534" i="2"/>
  <c r="AK860" i="2"/>
  <c r="AK883" i="2" s="1"/>
  <c r="AK982" i="2" s="1"/>
  <c r="AL609" i="2"/>
  <c r="AL408" i="2"/>
  <c r="AL97" i="2"/>
  <c r="AL98" i="2" s="1"/>
  <c r="AU557" i="2"/>
  <c r="AL101" i="2" l="1"/>
  <c r="AL587" i="2" s="1"/>
  <c r="AL519" i="2"/>
  <c r="AL99" i="2"/>
  <c r="AM93" i="2" s="1"/>
  <c r="AM95" i="2" s="1"/>
  <c r="AM96" i="2" s="1"/>
  <c r="AM609" i="2" s="1"/>
  <c r="AW805" i="2"/>
  <c r="AL802" i="2" l="1"/>
  <c r="AL823" i="2" s="1"/>
  <c r="AL258" i="2"/>
  <c r="AL216" i="2"/>
  <c r="AL532" i="2"/>
  <c r="AL577" i="2"/>
  <c r="AL898" i="2" s="1"/>
  <c r="AL908" i="2" s="1"/>
  <c r="AL804" i="2"/>
  <c r="AL825" i="2" s="1"/>
  <c r="AL578" i="2"/>
  <c r="AL534" i="2"/>
  <c r="AL860" i="2"/>
  <c r="AL883" i="2" s="1"/>
  <c r="AL982" i="2" s="1"/>
  <c r="AL589" i="2"/>
  <c r="AM434" i="2"/>
  <c r="AM97" i="2"/>
  <c r="AM98" i="2" s="1"/>
  <c r="AM101" i="2" s="1"/>
  <c r="AM802" i="2" s="1"/>
  <c r="AM823" i="2" s="1"/>
  <c r="AM408" i="2"/>
  <c r="AW826" i="2"/>
  <c r="AM519" i="2" l="1"/>
  <c r="AM532" i="2"/>
  <c r="AM258" i="2"/>
  <c r="AM216" i="2"/>
  <c r="AM577" i="2"/>
  <c r="AM898" i="2" s="1"/>
  <c r="AM908" i="2" s="1"/>
  <c r="AM587" i="2"/>
  <c r="AM99" i="2"/>
  <c r="AN93" i="2" s="1"/>
  <c r="AN95" i="2" s="1"/>
  <c r="AN96" i="2" s="1"/>
  <c r="AN408" i="2" s="1"/>
  <c r="AX805" i="2"/>
  <c r="AM860" i="2" l="1"/>
  <c r="AM883" i="2" s="1"/>
  <c r="AM982" i="2" s="1"/>
  <c r="AM578" i="2"/>
  <c r="AM534" i="2"/>
  <c r="AM589" i="2"/>
  <c r="AM804" i="2"/>
  <c r="AM825" i="2" s="1"/>
  <c r="AN609" i="2"/>
  <c r="AN434" i="2"/>
  <c r="AN97" i="2"/>
  <c r="AN98" i="2" s="1"/>
  <c r="AN99" i="2" s="1"/>
  <c r="AO93" i="2" s="1"/>
  <c r="AO95" i="2" s="1"/>
  <c r="AO96" i="2" s="1"/>
  <c r="AO408" i="2" s="1"/>
  <c r="AX826" i="2"/>
  <c r="AN519" i="2" l="1"/>
  <c r="AN101" i="2"/>
  <c r="AN258" i="2" s="1"/>
  <c r="AO434" i="2"/>
  <c r="AO609" i="2"/>
  <c r="AO97" i="2"/>
  <c r="AO98" i="2" s="1"/>
  <c r="AO101" i="2" s="1"/>
  <c r="AY805" i="2"/>
  <c r="AO519" i="2" l="1"/>
  <c r="AO804" i="2" s="1"/>
  <c r="AO825" i="2" s="1"/>
  <c r="AN534" i="2"/>
  <c r="AN804" i="2"/>
  <c r="AN825" i="2" s="1"/>
  <c r="AN589" i="2"/>
  <c r="AN860" i="2"/>
  <c r="AN883" i="2" s="1"/>
  <c r="AN982" i="2" s="1"/>
  <c r="AN578" i="2"/>
  <c r="AN802" i="2"/>
  <c r="AN823" i="2" s="1"/>
  <c r="AN216" i="2"/>
  <c r="AN532" i="2"/>
  <c r="AN577" i="2"/>
  <c r="AN898" i="2" s="1"/>
  <c r="AN908" i="2" s="1"/>
  <c r="AN587" i="2"/>
  <c r="AO99" i="2"/>
  <c r="AP93" i="2" s="1"/>
  <c r="AP95" i="2" s="1"/>
  <c r="AP96" i="2" s="1"/>
  <c r="AP408" i="2" s="1"/>
  <c r="AO532" i="2"/>
  <c r="AO802" i="2"/>
  <c r="AO823" i="2" s="1"/>
  <c r="AO258" i="2"/>
  <c r="AO216" i="2"/>
  <c r="AO577" i="2"/>
  <c r="AO898" i="2" s="1"/>
  <c r="AO908" i="2" s="1"/>
  <c r="AO587" i="2"/>
  <c r="AY826" i="2"/>
  <c r="AO534" i="2" l="1"/>
  <c r="AO860" i="2"/>
  <c r="AO883" i="2" s="1"/>
  <c r="AO982" i="2" s="1"/>
  <c r="AO578" i="2"/>
  <c r="AO589" i="2"/>
  <c r="AP434" i="2"/>
  <c r="AP609" i="2"/>
  <c r="AP97" i="2"/>
  <c r="AP98" i="2" s="1"/>
  <c r="AP519" i="2" s="1"/>
  <c r="AZ805" i="2"/>
  <c r="AP101" i="2" l="1"/>
  <c r="AP577" i="2" s="1"/>
  <c r="AP898" i="2" s="1"/>
  <c r="AP908" i="2" s="1"/>
  <c r="AP99" i="2"/>
  <c r="AQ93" i="2" s="1"/>
  <c r="AQ95" i="2" s="1"/>
  <c r="AQ96" i="2" s="1"/>
  <c r="AP860" i="2"/>
  <c r="AP883" i="2" s="1"/>
  <c r="AP982" i="2" s="1"/>
  <c r="AP578" i="2"/>
  <c r="AP804" i="2"/>
  <c r="AP825" i="2" s="1"/>
  <c r="AP534" i="2"/>
  <c r="AP589" i="2"/>
  <c r="AZ826" i="2"/>
  <c r="AP802" i="2" l="1"/>
  <c r="AP823" i="2" s="1"/>
  <c r="AP587" i="2"/>
  <c r="AP258" i="2"/>
  <c r="AP216" i="2"/>
  <c r="AP532" i="2"/>
  <c r="AQ609" i="2"/>
  <c r="AQ434" i="2"/>
  <c r="AQ408" i="2"/>
  <c r="AQ97" i="2"/>
  <c r="AQ98" i="2" s="1"/>
  <c r="AQ101" i="2" s="1"/>
  <c r="BA805" i="2"/>
  <c r="AQ519" i="2" l="1"/>
  <c r="AQ534" i="2" s="1"/>
  <c r="AQ99" i="2"/>
  <c r="AR93" i="2" s="1"/>
  <c r="AR95" i="2" s="1"/>
  <c r="AR96" i="2" s="1"/>
  <c r="AQ532" i="2"/>
  <c r="AQ587" i="2"/>
  <c r="AQ577" i="2"/>
  <c r="AQ898" i="2" s="1"/>
  <c r="AQ908" i="2" s="1"/>
  <c r="AQ258" i="2"/>
  <c r="AQ216" i="2"/>
  <c r="AQ802" i="2"/>
  <c r="AQ823" i="2" s="1"/>
  <c r="BA826" i="2"/>
  <c r="AQ589" i="2" l="1"/>
  <c r="AQ804" i="2"/>
  <c r="AQ825" i="2" s="1"/>
  <c r="AQ578" i="2"/>
  <c r="AQ860" i="2"/>
  <c r="AQ883" i="2" s="1"/>
  <c r="AQ982" i="2" s="1"/>
  <c r="AR408" i="2"/>
  <c r="AR609" i="2"/>
  <c r="AR97" i="2"/>
  <c r="AR98" i="2" s="1"/>
  <c r="AR99" i="2" s="1"/>
  <c r="AS93" i="2" s="1"/>
  <c r="AS95" i="2" s="1"/>
  <c r="AR434" i="2"/>
  <c r="BC805" i="2"/>
  <c r="AR519" i="2" l="1"/>
  <c r="AR860" i="2" s="1"/>
  <c r="AR883" i="2" s="1"/>
  <c r="AR982" i="2" s="1"/>
  <c r="AR101" i="2"/>
  <c r="AR216" i="2" s="1"/>
  <c r="AS96" i="2"/>
  <c r="AS408" i="2" s="1"/>
  <c r="BC826" i="2"/>
  <c r="AR589" i="2" l="1"/>
  <c r="AR578" i="2"/>
  <c r="AR804" i="2"/>
  <c r="AR825" i="2" s="1"/>
  <c r="AR534" i="2"/>
  <c r="AR587" i="2"/>
  <c r="AS97" i="2"/>
  <c r="AS98" i="2" s="1"/>
  <c r="AS101" i="2" s="1"/>
  <c r="AS609" i="2"/>
  <c r="AS434" i="2"/>
  <c r="AR577" i="2"/>
  <c r="AR898" i="2" s="1"/>
  <c r="AR908" i="2" s="1"/>
  <c r="AR532" i="2"/>
  <c r="AR258" i="2"/>
  <c r="AR802" i="2"/>
  <c r="AR823" i="2" s="1"/>
  <c r="BB805" i="2"/>
  <c r="BB826" i="2" s="1"/>
  <c r="AS519" i="2" l="1"/>
  <c r="AS534" i="2" s="1"/>
  <c r="AS99" i="2"/>
  <c r="AT93" i="2" s="1"/>
  <c r="AT95" i="2" s="1"/>
  <c r="AT96" i="2" s="1"/>
  <c r="AT408" i="2" s="1"/>
  <c r="AS802" i="2"/>
  <c r="AS823" i="2" s="1"/>
  <c r="AS258" i="2"/>
  <c r="AS532" i="2"/>
  <c r="AS587" i="2"/>
  <c r="AS577" i="2"/>
  <c r="AS898" i="2" s="1"/>
  <c r="AS908" i="2" s="1"/>
  <c r="AS216" i="2"/>
  <c r="BD805" i="2"/>
  <c r="AS578" i="2" l="1"/>
  <c r="AS589" i="2"/>
  <c r="AS804" i="2"/>
  <c r="AS825" i="2" s="1"/>
  <c r="AS860" i="2"/>
  <c r="AS883" i="2" s="1"/>
  <c r="AS982" i="2" s="1"/>
  <c r="AT97" i="2"/>
  <c r="AT98" i="2" s="1"/>
  <c r="AT101" i="2" s="1"/>
  <c r="AT609" i="2"/>
  <c r="AT434" i="2"/>
  <c r="BD826" i="2"/>
  <c r="AT519" i="2" l="1"/>
  <c r="AT860" i="2" s="1"/>
  <c r="AT883" i="2" s="1"/>
  <c r="AT982" i="2" s="1"/>
  <c r="AT99" i="2"/>
  <c r="AU93" i="2" s="1"/>
  <c r="AU95" i="2" s="1"/>
  <c r="AU96" i="2" s="1"/>
  <c r="AT216" i="2"/>
  <c r="AT258" i="2"/>
  <c r="AT577" i="2"/>
  <c r="AT898" i="2" s="1"/>
  <c r="AT908" i="2" s="1"/>
  <c r="AT802" i="2"/>
  <c r="AT823" i="2" s="1"/>
  <c r="AT532" i="2"/>
  <c r="AT587" i="2"/>
  <c r="AT578" i="2" l="1"/>
  <c r="AT804" i="2"/>
  <c r="AT825" i="2" s="1"/>
  <c r="AT589" i="2"/>
  <c r="AT534" i="2"/>
  <c r="AU434" i="2"/>
  <c r="AU609" i="2"/>
  <c r="AU97" i="2"/>
  <c r="AU98" i="2" s="1"/>
  <c r="AU408" i="2"/>
  <c r="N805" i="2"/>
  <c r="N826" i="2" s="1"/>
  <c r="O805" i="2"/>
  <c r="O826" i="2" s="1"/>
  <c r="Q805" i="2"/>
  <c r="Q826" i="2" s="1"/>
  <c r="S805" i="2"/>
  <c r="S826" i="2" s="1"/>
  <c r="T805" i="2"/>
  <c r="T826" i="2" s="1"/>
  <c r="U805" i="2"/>
  <c r="U826" i="2" s="1"/>
  <c r="V805" i="2"/>
  <c r="V826" i="2" s="1"/>
  <c r="W805" i="2"/>
  <c r="W826" i="2" s="1"/>
  <c r="X805" i="2"/>
  <c r="X826" i="2" s="1"/>
  <c r="Y805" i="2"/>
  <c r="Y826" i="2" s="1"/>
  <c r="Z805" i="2"/>
  <c r="Z826" i="2" s="1"/>
  <c r="AA805" i="2"/>
  <c r="AA826" i="2" s="1"/>
  <c r="AB805" i="2"/>
  <c r="AB826" i="2" s="1"/>
  <c r="AC805" i="2"/>
  <c r="AC826" i="2" s="1"/>
  <c r="AD805" i="2"/>
  <c r="AD826" i="2" s="1"/>
  <c r="AE805" i="2"/>
  <c r="AE826" i="2" s="1"/>
  <c r="AH805" i="2"/>
  <c r="AH826" i="2" s="1"/>
  <c r="AI805" i="2"/>
  <c r="AI826" i="2" s="1"/>
  <c r="AP805" i="2"/>
  <c r="AP826" i="2" s="1"/>
  <c r="N557" i="2"/>
  <c r="BD267" i="2"/>
  <c r="BD585" i="2" s="1"/>
  <c r="BD801" i="2" s="1"/>
  <c r="BD822" i="2" s="1"/>
  <c r="H267" i="2"/>
  <c r="H585" i="2" s="1"/>
  <c r="I267" i="2"/>
  <c r="I585" i="2" s="1"/>
  <c r="I801" i="2" s="1"/>
  <c r="I822" i="2" s="1"/>
  <c r="J267" i="2"/>
  <c r="J585" i="2" s="1"/>
  <c r="J801" i="2" s="1"/>
  <c r="J822" i="2" s="1"/>
  <c r="K267" i="2"/>
  <c r="K585" i="2" s="1"/>
  <c r="K801" i="2" s="1"/>
  <c r="K822" i="2" s="1"/>
  <c r="L267" i="2"/>
  <c r="L585" i="2" s="1"/>
  <c r="L801" i="2" s="1"/>
  <c r="L822" i="2" s="1"/>
  <c r="M267" i="2"/>
  <c r="M585" i="2" s="1"/>
  <c r="M801" i="2" s="1"/>
  <c r="M822" i="2" s="1"/>
  <c r="N267" i="2"/>
  <c r="N585" i="2" s="1"/>
  <c r="O267" i="2"/>
  <c r="P267" i="2"/>
  <c r="P585" i="2" s="1"/>
  <c r="P801" i="2" s="1"/>
  <c r="P822" i="2" s="1"/>
  <c r="Q267" i="2"/>
  <c r="Q585" i="2" s="1"/>
  <c r="Q801" i="2" s="1"/>
  <c r="Q822" i="2" s="1"/>
  <c r="R267" i="2"/>
  <c r="R585" i="2" s="1"/>
  <c r="R801" i="2" s="1"/>
  <c r="R822" i="2" s="1"/>
  <c r="S267" i="2"/>
  <c r="S585" i="2" s="1"/>
  <c r="S801" i="2" s="1"/>
  <c r="S822" i="2" s="1"/>
  <c r="T267" i="2"/>
  <c r="T575" i="2" s="1"/>
  <c r="T894" i="2" s="1"/>
  <c r="T904" i="2" s="1"/>
  <c r="U267" i="2"/>
  <c r="U585" i="2" s="1"/>
  <c r="U801" i="2" s="1"/>
  <c r="U822" i="2" s="1"/>
  <c r="V267" i="2"/>
  <c r="V585" i="2" s="1"/>
  <c r="V801" i="2" s="1"/>
  <c r="V822" i="2" s="1"/>
  <c r="W267" i="2"/>
  <c r="X267" i="2"/>
  <c r="X585" i="2" s="1"/>
  <c r="X801" i="2" s="1"/>
  <c r="X822" i="2" s="1"/>
  <c r="Y267" i="2"/>
  <c r="Y585" i="2" s="1"/>
  <c r="Y801" i="2" s="1"/>
  <c r="Y822" i="2" s="1"/>
  <c r="Z267" i="2"/>
  <c r="Z585" i="2" s="1"/>
  <c r="Z801" i="2" s="1"/>
  <c r="Z822" i="2" s="1"/>
  <c r="AA267" i="2"/>
  <c r="AA585" i="2" s="1"/>
  <c r="AA801" i="2" s="1"/>
  <c r="AA822" i="2" s="1"/>
  <c r="AB267" i="2"/>
  <c r="AB585" i="2" s="1"/>
  <c r="AB801" i="2" s="1"/>
  <c r="AB822" i="2" s="1"/>
  <c r="AC267" i="2"/>
  <c r="AC575" i="2" s="1"/>
  <c r="AC894" i="2" s="1"/>
  <c r="AC904" i="2" s="1"/>
  <c r="AD267" i="2"/>
  <c r="AD585" i="2" s="1"/>
  <c r="AD801" i="2" s="1"/>
  <c r="AD822" i="2" s="1"/>
  <c r="AE267" i="2"/>
  <c r="AF267" i="2"/>
  <c r="AF585" i="2" s="1"/>
  <c r="AF801" i="2" s="1"/>
  <c r="AF822" i="2" s="1"/>
  <c r="AG267" i="2"/>
  <c r="AG585" i="2" s="1"/>
  <c r="AG801" i="2" s="1"/>
  <c r="AG822" i="2" s="1"/>
  <c r="AH267" i="2"/>
  <c r="AH585" i="2" s="1"/>
  <c r="AH801" i="2" s="1"/>
  <c r="AH822" i="2" s="1"/>
  <c r="AI267" i="2"/>
  <c r="AI575" i="2" s="1"/>
  <c r="AI894" i="2" s="1"/>
  <c r="AI904" i="2" s="1"/>
  <c r="AJ267" i="2"/>
  <c r="AJ585" i="2" s="1"/>
  <c r="AJ801" i="2" s="1"/>
  <c r="AJ822" i="2" s="1"/>
  <c r="AK267" i="2"/>
  <c r="AK585" i="2" s="1"/>
  <c r="AK801" i="2" s="1"/>
  <c r="AK822" i="2" s="1"/>
  <c r="AL267" i="2"/>
  <c r="AL585" i="2" s="1"/>
  <c r="AL801" i="2" s="1"/>
  <c r="AL822" i="2" s="1"/>
  <c r="AM267" i="2"/>
  <c r="AN267" i="2"/>
  <c r="AN585" i="2" s="1"/>
  <c r="AN801" i="2" s="1"/>
  <c r="AN822" i="2" s="1"/>
  <c r="AO267" i="2"/>
  <c r="AO575" i="2" s="1"/>
  <c r="AO894" i="2" s="1"/>
  <c r="AO904" i="2" s="1"/>
  <c r="AP267" i="2"/>
  <c r="AP585" i="2" s="1"/>
  <c r="AP801" i="2" s="1"/>
  <c r="AP822" i="2" s="1"/>
  <c r="AQ267" i="2"/>
  <c r="AQ585" i="2" s="1"/>
  <c r="AQ801" i="2" s="1"/>
  <c r="AQ822" i="2" s="1"/>
  <c r="AR267" i="2"/>
  <c r="AR585" i="2" s="1"/>
  <c r="AR801" i="2" s="1"/>
  <c r="AR822" i="2" s="1"/>
  <c r="AS267" i="2"/>
  <c r="AS585" i="2" s="1"/>
  <c r="AS801" i="2" s="1"/>
  <c r="AS822" i="2" s="1"/>
  <c r="AT267" i="2"/>
  <c r="AT585" i="2" s="1"/>
  <c r="AT801" i="2" s="1"/>
  <c r="AT822" i="2" s="1"/>
  <c r="AU267" i="2"/>
  <c r="AV267" i="2"/>
  <c r="AV585" i="2" s="1"/>
  <c r="AV801" i="2" s="1"/>
  <c r="AV822" i="2" s="1"/>
  <c r="AW267" i="2"/>
  <c r="AW585" i="2" s="1"/>
  <c r="AW801" i="2" s="1"/>
  <c r="AW822" i="2" s="1"/>
  <c r="AX267" i="2"/>
  <c r="AX585" i="2" s="1"/>
  <c r="AX801" i="2" s="1"/>
  <c r="AX822" i="2" s="1"/>
  <c r="AY267" i="2"/>
  <c r="AY575" i="2" s="1"/>
  <c r="AY894" i="2" s="1"/>
  <c r="AY904" i="2" s="1"/>
  <c r="AZ267" i="2"/>
  <c r="AZ575" i="2" s="1"/>
  <c r="AZ894" i="2" s="1"/>
  <c r="AZ904" i="2" s="1"/>
  <c r="BA267" i="2"/>
  <c r="BA585" i="2" s="1"/>
  <c r="BA801" i="2" s="1"/>
  <c r="BA822" i="2" s="1"/>
  <c r="BB267" i="2"/>
  <c r="BB585" i="2" s="1"/>
  <c r="BB801" i="2" s="1"/>
  <c r="BB822" i="2" s="1"/>
  <c r="BC267" i="2"/>
  <c r="AU99" i="2" l="1"/>
  <c r="AV93" i="2" s="1"/>
  <c r="AV95" i="2" s="1"/>
  <c r="AU519" i="2"/>
  <c r="AU101" i="2"/>
  <c r="BD898" i="2"/>
  <c r="AA575" i="2"/>
  <c r="AA894" i="2" s="1"/>
  <c r="AA904" i="2" s="1"/>
  <c r="M575" i="2"/>
  <c r="M894" i="2" s="1"/>
  <c r="M904" i="2" s="1"/>
  <c r="AR575" i="2"/>
  <c r="AR894" i="2" s="1"/>
  <c r="AR904" i="2" s="1"/>
  <c r="AB575" i="2"/>
  <c r="AB894" i="2" s="1"/>
  <c r="AB904" i="2" s="1"/>
  <c r="AY585" i="2"/>
  <c r="AY801" i="2" s="1"/>
  <c r="AY822" i="2" s="1"/>
  <c r="C557" i="2"/>
  <c r="AZ585" i="2"/>
  <c r="AZ801" i="2" s="1"/>
  <c r="AZ822" i="2" s="1"/>
  <c r="V575" i="2"/>
  <c r="V894" i="2" s="1"/>
  <c r="V904" i="2" s="1"/>
  <c r="N575" i="2"/>
  <c r="N894" i="2" s="1"/>
  <c r="AS575" i="2"/>
  <c r="AS894" i="2" s="1"/>
  <c r="AS904" i="2" s="1"/>
  <c r="AL575" i="2"/>
  <c r="AL894" i="2" s="1"/>
  <c r="AL904" i="2" s="1"/>
  <c r="R575" i="2"/>
  <c r="R894" i="2" s="1"/>
  <c r="R904" i="2" s="1"/>
  <c r="AP575" i="2"/>
  <c r="AP894" i="2" s="1"/>
  <c r="AP904" i="2" s="1"/>
  <c r="AH575" i="2"/>
  <c r="AH894" i="2" s="1"/>
  <c r="AH904" i="2" s="1"/>
  <c r="L575" i="2"/>
  <c r="L894" i="2" s="1"/>
  <c r="L904" i="2" s="1"/>
  <c r="AC585" i="2"/>
  <c r="AC801" i="2" s="1"/>
  <c r="AC822" i="2" s="1"/>
  <c r="N801" i="2"/>
  <c r="N822" i="2" s="1"/>
  <c r="AG575" i="2"/>
  <c r="AG894" i="2" s="1"/>
  <c r="AG904" i="2" s="1"/>
  <c r="K575" i="2"/>
  <c r="K894" i="2" s="1"/>
  <c r="K904" i="2" s="1"/>
  <c r="AQ575" i="2"/>
  <c r="AQ894" i="2" s="1"/>
  <c r="AQ904" i="2" s="1"/>
  <c r="J575" i="2"/>
  <c r="J894" i="2" s="1"/>
  <c r="J904" i="2" s="1"/>
  <c r="Z575" i="2"/>
  <c r="Z894" i="2" s="1"/>
  <c r="Z904" i="2" s="1"/>
  <c r="BB575" i="2"/>
  <c r="BB894" i="2" s="1"/>
  <c r="BB904" i="2" s="1"/>
  <c r="BA575" i="2"/>
  <c r="BA894" i="2" s="1"/>
  <c r="BA904" i="2" s="1"/>
  <c r="Y575" i="2"/>
  <c r="Y894" i="2" s="1"/>
  <c r="Y904" i="2" s="1"/>
  <c r="AX575" i="2"/>
  <c r="AX894" i="2" s="1"/>
  <c r="AX904" i="2" s="1"/>
  <c r="S575" i="2"/>
  <c r="S894" i="2" s="1"/>
  <c r="S904" i="2" s="1"/>
  <c r="H575" i="2"/>
  <c r="H894" i="2" s="1"/>
  <c r="H904" i="2" s="1"/>
  <c r="AK575" i="2"/>
  <c r="AK894" i="2" s="1"/>
  <c r="AK904" i="2" s="1"/>
  <c r="AW575" i="2"/>
  <c r="AW894" i="2" s="1"/>
  <c r="AW904" i="2" s="1"/>
  <c r="I575" i="2"/>
  <c r="I894" i="2" s="1"/>
  <c r="I904" i="2" s="1"/>
  <c r="AD575" i="2"/>
  <c r="AD894" i="2" s="1"/>
  <c r="AD904" i="2" s="1"/>
  <c r="Q575" i="2"/>
  <c r="Q894" i="2" s="1"/>
  <c r="Q904" i="2" s="1"/>
  <c r="AO585" i="2"/>
  <c r="AO801" i="2" s="1"/>
  <c r="AO822" i="2" s="1"/>
  <c r="AI585" i="2"/>
  <c r="AI801" i="2" s="1"/>
  <c r="AI822" i="2" s="1"/>
  <c r="T585" i="2"/>
  <c r="T801" i="2" s="1"/>
  <c r="T822" i="2" s="1"/>
  <c r="U575" i="2"/>
  <c r="U894" i="2" s="1"/>
  <c r="U904" i="2" s="1"/>
  <c r="AT575" i="2"/>
  <c r="AT894" i="2" s="1"/>
  <c r="AT904" i="2" s="1"/>
  <c r="AJ575" i="2"/>
  <c r="AJ894" i="2" s="1"/>
  <c r="AJ904" i="2" s="1"/>
  <c r="BD575" i="2"/>
  <c r="BD894" i="2" s="1"/>
  <c r="BD904" i="2" s="1"/>
  <c r="C805" i="2"/>
  <c r="AM585" i="2"/>
  <c r="AM801" i="2" s="1"/>
  <c r="AM822" i="2" s="1"/>
  <c r="AM575" i="2"/>
  <c r="AM894" i="2" s="1"/>
  <c r="AM904" i="2" s="1"/>
  <c r="O585" i="2"/>
  <c r="O801" i="2" s="1"/>
  <c r="O822" i="2" s="1"/>
  <c r="O575" i="2"/>
  <c r="O894" i="2" s="1"/>
  <c r="O904" i="2" s="1"/>
  <c r="AU585" i="2"/>
  <c r="AU801" i="2" s="1"/>
  <c r="AU822" i="2" s="1"/>
  <c r="AU575" i="2"/>
  <c r="AU894" i="2" s="1"/>
  <c r="AU904" i="2" s="1"/>
  <c r="W585" i="2"/>
  <c r="W801" i="2" s="1"/>
  <c r="W822" i="2" s="1"/>
  <c r="W575" i="2"/>
  <c r="W894" i="2" s="1"/>
  <c r="W904" i="2" s="1"/>
  <c r="AE585" i="2"/>
  <c r="AE801" i="2" s="1"/>
  <c r="AE822" i="2" s="1"/>
  <c r="AE575" i="2"/>
  <c r="AE894" i="2" s="1"/>
  <c r="AE904" i="2" s="1"/>
  <c r="H801" i="2"/>
  <c r="C826" i="2"/>
  <c r="BC585" i="2"/>
  <c r="BC801" i="2" s="1"/>
  <c r="BC822" i="2" s="1"/>
  <c r="BC575" i="2"/>
  <c r="BC894" i="2" s="1"/>
  <c r="BC904" i="2" s="1"/>
  <c r="C267" i="2"/>
  <c r="AV575" i="2"/>
  <c r="AV894" i="2" s="1"/>
  <c r="AV904" i="2" s="1"/>
  <c r="AN575" i="2"/>
  <c r="AN894" i="2" s="1"/>
  <c r="AN904" i="2" s="1"/>
  <c r="AF575" i="2"/>
  <c r="AF894" i="2" s="1"/>
  <c r="AF904" i="2" s="1"/>
  <c r="X575" i="2"/>
  <c r="X894" i="2" s="1"/>
  <c r="X904" i="2" s="1"/>
  <c r="P575" i="2"/>
  <c r="P894" i="2" s="1"/>
  <c r="P904" i="2" s="1"/>
  <c r="AU589" i="2" l="1"/>
  <c r="AU534" i="2"/>
  <c r="AU578" i="2"/>
  <c r="AU804" i="2"/>
  <c r="AU825" i="2" s="1"/>
  <c r="AU860" i="2"/>
  <c r="AU883" i="2" s="1"/>
  <c r="AU982" i="2" s="1"/>
  <c r="C894" i="2"/>
  <c r="N904" i="2"/>
  <c r="C904" i="2" s="1"/>
  <c r="AU532" i="2"/>
  <c r="AU587" i="2"/>
  <c r="AU258" i="2"/>
  <c r="AU216" i="2"/>
  <c r="AU802" i="2"/>
  <c r="AU577" i="2"/>
  <c r="AV96" i="2"/>
  <c r="AV408" i="2" s="1"/>
  <c r="BD908" i="2"/>
  <c r="C585" i="2"/>
  <c r="C575" i="2"/>
  <c r="C801" i="2"/>
  <c r="H822" i="2"/>
  <c r="C822" i="2" s="1"/>
  <c r="G218" i="2"/>
  <c r="AU898" i="2" l="1"/>
  <c r="AU823" i="2"/>
  <c r="AV609" i="2"/>
  <c r="AV434" i="2"/>
  <c r="AV97" i="2"/>
  <c r="G219" i="2"/>
  <c r="AV98" i="2" l="1"/>
  <c r="AU908" i="2"/>
  <c r="G221" i="2"/>
  <c r="G222" i="2" s="1"/>
  <c r="AL218" i="2"/>
  <c r="Q218" i="2"/>
  <c r="Z218" i="2"/>
  <c r="AF218" i="2"/>
  <c r="AT218" i="2"/>
  <c r="AE218" i="2"/>
  <c r="AA218" i="2"/>
  <c r="AI218" i="2"/>
  <c r="Y218" i="2"/>
  <c r="AO218" i="2"/>
  <c r="AK218" i="2"/>
  <c r="AG218" i="2"/>
  <c r="R218" i="2"/>
  <c r="P218" i="2"/>
  <c r="V218" i="2"/>
  <c r="T218" i="2"/>
  <c r="X218" i="2"/>
  <c r="AM218" i="2"/>
  <c r="AS218" i="2"/>
  <c r="C217" i="2"/>
  <c r="L218" i="2"/>
  <c r="I218" i="2"/>
  <c r="AH218" i="2"/>
  <c r="AB218" i="2"/>
  <c r="O218" i="2"/>
  <c r="J218" i="2"/>
  <c r="AC218" i="2"/>
  <c r="AU218" i="2"/>
  <c r="N218" i="2"/>
  <c r="AN218" i="2"/>
  <c r="AD218" i="2"/>
  <c r="AQ218" i="2"/>
  <c r="AP218" i="2"/>
  <c r="AR218" i="2"/>
  <c r="U218" i="2"/>
  <c r="S218" i="2"/>
  <c r="AJ218" i="2"/>
  <c r="W218" i="2"/>
  <c r="K218" i="2"/>
  <c r="M218" i="2"/>
  <c r="H218" i="2"/>
  <c r="H219" i="2" s="1"/>
  <c r="AV99" i="2" l="1"/>
  <c r="AW93" i="2" s="1"/>
  <c r="AW95" i="2" s="1"/>
  <c r="H221" i="2"/>
  <c r="H222" i="2" s="1"/>
  <c r="AV519" i="2"/>
  <c r="AV101" i="2"/>
  <c r="AT219" i="2"/>
  <c r="AU219" i="2"/>
  <c r="I219" i="2"/>
  <c r="AQ219" i="2"/>
  <c r="J219" i="2"/>
  <c r="O219" i="2"/>
  <c r="AK219" i="2"/>
  <c r="AN219" i="2"/>
  <c r="L219" i="2"/>
  <c r="AG219" i="2"/>
  <c r="Y219" i="2"/>
  <c r="AA219" i="2"/>
  <c r="M219" i="2"/>
  <c r="AH219" i="2"/>
  <c r="R219" i="2"/>
  <c r="AI219" i="2"/>
  <c r="V219" i="2"/>
  <c r="AJ219" i="2"/>
  <c r="K219" i="2"/>
  <c r="AB219" i="2"/>
  <c r="AR219" i="2"/>
  <c r="W219" i="2"/>
  <c r="AD219" i="2"/>
  <c r="AL219" i="2"/>
  <c r="N219" i="2"/>
  <c r="S219" i="2"/>
  <c r="AS219" i="2"/>
  <c r="AC219" i="2"/>
  <c r="P219" i="2"/>
  <c r="T219" i="2"/>
  <c r="AM219" i="2"/>
  <c r="AO219" i="2"/>
  <c r="Z219" i="2"/>
  <c r="AP219" i="2"/>
  <c r="AF219" i="2"/>
  <c r="AE219" i="2"/>
  <c r="Q219" i="2"/>
  <c r="U219" i="2"/>
  <c r="X219" i="2"/>
  <c r="AT221" i="2" l="1"/>
  <c r="AV216" i="2"/>
  <c r="AV218" i="2" s="1"/>
  <c r="AV258" i="2"/>
  <c r="AV802" i="2"/>
  <c r="AV587" i="2"/>
  <c r="AV532" i="2"/>
  <c r="AV577" i="2"/>
  <c r="AV589" i="2"/>
  <c r="AV804" i="2"/>
  <c r="AV578" i="2"/>
  <c r="AV534" i="2"/>
  <c r="AV860" i="2"/>
  <c r="AW96" i="2"/>
  <c r="AP221" i="2"/>
  <c r="AC221" i="2"/>
  <c r="V221" i="2"/>
  <c r="L221" i="2"/>
  <c r="I221" i="2"/>
  <c r="I222" i="2" s="1"/>
  <c r="P221" i="2"/>
  <c r="W221" i="2"/>
  <c r="AI221" i="2"/>
  <c r="AN221" i="2"/>
  <c r="AU221" i="2"/>
  <c r="X221" i="2"/>
  <c r="Z221" i="2"/>
  <c r="AS221" i="2"/>
  <c r="AR221" i="2"/>
  <c r="R221" i="2"/>
  <c r="AK221" i="2"/>
  <c r="AF221" i="2"/>
  <c r="U221" i="2"/>
  <c r="AO221" i="2"/>
  <c r="S221" i="2"/>
  <c r="AH221" i="2"/>
  <c r="AD221" i="2"/>
  <c r="Q221" i="2"/>
  <c r="N221" i="2"/>
  <c r="M221" i="2"/>
  <c r="AG221" i="2"/>
  <c r="AL221" i="2"/>
  <c r="AB221" i="2"/>
  <c r="AA221" i="2"/>
  <c r="J221" i="2"/>
  <c r="AJ221" i="2"/>
  <c r="AM221" i="2"/>
  <c r="O221" i="2"/>
  <c r="T221" i="2"/>
  <c r="AE221" i="2"/>
  <c r="K221" i="2"/>
  <c r="Y221" i="2"/>
  <c r="AQ221" i="2"/>
  <c r="AW408" i="2" l="1"/>
  <c r="AW434" i="2"/>
  <c r="AW609" i="2"/>
  <c r="AV898" i="2"/>
  <c r="AV883" i="2"/>
  <c r="AV823" i="2"/>
  <c r="AV825" i="2"/>
  <c r="AV219" i="2"/>
  <c r="AW97" i="2"/>
  <c r="AW98" i="2" s="1"/>
  <c r="J222" i="2"/>
  <c r="K222" i="2"/>
  <c r="AQ222" i="2"/>
  <c r="AM222" i="2"/>
  <c r="V222" i="2"/>
  <c r="T222" i="2"/>
  <c r="AA222" i="2"/>
  <c r="AS222" i="2"/>
  <c r="M222" i="2"/>
  <c r="AO222" i="2"/>
  <c r="Y222" i="2"/>
  <c r="AB222" i="2"/>
  <c r="AK222" i="2"/>
  <c r="Z222" i="2"/>
  <c r="AN222" i="2"/>
  <c r="P222" i="2"/>
  <c r="AJ222" i="2"/>
  <c r="AE222" i="2"/>
  <c r="AL222" i="2"/>
  <c r="N222" i="2"/>
  <c r="AH222" i="2"/>
  <c r="U222" i="2"/>
  <c r="AC222" i="2"/>
  <c r="AT222" i="2"/>
  <c r="X222" i="2"/>
  <c r="AU222" i="2"/>
  <c r="R222" i="2"/>
  <c r="O222" i="2"/>
  <c r="Q222" i="2"/>
  <c r="L222" i="2"/>
  <c r="AP222" i="2"/>
  <c r="AI222" i="2"/>
  <c r="AG222" i="2"/>
  <c r="AD222" i="2"/>
  <c r="S222" i="2"/>
  <c r="AF222" i="2"/>
  <c r="AR222" i="2"/>
  <c r="W222" i="2"/>
  <c r="AW519" i="2" l="1"/>
  <c r="AW804" i="2" s="1"/>
  <c r="AW99" i="2"/>
  <c r="AX93" i="2" s="1"/>
  <c r="AV982" i="2"/>
  <c r="AV221" i="2"/>
  <c r="AV222" i="2" s="1"/>
  <c r="AV908" i="2"/>
  <c r="AW101" i="2"/>
  <c r="AW860" i="2" l="1"/>
  <c r="AW883" i="2" s="1"/>
  <c r="AW589" i="2"/>
  <c r="AW534" i="2"/>
  <c r="AW578" i="2"/>
  <c r="AW825" i="2"/>
  <c r="AW258" i="2"/>
  <c r="AW577" i="2"/>
  <c r="AW532" i="2"/>
  <c r="AW587" i="2"/>
  <c r="AW216" i="2"/>
  <c r="AW218" i="2" s="1"/>
  <c r="AW802" i="2"/>
  <c r="AX95" i="2"/>
  <c r="J849" i="2"/>
  <c r="J872" i="2" s="1"/>
  <c r="J971" i="2" s="1"/>
  <c r="AN849" i="2"/>
  <c r="AN872" i="2" s="1"/>
  <c r="AN971" i="2" s="1"/>
  <c r="AP849" i="2"/>
  <c r="AP872" i="2" s="1"/>
  <c r="AP971" i="2" s="1"/>
  <c r="AU849" i="2"/>
  <c r="AU872" i="2" s="1"/>
  <c r="AU971" i="2" s="1"/>
  <c r="M849" i="2"/>
  <c r="M872" i="2" s="1"/>
  <c r="M971" i="2" s="1"/>
  <c r="AA849" i="2"/>
  <c r="AA872" i="2" s="1"/>
  <c r="AA971" i="2" s="1"/>
  <c r="AT849" i="2"/>
  <c r="AT872" i="2" s="1"/>
  <c r="AT971" i="2" s="1"/>
  <c r="AV849" i="2"/>
  <c r="AV872" i="2" s="1"/>
  <c r="AV971" i="2" s="1"/>
  <c r="N849" i="2"/>
  <c r="N872" i="2" s="1"/>
  <c r="N971" i="2" s="1"/>
  <c r="AX96" i="2" l="1"/>
  <c r="AX408" i="2" s="1"/>
  <c r="AW982" i="2"/>
  <c r="AW898" i="2"/>
  <c r="AW823" i="2"/>
  <c r="AW219" i="2"/>
  <c r="R849" i="2"/>
  <c r="R872" i="2" s="1"/>
  <c r="R971" i="2" s="1"/>
  <c r="AR849" i="2"/>
  <c r="AR872" i="2" s="1"/>
  <c r="AR971" i="2" s="1"/>
  <c r="O849" i="2"/>
  <c r="O872" i="2" s="1"/>
  <c r="O971" i="2" s="1"/>
  <c r="AE849" i="2"/>
  <c r="AE872" i="2" s="1"/>
  <c r="AE971" i="2" s="1"/>
  <c r="Q849" i="2"/>
  <c r="Q872" i="2" s="1"/>
  <c r="Q971" i="2" s="1"/>
  <c r="AK849" i="2"/>
  <c r="AK872" i="2" s="1"/>
  <c r="AK971" i="2" s="1"/>
  <c r="W849" i="2"/>
  <c r="W872" i="2" s="1"/>
  <c r="W971" i="2" s="1"/>
  <c r="V849" i="2"/>
  <c r="V872" i="2" s="1"/>
  <c r="V971" i="2" s="1"/>
  <c r="BC849" i="2"/>
  <c r="BC872" i="2" s="1"/>
  <c r="BC971" i="2" s="1"/>
  <c r="AX849" i="2"/>
  <c r="AX872" i="2" s="1"/>
  <c r="AX971" i="2" s="1"/>
  <c r="AI849" i="2"/>
  <c r="AI872" i="2" s="1"/>
  <c r="AI971" i="2" s="1"/>
  <c r="AJ849" i="2"/>
  <c r="AJ872" i="2" s="1"/>
  <c r="AJ971" i="2" s="1"/>
  <c r="I849" i="2"/>
  <c r="I872" i="2" s="1"/>
  <c r="I971" i="2" s="1"/>
  <c r="AQ849" i="2"/>
  <c r="AQ872" i="2" s="1"/>
  <c r="AQ971" i="2" s="1"/>
  <c r="AB849" i="2"/>
  <c r="AB872" i="2" s="1"/>
  <c r="AB971" i="2" s="1"/>
  <c r="AM849" i="2"/>
  <c r="AM872" i="2" s="1"/>
  <c r="AM971" i="2" s="1"/>
  <c r="Y849" i="2"/>
  <c r="Y872" i="2" s="1"/>
  <c r="Y971" i="2" s="1"/>
  <c r="AC849" i="2"/>
  <c r="AC872" i="2" s="1"/>
  <c r="AC971" i="2" s="1"/>
  <c r="BB849" i="2"/>
  <c r="BB872" i="2" s="1"/>
  <c r="BB971" i="2" s="1"/>
  <c r="AO849" i="2"/>
  <c r="AO872" i="2" s="1"/>
  <c r="AO971" i="2" s="1"/>
  <c r="BD849" i="2"/>
  <c r="BD872" i="2" s="1"/>
  <c r="BD971" i="2" s="1"/>
  <c r="Z849" i="2"/>
  <c r="Z872" i="2" s="1"/>
  <c r="Z971" i="2" s="1"/>
  <c r="S849" i="2"/>
  <c r="S872" i="2" s="1"/>
  <c r="S971" i="2" s="1"/>
  <c r="AF849" i="2"/>
  <c r="AF872" i="2" s="1"/>
  <c r="AF971" i="2" s="1"/>
  <c r="AL849" i="2"/>
  <c r="AL872" i="2" s="1"/>
  <c r="AL971" i="2" s="1"/>
  <c r="BA849" i="2"/>
  <c r="BA872" i="2" s="1"/>
  <c r="BA971" i="2" s="1"/>
  <c r="T849" i="2"/>
  <c r="T872" i="2" s="1"/>
  <c r="T971" i="2" s="1"/>
  <c r="AY849" i="2"/>
  <c r="AY872" i="2" s="1"/>
  <c r="AY971" i="2" s="1"/>
  <c r="AD849" i="2"/>
  <c r="AD872" i="2" s="1"/>
  <c r="AD971" i="2" s="1"/>
  <c r="AS849" i="2"/>
  <c r="AS872" i="2" s="1"/>
  <c r="AS971" i="2" s="1"/>
  <c r="P849" i="2"/>
  <c r="P872" i="2" s="1"/>
  <c r="P971" i="2" s="1"/>
  <c r="U849" i="2"/>
  <c r="U872" i="2" s="1"/>
  <c r="U971" i="2" s="1"/>
  <c r="L849" i="2"/>
  <c r="L872" i="2" s="1"/>
  <c r="L971" i="2" s="1"/>
  <c r="K849" i="2"/>
  <c r="K872" i="2" s="1"/>
  <c r="K971" i="2" s="1"/>
  <c r="X849" i="2"/>
  <c r="X872" i="2" s="1"/>
  <c r="X971" i="2" s="1"/>
  <c r="H849" i="2"/>
  <c r="H872" i="2" s="1"/>
  <c r="H971" i="2" s="1"/>
  <c r="AW849" i="2"/>
  <c r="AW872" i="2" s="1"/>
  <c r="AW971" i="2" s="1"/>
  <c r="AH849" i="2"/>
  <c r="AH872" i="2" s="1"/>
  <c r="AH971" i="2" s="1"/>
  <c r="AZ849" i="2"/>
  <c r="AZ872" i="2" s="1"/>
  <c r="AZ971" i="2" s="1"/>
  <c r="AG849" i="2"/>
  <c r="AG872" i="2" s="1"/>
  <c r="AG971" i="2" s="1"/>
  <c r="AX434" i="2" l="1"/>
  <c r="AX97" i="2"/>
  <c r="AX98" i="2" s="1"/>
  <c r="AX609" i="2"/>
  <c r="AW908" i="2"/>
  <c r="AW221" i="2"/>
  <c r="AW222" i="2" s="1"/>
  <c r="G849" i="2"/>
  <c r="C244" i="2"/>
  <c r="AX519" i="2" l="1"/>
  <c r="AX804" i="2" s="1"/>
  <c r="AX825" i="2" s="1"/>
  <c r="AX101" i="2"/>
  <c r="AX258" i="2" s="1"/>
  <c r="AX99" i="2"/>
  <c r="AY93" i="2" s="1"/>
  <c r="AY95" i="2" s="1"/>
  <c r="G872" i="2"/>
  <c r="C849" i="2"/>
  <c r="AX860" i="2" l="1"/>
  <c r="AX883" i="2" s="1"/>
  <c r="AX982" i="2" s="1"/>
  <c r="AX578" i="2"/>
  <c r="AX589" i="2"/>
  <c r="AX534" i="2"/>
  <c r="AX802" i="2"/>
  <c r="AX823" i="2" s="1"/>
  <c r="AX216" i="2"/>
  <c r="AX218" i="2" s="1"/>
  <c r="AX219" i="2" s="1"/>
  <c r="AX587" i="2"/>
  <c r="AX577" i="2"/>
  <c r="AX532" i="2"/>
  <c r="AY96" i="2"/>
  <c r="AY434" i="2" s="1"/>
  <c r="AX898" i="2"/>
  <c r="G971" i="2"/>
  <c r="C971" i="2" s="1"/>
  <c r="F995" i="2" s="1"/>
  <c r="C872" i="2"/>
  <c r="AY408" i="2" l="1"/>
  <c r="AY97" i="2"/>
  <c r="AY98" i="2" s="1"/>
  <c r="AY101" i="2" s="1"/>
  <c r="AY532" i="2" s="1"/>
  <c r="AY609" i="2"/>
  <c r="AX221" i="2"/>
  <c r="AX222" i="2" s="1"/>
  <c r="AX908" i="2"/>
  <c r="C200" i="18"/>
  <c r="AY519" i="2" l="1"/>
  <c r="AY589" i="2" s="1"/>
  <c r="AY99" i="2"/>
  <c r="AZ93" i="2" s="1"/>
  <c r="AZ95" i="2" s="1"/>
  <c r="AZ96" i="2" s="1"/>
  <c r="AY216" i="2"/>
  <c r="AY218" i="2" s="1"/>
  <c r="AY219" i="2" s="1"/>
  <c r="AY258" i="2"/>
  <c r="AY577" i="2"/>
  <c r="AY587" i="2"/>
  <c r="AY802" i="2"/>
  <c r="AY823" i="2" s="1"/>
  <c r="AY898" i="2"/>
  <c r="AY860" i="2" l="1"/>
  <c r="AY883" i="2" s="1"/>
  <c r="AY578" i="2"/>
  <c r="AY534" i="2"/>
  <c r="AY804" i="2"/>
  <c r="AY825" i="2" s="1"/>
  <c r="AZ97" i="2"/>
  <c r="AZ98" i="2" s="1"/>
  <c r="AZ101" i="2" s="1"/>
  <c r="AZ609" i="2"/>
  <c r="AZ408" i="2"/>
  <c r="AZ434" i="2"/>
  <c r="AY908" i="2"/>
  <c r="AY221" i="2"/>
  <c r="AY222" i="2" s="1"/>
  <c r="AZ519" i="2" l="1"/>
  <c r="AZ534" i="2" s="1"/>
  <c r="AZ99" i="2"/>
  <c r="BA93" i="2" s="1"/>
  <c r="BA95" i="2" s="1"/>
  <c r="BA96" i="2" s="1"/>
  <c r="BA408" i="2" s="1"/>
  <c r="AY982" i="2"/>
  <c r="AZ216" i="2"/>
  <c r="AZ218" i="2" s="1"/>
  <c r="AZ258" i="2"/>
  <c r="AZ577" i="2"/>
  <c r="AZ898" i="2" s="1"/>
  <c r="AZ908" i="2" s="1"/>
  <c r="AZ532" i="2"/>
  <c r="AZ587" i="2"/>
  <c r="AZ802" i="2"/>
  <c r="AZ823" i="2" s="1"/>
  <c r="AZ860" i="2" l="1"/>
  <c r="AZ883" i="2" s="1"/>
  <c r="AZ589" i="2"/>
  <c r="AZ578" i="2"/>
  <c r="AZ804" i="2"/>
  <c r="AZ825" i="2" s="1"/>
  <c r="BA97" i="2"/>
  <c r="BA98" i="2" s="1"/>
  <c r="BA101" i="2" s="1"/>
  <c r="BA609" i="2"/>
  <c r="BA434" i="2"/>
  <c r="AZ219" i="2"/>
  <c r="BA519" i="2" l="1"/>
  <c r="BA534" i="2" s="1"/>
  <c r="BA99" i="2"/>
  <c r="BB93" i="2" s="1"/>
  <c r="BB95" i="2" s="1"/>
  <c r="BB96" i="2" s="1"/>
  <c r="AZ982" i="2"/>
  <c r="BA577" i="2"/>
  <c r="BA898" i="2" s="1"/>
  <c r="BA908" i="2" s="1"/>
  <c r="BA258" i="2"/>
  <c r="BA216" i="2"/>
  <c r="BA218" i="2" s="1"/>
  <c r="BA219" i="2" s="1"/>
  <c r="BA802" i="2"/>
  <c r="BA823" i="2" s="1"/>
  <c r="BA532" i="2"/>
  <c r="BA587" i="2"/>
  <c r="AZ221" i="2"/>
  <c r="AZ222" i="2" s="1"/>
  <c r="BA589" i="2" l="1"/>
  <c r="BA860" i="2"/>
  <c r="BA883" i="2" s="1"/>
  <c r="BA578" i="2"/>
  <c r="BA804" i="2"/>
  <c r="BA825" i="2" s="1"/>
  <c r="BB97" i="2"/>
  <c r="BB98" i="2" s="1"/>
  <c r="BB101" i="2" s="1"/>
  <c r="BB802" i="2" s="1"/>
  <c r="BB823" i="2" s="1"/>
  <c r="BB434" i="2"/>
  <c r="BB408" i="2"/>
  <c r="BB609" i="2"/>
  <c r="BA221" i="2"/>
  <c r="BA222" i="2" s="1"/>
  <c r="G445" i="2"/>
  <c r="BB519" i="2" l="1"/>
  <c r="BB589" i="2" s="1"/>
  <c r="BB99" i="2"/>
  <c r="BC93" i="2" s="1"/>
  <c r="BC95" i="2" s="1"/>
  <c r="BC96" i="2" s="1"/>
  <c r="BB216" i="2"/>
  <c r="BB218" i="2" s="1"/>
  <c r="BB219" i="2" s="1"/>
  <c r="BB221" i="2" s="1"/>
  <c r="BB222" i="2" s="1"/>
  <c r="BA982" i="2"/>
  <c r="BB577" i="2"/>
  <c r="BB898" i="2" s="1"/>
  <c r="BB908" i="2" s="1"/>
  <c r="BB532" i="2"/>
  <c r="BB587" i="2"/>
  <c r="BB258" i="2"/>
  <c r="BB578" i="2" l="1"/>
  <c r="BB860" i="2"/>
  <c r="BB883" i="2" s="1"/>
  <c r="BB982" i="2" s="1"/>
  <c r="BB804" i="2"/>
  <c r="BB825" i="2" s="1"/>
  <c r="BB534" i="2"/>
  <c r="BC609" i="2"/>
  <c r="BC434" i="2"/>
  <c r="BC408" i="2"/>
  <c r="BC97" i="2"/>
  <c r="BC98" i="2" s="1"/>
  <c r="BC101" i="2" l="1"/>
  <c r="BC258" i="2" s="1"/>
  <c r="BC519" i="2"/>
  <c r="BC99" i="2"/>
  <c r="BD93" i="2" s="1"/>
  <c r="BD95" i="2" s="1"/>
  <c r="BD96" i="2" s="1"/>
  <c r="BD609" i="2" s="1"/>
  <c r="C609" i="2" s="1"/>
  <c r="BC802" i="2" l="1"/>
  <c r="BC823" i="2" s="1"/>
  <c r="BC532" i="2"/>
  <c r="BC577" i="2"/>
  <c r="BC898" i="2" s="1"/>
  <c r="BC908" i="2" s="1"/>
  <c r="C908" i="2" s="1"/>
  <c r="BC587" i="2"/>
  <c r="BC216" i="2"/>
  <c r="BC218" i="2" s="1"/>
  <c r="BC219" i="2" s="1"/>
  <c r="BC221" i="2" s="1"/>
  <c r="BC222" i="2" s="1"/>
  <c r="BC534" i="2"/>
  <c r="BC578" i="2"/>
  <c r="BC589" i="2"/>
  <c r="BC860" i="2"/>
  <c r="BC883" i="2" s="1"/>
  <c r="BC982" i="2" s="1"/>
  <c r="BC804" i="2"/>
  <c r="BC825" i="2" s="1"/>
  <c r="BD434" i="2"/>
  <c r="C434" i="2" s="1"/>
  <c r="BD408" i="2"/>
  <c r="C408" i="2" s="1"/>
  <c r="C95" i="2"/>
  <c r="C96" i="2"/>
  <c r="BD97" i="2"/>
  <c r="BD98" i="2" s="1"/>
  <c r="C898" i="2" l="1"/>
  <c r="BD99" i="2"/>
  <c r="BD519" i="2"/>
  <c r="C98" i="2"/>
  <c r="BD101" i="2"/>
  <c r="BD860" i="2" l="1"/>
  <c r="BD534" i="2"/>
  <c r="C534" i="2" s="1"/>
  <c r="BD578" i="2"/>
  <c r="C578" i="2" s="1"/>
  <c r="BD589" i="2"/>
  <c r="C589" i="2" s="1"/>
  <c r="BD804" i="2"/>
  <c r="C519" i="2"/>
  <c r="BD258" i="2"/>
  <c r="BD532" i="2"/>
  <c r="C532" i="2" s="1"/>
  <c r="BD587" i="2"/>
  <c r="C587" i="2" s="1"/>
  <c r="BD577" i="2"/>
  <c r="C577" i="2" s="1"/>
  <c r="BD216" i="2"/>
  <c r="BD802" i="2"/>
  <c r="C101" i="2"/>
  <c r="BD825" i="2" l="1"/>
  <c r="C825" i="2" s="1"/>
  <c r="C804" i="2"/>
  <c r="BD883" i="2"/>
  <c r="C860" i="2"/>
  <c r="BD823" i="2"/>
  <c r="C823" i="2" s="1"/>
  <c r="C802" i="2"/>
  <c r="C216" i="2"/>
  <c r="BD218" i="2"/>
  <c r="C258" i="2"/>
  <c r="BD982" i="2" l="1"/>
  <c r="C982" i="2" s="1"/>
  <c r="F1006" i="2" s="1"/>
  <c r="C883" i="2"/>
  <c r="C218" i="2"/>
  <c r="BD219" i="2"/>
  <c r="C210" i="18" l="1"/>
  <c r="C401" i="2"/>
  <c r="BD221" i="2"/>
  <c r="BD222" i="2" s="1"/>
  <c r="C219" i="2"/>
  <c r="E222" i="2" l="1"/>
  <c r="E223" i="2" s="1"/>
  <c r="P224" i="2" l="1"/>
  <c r="V224" i="2"/>
  <c r="BA223" i="2"/>
  <c r="BA227" i="2" s="1"/>
  <c r="BA228" i="2" s="1"/>
  <c r="BA455" i="2" s="1"/>
  <c r="W224" i="2"/>
  <c r="AF223" i="2"/>
  <c r="AF227" i="2" s="1"/>
  <c r="AF228" i="2" s="1"/>
  <c r="AF455" i="2" s="1"/>
  <c r="K224" i="2"/>
  <c r="G224" i="2"/>
  <c r="AT223" i="2"/>
  <c r="AT227" i="2" s="1"/>
  <c r="AT228" i="2" s="1"/>
  <c r="AT455" i="2" s="1"/>
  <c r="V223" i="2"/>
  <c r="V227" i="2" s="1"/>
  <c r="V228" i="2" s="1"/>
  <c r="V455" i="2" s="1"/>
  <c r="O223" i="2"/>
  <c r="O227" i="2" s="1"/>
  <c r="O228" i="2" s="1"/>
  <c r="O455" i="2" s="1"/>
  <c r="AT224" i="2"/>
  <c r="AT610" i="2" s="1"/>
  <c r="P223" i="2"/>
  <c r="P227" i="2" s="1"/>
  <c r="P228" i="2" s="1"/>
  <c r="P455" i="2" s="1"/>
  <c r="X223" i="2"/>
  <c r="X227" i="2" s="1"/>
  <c r="X228" i="2" s="1"/>
  <c r="X455" i="2" s="1"/>
  <c r="AM224" i="2"/>
  <c r="AS223" i="2"/>
  <c r="AS227" i="2" s="1"/>
  <c r="AS228" i="2" s="1"/>
  <c r="AS455" i="2" s="1"/>
  <c r="N224" i="2"/>
  <c r="Y224" i="2"/>
  <c r="AA223" i="2"/>
  <c r="AA227" i="2" s="1"/>
  <c r="AA228" i="2" s="1"/>
  <c r="AA455" i="2" s="1"/>
  <c r="AU224" i="2"/>
  <c r="AU610" i="2" s="1"/>
  <c r="Z223" i="2"/>
  <c r="Z227" i="2" s="1"/>
  <c r="Z228" i="2" s="1"/>
  <c r="Z455" i="2" s="1"/>
  <c r="AD224" i="2"/>
  <c r="I223" i="2"/>
  <c r="I227" i="2" s="1"/>
  <c r="I228" i="2" s="1"/>
  <c r="I455" i="2" s="1"/>
  <c r="AR224" i="2"/>
  <c r="AI223" i="2"/>
  <c r="AI227" i="2" s="1"/>
  <c r="AI228" i="2" s="1"/>
  <c r="AI455" i="2" s="1"/>
  <c r="AQ223" i="2"/>
  <c r="AQ227" i="2" s="1"/>
  <c r="AQ228" i="2" s="1"/>
  <c r="AQ455" i="2" s="1"/>
  <c r="AB224" i="2"/>
  <c r="BD223" i="2"/>
  <c r="BD227" i="2" s="1"/>
  <c r="BD228" i="2" s="1"/>
  <c r="BD455" i="2" s="1"/>
  <c r="AK224" i="2"/>
  <c r="K223" i="2"/>
  <c r="K227" i="2" s="1"/>
  <c r="K228" i="2" s="1"/>
  <c r="K455" i="2" s="1"/>
  <c r="L224" i="2"/>
  <c r="S223" i="2"/>
  <c r="S227" i="2" s="1"/>
  <c r="S228" i="2" s="1"/>
  <c r="S455" i="2" s="1"/>
  <c r="AY224" i="2"/>
  <c r="BA224" i="2"/>
  <c r="AA224" i="2"/>
  <c r="AP223" i="2"/>
  <c r="AP227" i="2" s="1"/>
  <c r="AP228" i="2" s="1"/>
  <c r="AP455" i="2" s="1"/>
  <c r="AL224" i="2"/>
  <c r="AL610" i="2" s="1"/>
  <c r="N223" i="2"/>
  <c r="N227" i="2" s="1"/>
  <c r="N228" i="2" s="1"/>
  <c r="N455" i="2" s="1"/>
  <c r="M224" i="2"/>
  <c r="AO223" i="2"/>
  <c r="AO227" i="2" s="1"/>
  <c r="AO228" i="2" s="1"/>
  <c r="AO455" i="2" s="1"/>
  <c r="BD224" i="2"/>
  <c r="AL223" i="2"/>
  <c r="AL227" i="2" s="1"/>
  <c r="AL228" i="2" s="1"/>
  <c r="AL455" i="2" s="1"/>
  <c r="AV223" i="2"/>
  <c r="AV227" i="2" s="1"/>
  <c r="AV228" i="2" s="1"/>
  <c r="AV455" i="2" s="1"/>
  <c r="X224" i="2"/>
  <c r="X610" i="2" s="1"/>
  <c r="T223" i="2"/>
  <c r="T227" i="2" s="1"/>
  <c r="T228" i="2" s="1"/>
  <c r="T455" i="2" s="1"/>
  <c r="T224" i="2"/>
  <c r="AG223" i="2"/>
  <c r="AG227" i="2" s="1"/>
  <c r="AG228" i="2" s="1"/>
  <c r="AG455" i="2" s="1"/>
  <c r="AX223" i="2"/>
  <c r="AX227" i="2" s="1"/>
  <c r="AX228" i="2" s="1"/>
  <c r="AX455" i="2" s="1"/>
  <c r="R223" i="2"/>
  <c r="R227" i="2" s="1"/>
  <c r="AF224" i="2"/>
  <c r="AS224" i="2"/>
  <c r="U224" i="2"/>
  <c r="U610" i="2" s="1"/>
  <c r="AW223" i="2"/>
  <c r="AW227" i="2" s="1"/>
  <c r="AW228" i="2" s="1"/>
  <c r="AW455" i="2" s="1"/>
  <c r="AG224" i="2"/>
  <c r="W223" i="2"/>
  <c r="W227" i="2" s="1"/>
  <c r="W228" i="2" s="1"/>
  <c r="W455" i="2" s="1"/>
  <c r="S224" i="2"/>
  <c r="O224" i="2"/>
  <c r="AC223" i="2"/>
  <c r="AC227" i="2" s="1"/>
  <c r="AC228" i="2" s="1"/>
  <c r="AC455" i="2" s="1"/>
  <c r="AX224" i="2"/>
  <c r="Y223" i="2"/>
  <c r="Y227" i="2" s="1"/>
  <c r="Y228" i="2" s="1"/>
  <c r="Y455" i="2" s="1"/>
  <c r="H224" i="2"/>
  <c r="H610" i="2" s="1"/>
  <c r="AD223" i="2"/>
  <c r="AD227" i="2" s="1"/>
  <c r="AD228" i="2" s="1"/>
  <c r="AD455" i="2" s="1"/>
  <c r="AH224" i="2"/>
  <c r="AR223" i="2"/>
  <c r="AR227" i="2" s="1"/>
  <c r="AR228" i="2" s="1"/>
  <c r="AR455" i="2" s="1"/>
  <c r="I224" i="2"/>
  <c r="AP224" i="2"/>
  <c r="AZ224" i="2"/>
  <c r="J223" i="2"/>
  <c r="J227" i="2" s="1"/>
  <c r="J228" i="2" s="1"/>
  <c r="J455" i="2" s="1"/>
  <c r="AW224" i="2"/>
  <c r="AW610" i="2" s="1"/>
  <c r="AZ223" i="2"/>
  <c r="AZ227" i="2" s="1"/>
  <c r="AZ228" i="2" s="1"/>
  <c r="AZ455" i="2" s="1"/>
  <c r="AI224" i="2"/>
  <c r="AE224" i="2"/>
  <c r="AO224" i="2"/>
  <c r="Q224" i="2"/>
  <c r="L223" i="2"/>
  <c r="L227" i="2" s="1"/>
  <c r="L228" i="2" s="1"/>
  <c r="L455" i="2" s="1"/>
  <c r="AC224" i="2"/>
  <c r="AC610" i="2" s="1"/>
  <c r="AQ224" i="2"/>
  <c r="AQ610" i="2" s="1"/>
  <c r="AJ223" i="2"/>
  <c r="AJ227" i="2" s="1"/>
  <c r="AJ228" i="2" s="1"/>
  <c r="AJ455" i="2" s="1"/>
  <c r="R224" i="2"/>
  <c r="AK223" i="2"/>
  <c r="AK227" i="2" s="1"/>
  <c r="AK228" i="2" s="1"/>
  <c r="AK455" i="2" s="1"/>
  <c r="U223" i="2"/>
  <c r="U227" i="2" s="1"/>
  <c r="U228" i="2" s="1"/>
  <c r="U455" i="2" s="1"/>
  <c r="AJ224" i="2"/>
  <c r="AH223" i="2"/>
  <c r="AH227" i="2" s="1"/>
  <c r="AH228" i="2" s="1"/>
  <c r="AH455" i="2" s="1"/>
  <c r="Q223" i="2"/>
  <c r="Q227" i="2" s="1"/>
  <c r="Q228" i="2" s="1"/>
  <c r="Q455" i="2" s="1"/>
  <c r="BB223" i="2"/>
  <c r="BB227" i="2" s="1"/>
  <c r="BB228" i="2" s="1"/>
  <c r="BB455" i="2" s="1"/>
  <c r="AV224" i="2"/>
  <c r="H223" i="2"/>
  <c r="H227" i="2" s="1"/>
  <c r="H228" i="2" s="1"/>
  <c r="H455" i="2" s="1"/>
  <c r="BC223" i="2"/>
  <c r="BC227" i="2" s="1"/>
  <c r="BC228" i="2" s="1"/>
  <c r="BC455" i="2" s="1"/>
  <c r="AB223" i="2"/>
  <c r="AB227" i="2" s="1"/>
  <c r="AB228" i="2" s="1"/>
  <c r="AB455" i="2" s="1"/>
  <c r="BB224" i="2"/>
  <c r="Z224" i="2"/>
  <c r="AU223" i="2"/>
  <c r="AU227" i="2" s="1"/>
  <c r="AU228" i="2" s="1"/>
  <c r="AU455" i="2" s="1"/>
  <c r="AE223" i="2"/>
  <c r="AE227" i="2" s="1"/>
  <c r="AE228" i="2" s="1"/>
  <c r="AE455" i="2" s="1"/>
  <c r="M223" i="2"/>
  <c r="M227" i="2" s="1"/>
  <c r="M228" i="2" s="1"/>
  <c r="M455" i="2" s="1"/>
  <c r="AN223" i="2"/>
  <c r="AN227" i="2" s="1"/>
  <c r="AN228" i="2" s="1"/>
  <c r="AN455" i="2" s="1"/>
  <c r="AN224" i="2"/>
  <c r="J224" i="2"/>
  <c r="AY223" i="2"/>
  <c r="AY227" i="2" s="1"/>
  <c r="AY228" i="2" s="1"/>
  <c r="AY455" i="2" s="1"/>
  <c r="G223" i="2"/>
  <c r="G227" i="2" s="1"/>
  <c r="G228" i="2" s="1"/>
  <c r="E226" i="2"/>
  <c r="BC224" i="2"/>
  <c r="BC610" i="2" s="1"/>
  <c r="AM223" i="2"/>
  <c r="AM227" i="2" s="1"/>
  <c r="AM228" i="2" s="1"/>
  <c r="AM455" i="2" s="1"/>
  <c r="AS610" i="2"/>
  <c r="Y610" i="2"/>
  <c r="P610" i="2"/>
  <c r="Z610" i="2"/>
  <c r="AJ610" i="2"/>
  <c r="AZ610" i="2"/>
  <c r="AF610" i="2"/>
  <c r="AP610" i="2"/>
  <c r="Q610" i="2"/>
  <c r="BA610" i="2"/>
  <c r="AX610" i="2"/>
  <c r="AB610" i="2"/>
  <c r="AD610" i="2"/>
  <c r="AK610" i="2"/>
  <c r="AO721" i="2" l="1"/>
  <c r="AO236" i="2"/>
  <c r="AO847" i="2" s="1"/>
  <c r="AO870" i="2" s="1"/>
  <c r="AO969" i="2" s="1"/>
  <c r="AO240" i="2"/>
  <c r="AO848" i="2" s="1"/>
  <c r="AO871" i="2" s="1"/>
  <c r="AO970" i="2" s="1"/>
  <c r="N721" i="2"/>
  <c r="N236" i="2"/>
  <c r="N847" i="2" s="1"/>
  <c r="N870" i="2" s="1"/>
  <c r="N969" i="2" s="1"/>
  <c r="N240" i="2"/>
  <c r="N848" i="2" s="1"/>
  <c r="N871" i="2" s="1"/>
  <c r="N970" i="2" s="1"/>
  <c r="AN721" i="2"/>
  <c r="AN236" i="2"/>
  <c r="AN240" i="2"/>
  <c r="AN848" i="2" s="1"/>
  <c r="AN871" i="2" s="1"/>
  <c r="AN970" i="2" s="1"/>
  <c r="AE721" i="2"/>
  <c r="AE236" i="2"/>
  <c r="AE847" i="2" s="1"/>
  <c r="AE870" i="2" s="1"/>
  <c r="AE969" i="2" s="1"/>
  <c r="AE240" i="2"/>
  <c r="AE848" i="2" s="1"/>
  <c r="AE871" i="2" s="1"/>
  <c r="AE970" i="2" s="1"/>
  <c r="S721" i="2"/>
  <c r="S236" i="2"/>
  <c r="S847" i="2" s="1"/>
  <c r="S870" i="2" s="1"/>
  <c r="S969" i="2" s="1"/>
  <c r="S240" i="2"/>
  <c r="S848" i="2" s="1"/>
  <c r="S871" i="2" s="1"/>
  <c r="S970" i="2" s="1"/>
  <c r="AR721" i="2"/>
  <c r="AR236" i="2"/>
  <c r="AR847" i="2" s="1"/>
  <c r="AR870" i="2" s="1"/>
  <c r="AR969" i="2" s="1"/>
  <c r="AR240" i="2"/>
  <c r="AR848" i="2" s="1"/>
  <c r="AR871" i="2" s="1"/>
  <c r="AR970" i="2" s="1"/>
  <c r="G721" i="2"/>
  <c r="G236" i="2"/>
  <c r="G847" i="2" s="1"/>
  <c r="G240" i="2"/>
  <c r="O721" i="2"/>
  <c r="O236" i="2"/>
  <c r="O847" i="2" s="1"/>
  <c r="O870" i="2" s="1"/>
  <c r="O969" i="2" s="1"/>
  <c r="O240" i="2"/>
  <c r="O848" i="2" s="1"/>
  <c r="O871" i="2" s="1"/>
  <c r="O970" i="2" s="1"/>
  <c r="R721" i="2"/>
  <c r="R236" i="2"/>
  <c r="R240" i="2"/>
  <c r="R848" i="2" s="1"/>
  <c r="R871" i="2" s="1"/>
  <c r="R970" i="2" s="1"/>
  <c r="AI721" i="2"/>
  <c r="AI236" i="2"/>
  <c r="AI847" i="2" s="1"/>
  <c r="AI870" i="2" s="1"/>
  <c r="AI969" i="2" s="1"/>
  <c r="AI240" i="2"/>
  <c r="AI848" i="2" s="1"/>
  <c r="AI871" i="2" s="1"/>
  <c r="AI970" i="2" s="1"/>
  <c r="AH721" i="2"/>
  <c r="AH236" i="2"/>
  <c r="AH847" i="2" s="1"/>
  <c r="AH870" i="2" s="1"/>
  <c r="AH969" i="2" s="1"/>
  <c r="AH240" i="2"/>
  <c r="AH848" i="2" s="1"/>
  <c r="AH871" i="2" s="1"/>
  <c r="AH970" i="2" s="1"/>
  <c r="M721" i="2"/>
  <c r="M236" i="2"/>
  <c r="M240" i="2"/>
  <c r="M848" i="2" s="1"/>
  <c r="M871" i="2" s="1"/>
  <c r="M970" i="2" s="1"/>
  <c r="L721" i="2"/>
  <c r="L236" i="2"/>
  <c r="L847" i="2" s="1"/>
  <c r="L870" i="2" s="1"/>
  <c r="L969" i="2" s="1"/>
  <c r="L240" i="2"/>
  <c r="L848" i="2" s="1"/>
  <c r="L871" i="2" s="1"/>
  <c r="L970" i="2" s="1"/>
  <c r="AM721" i="2"/>
  <c r="AM236" i="2"/>
  <c r="AM847" i="2" s="1"/>
  <c r="AM870" i="2" s="1"/>
  <c r="AM969" i="2" s="1"/>
  <c r="AM240" i="2"/>
  <c r="AM848" i="2" s="1"/>
  <c r="AM871" i="2" s="1"/>
  <c r="AM970" i="2" s="1"/>
  <c r="K721" i="2"/>
  <c r="K236" i="2"/>
  <c r="K847" i="2" s="1"/>
  <c r="K870" i="2" s="1"/>
  <c r="K969" i="2" s="1"/>
  <c r="K240" i="2"/>
  <c r="K848" i="2" s="1"/>
  <c r="K871" i="2" s="1"/>
  <c r="K970" i="2" s="1"/>
  <c r="AV721" i="2"/>
  <c r="AV236" i="2"/>
  <c r="AV847" i="2" s="1"/>
  <c r="AV870" i="2" s="1"/>
  <c r="AV969" i="2" s="1"/>
  <c r="AV240" i="2"/>
  <c r="AV848" i="2" s="1"/>
  <c r="AV871" i="2" s="1"/>
  <c r="AV970" i="2" s="1"/>
  <c r="AG721" i="2"/>
  <c r="AG236" i="2"/>
  <c r="AG847" i="2" s="1"/>
  <c r="AG870" i="2" s="1"/>
  <c r="AG969" i="2" s="1"/>
  <c r="AG240" i="2"/>
  <c r="AG848" i="2" s="1"/>
  <c r="AG871" i="2" s="1"/>
  <c r="AG970" i="2" s="1"/>
  <c r="T721" i="2"/>
  <c r="T236" i="2"/>
  <c r="T847" i="2" s="1"/>
  <c r="T870" i="2" s="1"/>
  <c r="T969" i="2" s="1"/>
  <c r="T240" i="2"/>
  <c r="T848" i="2" s="1"/>
  <c r="T871" i="2" s="1"/>
  <c r="T970" i="2" s="1"/>
  <c r="AD721" i="2"/>
  <c r="AD236" i="2"/>
  <c r="AD847" i="2" s="1"/>
  <c r="AD870" i="2" s="1"/>
  <c r="AD969" i="2" s="1"/>
  <c r="AD240" i="2"/>
  <c r="AD848" i="2" s="1"/>
  <c r="AD871" i="2" s="1"/>
  <c r="AD970" i="2" s="1"/>
  <c r="BC721" i="2"/>
  <c r="BC236" i="2"/>
  <c r="BC847" i="2" s="1"/>
  <c r="BC870" i="2" s="1"/>
  <c r="BC969" i="2" s="1"/>
  <c r="BC240" i="2"/>
  <c r="BC848" i="2" s="1"/>
  <c r="BC871" i="2" s="1"/>
  <c r="BC970" i="2" s="1"/>
  <c r="AQ721" i="2"/>
  <c r="AQ236" i="2"/>
  <c r="AQ847" i="2" s="1"/>
  <c r="AQ870" i="2" s="1"/>
  <c r="AQ969" i="2" s="1"/>
  <c r="AQ240" i="2"/>
  <c r="AQ848" i="2" s="1"/>
  <c r="AQ871" i="2" s="1"/>
  <c r="AQ970" i="2" s="1"/>
  <c r="AW721" i="2"/>
  <c r="AW236" i="2"/>
  <c r="AW847" i="2" s="1"/>
  <c r="AW870" i="2" s="1"/>
  <c r="AW969" i="2" s="1"/>
  <c r="AW240" i="2"/>
  <c r="AW848" i="2" s="1"/>
  <c r="AW871" i="2" s="1"/>
  <c r="AW970" i="2" s="1"/>
  <c r="H721" i="2"/>
  <c r="H236" i="2"/>
  <c r="H240" i="2"/>
  <c r="H848" i="2" s="1"/>
  <c r="H871" i="2" s="1"/>
  <c r="H970" i="2" s="1"/>
  <c r="AL721" i="2"/>
  <c r="AL236" i="2"/>
  <c r="AL847" i="2" s="1"/>
  <c r="AL870" i="2" s="1"/>
  <c r="AL969" i="2" s="1"/>
  <c r="AL240" i="2"/>
  <c r="AL848" i="2" s="1"/>
  <c r="AL871" i="2" s="1"/>
  <c r="AL970" i="2" s="1"/>
  <c r="AK721" i="2"/>
  <c r="AK236" i="2"/>
  <c r="AK240" i="2"/>
  <c r="AK848" i="2" s="1"/>
  <c r="AK871" i="2" s="1"/>
  <c r="AK970" i="2" s="1"/>
  <c r="W721" i="2"/>
  <c r="W236" i="2"/>
  <c r="W240" i="2"/>
  <c r="W848" i="2" s="1"/>
  <c r="W871" i="2" s="1"/>
  <c r="W970" i="2" s="1"/>
  <c r="BD721" i="2"/>
  <c r="BD236" i="2"/>
  <c r="BD847" i="2" s="1"/>
  <c r="BD870" i="2" s="1"/>
  <c r="BD969" i="2" s="1"/>
  <c r="BD240" i="2"/>
  <c r="BD848" i="2" s="1"/>
  <c r="BD871" i="2" s="1"/>
  <c r="BD970" i="2" s="1"/>
  <c r="AC721" i="2"/>
  <c r="AC236" i="2"/>
  <c r="AC240" i="2"/>
  <c r="AC848" i="2" s="1"/>
  <c r="AC871" i="2" s="1"/>
  <c r="AC970" i="2" s="1"/>
  <c r="U721" i="2"/>
  <c r="U236" i="2"/>
  <c r="U847" i="2" s="1"/>
  <c r="U870" i="2" s="1"/>
  <c r="U969" i="2" s="1"/>
  <c r="U240" i="2"/>
  <c r="U848" i="2" s="1"/>
  <c r="U871" i="2" s="1"/>
  <c r="U970" i="2" s="1"/>
  <c r="X721" i="2"/>
  <c r="X236" i="2"/>
  <c r="X240" i="2"/>
  <c r="X848" i="2" s="1"/>
  <c r="X871" i="2" s="1"/>
  <c r="X970" i="2" s="1"/>
  <c r="AU721" i="2"/>
  <c r="AU236" i="2"/>
  <c r="AU847" i="2" s="1"/>
  <c r="AU870" i="2" s="1"/>
  <c r="AU969" i="2" s="1"/>
  <c r="AU240" i="2"/>
  <c r="AU848" i="2" s="1"/>
  <c r="AU871" i="2" s="1"/>
  <c r="AU970" i="2" s="1"/>
  <c r="AT721" i="2"/>
  <c r="AT236" i="2"/>
  <c r="AT847" i="2" s="1"/>
  <c r="AT870" i="2" s="1"/>
  <c r="AT969" i="2" s="1"/>
  <c r="AT240" i="2"/>
  <c r="AT848" i="2" s="1"/>
  <c r="AT871" i="2" s="1"/>
  <c r="AT970" i="2" s="1"/>
  <c r="Z721" i="2"/>
  <c r="Z236" i="2"/>
  <c r="Z847" i="2" s="1"/>
  <c r="Z870" i="2" s="1"/>
  <c r="Z969" i="2" s="1"/>
  <c r="Z240" i="2"/>
  <c r="Z848" i="2" s="1"/>
  <c r="Z871" i="2" s="1"/>
  <c r="Z970" i="2" s="1"/>
  <c r="AZ721" i="2"/>
  <c r="AZ236" i="2"/>
  <c r="AZ847" i="2" s="1"/>
  <c r="AZ870" i="2" s="1"/>
  <c r="AZ969" i="2" s="1"/>
  <c r="AZ240" i="2"/>
  <c r="AZ848" i="2" s="1"/>
  <c r="AZ871" i="2" s="1"/>
  <c r="AZ970" i="2" s="1"/>
  <c r="AX721" i="2"/>
  <c r="AX236" i="2"/>
  <c r="AX847" i="2" s="1"/>
  <c r="AX870" i="2" s="1"/>
  <c r="AX969" i="2" s="1"/>
  <c r="AX240" i="2"/>
  <c r="AX848" i="2" s="1"/>
  <c r="AX871" i="2" s="1"/>
  <c r="AX970" i="2" s="1"/>
  <c r="AS721" i="2"/>
  <c r="AS236" i="2"/>
  <c r="AS847" i="2" s="1"/>
  <c r="AS870" i="2" s="1"/>
  <c r="AS969" i="2" s="1"/>
  <c r="AS240" i="2"/>
  <c r="AS848" i="2" s="1"/>
  <c r="AS871" i="2" s="1"/>
  <c r="AS970" i="2" s="1"/>
  <c r="AA721" i="2"/>
  <c r="AA236" i="2"/>
  <c r="AA240" i="2"/>
  <c r="AA848" i="2" s="1"/>
  <c r="AA871" i="2" s="1"/>
  <c r="AA970" i="2" s="1"/>
  <c r="AB721" i="2"/>
  <c r="AB236" i="2"/>
  <c r="AB240" i="2"/>
  <c r="AB848" i="2" s="1"/>
  <c r="AB871" i="2" s="1"/>
  <c r="AB970" i="2" s="1"/>
  <c r="V721" i="2"/>
  <c r="V236" i="2"/>
  <c r="V240" i="2"/>
  <c r="V848" i="2" s="1"/>
  <c r="V871" i="2" s="1"/>
  <c r="V970" i="2" s="1"/>
  <c r="J721" i="2"/>
  <c r="J236" i="2"/>
  <c r="J847" i="2" s="1"/>
  <c r="J870" i="2" s="1"/>
  <c r="J969" i="2" s="1"/>
  <c r="J240" i="2"/>
  <c r="J848" i="2" s="1"/>
  <c r="J871" i="2" s="1"/>
  <c r="J970" i="2" s="1"/>
  <c r="I721" i="2"/>
  <c r="I236" i="2"/>
  <c r="I847" i="2" s="1"/>
  <c r="I870" i="2" s="1"/>
  <c r="I969" i="2" s="1"/>
  <c r="I240" i="2"/>
  <c r="I848" i="2" s="1"/>
  <c r="I871" i="2" s="1"/>
  <c r="I970" i="2" s="1"/>
  <c r="AY721" i="2"/>
  <c r="AY236" i="2"/>
  <c r="AY847" i="2" s="1"/>
  <c r="AY870" i="2" s="1"/>
  <c r="AY969" i="2" s="1"/>
  <c r="AY240" i="2"/>
  <c r="AY848" i="2" s="1"/>
  <c r="AY871" i="2" s="1"/>
  <c r="AY970" i="2" s="1"/>
  <c r="BB721" i="2"/>
  <c r="BB236" i="2"/>
  <c r="BB847" i="2" s="1"/>
  <c r="BB870" i="2" s="1"/>
  <c r="BB969" i="2" s="1"/>
  <c r="BB240" i="2"/>
  <c r="BB848" i="2" s="1"/>
  <c r="BB871" i="2" s="1"/>
  <c r="BB970" i="2" s="1"/>
  <c r="AJ721" i="2"/>
  <c r="AJ236" i="2"/>
  <c r="AJ847" i="2" s="1"/>
  <c r="AJ870" i="2" s="1"/>
  <c r="AJ969" i="2" s="1"/>
  <c r="AJ240" i="2"/>
  <c r="AJ848" i="2" s="1"/>
  <c r="AJ871" i="2" s="1"/>
  <c r="AJ970" i="2" s="1"/>
  <c r="Q721" i="2"/>
  <c r="Q236" i="2"/>
  <c r="Q240" i="2"/>
  <c r="Q848" i="2" s="1"/>
  <c r="Q871" i="2" s="1"/>
  <c r="Q970" i="2" s="1"/>
  <c r="AP721" i="2"/>
  <c r="AP236" i="2"/>
  <c r="AP847" i="2" s="1"/>
  <c r="AP870" i="2" s="1"/>
  <c r="AP969" i="2" s="1"/>
  <c r="AP240" i="2"/>
  <c r="AP848" i="2" s="1"/>
  <c r="AP871" i="2" s="1"/>
  <c r="AP970" i="2" s="1"/>
  <c r="AF721" i="2"/>
  <c r="AF236" i="2"/>
  <c r="AF847" i="2" s="1"/>
  <c r="AF870" i="2" s="1"/>
  <c r="AF969" i="2" s="1"/>
  <c r="AF240" i="2"/>
  <c r="AF848" i="2" s="1"/>
  <c r="AF871" i="2" s="1"/>
  <c r="AF970" i="2" s="1"/>
  <c r="BA721" i="2"/>
  <c r="BA236" i="2"/>
  <c r="BA847" i="2" s="1"/>
  <c r="BA870" i="2" s="1"/>
  <c r="BA969" i="2" s="1"/>
  <c r="BA240" i="2"/>
  <c r="BA848" i="2" s="1"/>
  <c r="BA871" i="2" s="1"/>
  <c r="BA970" i="2" s="1"/>
  <c r="Y721" i="2"/>
  <c r="Y236" i="2"/>
  <c r="Y847" i="2" s="1"/>
  <c r="Y870" i="2" s="1"/>
  <c r="Y969" i="2" s="1"/>
  <c r="Y240" i="2"/>
  <c r="Y848" i="2" s="1"/>
  <c r="Y871" i="2" s="1"/>
  <c r="Y970" i="2" s="1"/>
  <c r="P721" i="2"/>
  <c r="P236" i="2"/>
  <c r="P240" i="2"/>
  <c r="P848" i="2" s="1"/>
  <c r="P871" i="2" s="1"/>
  <c r="P970" i="2" s="1"/>
  <c r="BB610" i="2"/>
  <c r="BB863" i="2" s="1"/>
  <c r="V610" i="2"/>
  <c r="V863" i="2" s="1"/>
  <c r="W610" i="2"/>
  <c r="W863" i="2" s="1"/>
  <c r="AA610" i="2"/>
  <c r="AA724" i="2" s="1"/>
  <c r="AR610" i="2"/>
  <c r="AR863" i="2" s="1"/>
  <c r="AH610" i="2"/>
  <c r="AH863" i="2" s="1"/>
  <c r="AE610" i="2"/>
  <c r="AE863" i="2" s="1"/>
  <c r="AN610" i="2"/>
  <c r="AN724" i="2" s="1"/>
  <c r="G610" i="2"/>
  <c r="G724" i="2" s="1"/>
  <c r="S610" i="2"/>
  <c r="S724" i="2" s="1"/>
  <c r="AI610" i="2"/>
  <c r="AI724" i="2" s="1"/>
  <c r="AV610" i="2"/>
  <c r="AV724" i="2" s="1"/>
  <c r="T610" i="2"/>
  <c r="K610" i="2"/>
  <c r="K724" i="2" s="1"/>
  <c r="R610" i="2"/>
  <c r="L610" i="2"/>
  <c r="L863" i="2" s="1"/>
  <c r="AM610" i="2"/>
  <c r="AM724" i="2" s="1"/>
  <c r="M610" i="2"/>
  <c r="M863" i="2" s="1"/>
  <c r="AG610" i="2"/>
  <c r="AG863" i="2" s="1"/>
  <c r="N610" i="2"/>
  <c r="AO610" i="2"/>
  <c r="AO724" i="2" s="1"/>
  <c r="O610" i="2"/>
  <c r="J610" i="2"/>
  <c r="J863" i="2" s="1"/>
  <c r="BD610" i="2"/>
  <c r="BD724" i="2" s="1"/>
  <c r="AY610" i="2"/>
  <c r="AY863" i="2" s="1"/>
  <c r="I610" i="2"/>
  <c r="I724" i="2" s="1"/>
  <c r="C227" i="2"/>
  <c r="R228" i="2"/>
  <c r="R455" i="2" s="1"/>
  <c r="AL724" i="2"/>
  <c r="AL863" i="2"/>
  <c r="AX724" i="2"/>
  <c r="AX863" i="2"/>
  <c r="AD724" i="2"/>
  <c r="AD863" i="2"/>
  <c r="AB863" i="2"/>
  <c r="AB724" i="2"/>
  <c r="AQ724" i="2"/>
  <c r="AQ863" i="2"/>
  <c r="AT724" i="2"/>
  <c r="AT863" i="2"/>
  <c r="AJ724" i="2"/>
  <c r="AJ863" i="2"/>
  <c r="BC724" i="2"/>
  <c r="BC863" i="2"/>
  <c r="AZ724" i="2"/>
  <c r="AZ863" i="2"/>
  <c r="AS724" i="2"/>
  <c r="AS863" i="2"/>
  <c r="AU724" i="2"/>
  <c r="AU863" i="2"/>
  <c r="X863" i="2"/>
  <c r="X724" i="2"/>
  <c r="U724" i="2"/>
  <c r="U863" i="2"/>
  <c r="BA724" i="2"/>
  <c r="BA863" i="2"/>
  <c r="AW724" i="2"/>
  <c r="AW863" i="2"/>
  <c r="AP724" i="2"/>
  <c r="AP863" i="2"/>
  <c r="Z863" i="2"/>
  <c r="Z724" i="2"/>
  <c r="AC724" i="2"/>
  <c r="AC863" i="2"/>
  <c r="AF724" i="2"/>
  <c r="AF863" i="2"/>
  <c r="Q863" i="2"/>
  <c r="Q724" i="2"/>
  <c r="P724" i="2"/>
  <c r="P863" i="2"/>
  <c r="Y724" i="2"/>
  <c r="Y863" i="2"/>
  <c r="AK724" i="2"/>
  <c r="AK863" i="2"/>
  <c r="G455" i="2"/>
  <c r="H724" i="2"/>
  <c r="H863" i="2"/>
  <c r="Q204" i="2" l="1"/>
  <c r="Q206" i="2" s="1"/>
  <c r="Q207" i="2" s="1"/>
  <c r="Q208" i="2" s="1"/>
  <c r="Q210" i="2" s="1"/>
  <c r="AA204" i="2"/>
  <c r="AA206" i="2" s="1"/>
  <c r="AA207" i="2" s="1"/>
  <c r="AA208" i="2" s="1"/>
  <c r="AA210" i="2" s="1"/>
  <c r="BB724" i="2"/>
  <c r="AK204" i="2"/>
  <c r="AK206" i="2" s="1"/>
  <c r="AK207" i="2" s="1"/>
  <c r="AK208" i="2" s="1"/>
  <c r="AK210" i="2" s="1"/>
  <c r="H204" i="2"/>
  <c r="H206" i="2" s="1"/>
  <c r="H207" i="2" s="1"/>
  <c r="H208" i="2" s="1"/>
  <c r="H852" i="2" s="1"/>
  <c r="H875" i="2" s="1"/>
  <c r="H974" i="2" s="1"/>
  <c r="AK847" i="2"/>
  <c r="AK870" i="2" s="1"/>
  <c r="AK969" i="2" s="1"/>
  <c r="H847" i="2"/>
  <c r="H870" i="2" s="1"/>
  <c r="H969" i="2" s="1"/>
  <c r="AG204" i="2"/>
  <c r="AG206" i="2" s="1"/>
  <c r="AG207" i="2" s="1"/>
  <c r="AG208" i="2" s="1"/>
  <c r="AG210" i="2" s="1"/>
  <c r="AU204" i="2"/>
  <c r="AU206" i="2" s="1"/>
  <c r="AU207" i="2" s="1"/>
  <c r="AU208" i="2" s="1"/>
  <c r="AU852" i="2" s="1"/>
  <c r="AU875" i="2" s="1"/>
  <c r="AU974" i="2" s="1"/>
  <c r="P204" i="2"/>
  <c r="P206" i="2" s="1"/>
  <c r="P207" i="2" s="1"/>
  <c r="P208" i="2" s="1"/>
  <c r="P210" i="2" s="1"/>
  <c r="X204" i="2"/>
  <c r="X206" i="2" s="1"/>
  <c r="X207" i="2" s="1"/>
  <c r="X208" i="2" s="1"/>
  <c r="X210" i="2" s="1"/>
  <c r="AC204" i="2"/>
  <c r="AC206" i="2" s="1"/>
  <c r="AC207" i="2" s="1"/>
  <c r="AC208" i="2" s="1"/>
  <c r="AC852" i="2" s="1"/>
  <c r="AC875" i="2" s="1"/>
  <c r="AC974" i="2" s="1"/>
  <c r="W204" i="2"/>
  <c r="W206" i="2" s="1"/>
  <c r="W207" i="2" s="1"/>
  <c r="W208" i="2" s="1"/>
  <c r="W852" i="2" s="1"/>
  <c r="W875" i="2" s="1"/>
  <c r="W974" i="2" s="1"/>
  <c r="AB204" i="2"/>
  <c r="AB206" i="2" s="1"/>
  <c r="AB207" i="2" s="1"/>
  <c r="AB208" i="2" s="1"/>
  <c r="AB210" i="2" s="1"/>
  <c r="AA847" i="2"/>
  <c r="AA870" i="2" s="1"/>
  <c r="AA969" i="2" s="1"/>
  <c r="U204" i="2"/>
  <c r="U206" i="2" s="1"/>
  <c r="U207" i="2" s="1"/>
  <c r="U208" i="2" s="1"/>
  <c r="U852" i="2" s="1"/>
  <c r="U875" i="2" s="1"/>
  <c r="U974" i="2" s="1"/>
  <c r="AQ204" i="2"/>
  <c r="AQ206" i="2" s="1"/>
  <c r="AQ207" i="2" s="1"/>
  <c r="AQ208" i="2" s="1"/>
  <c r="AQ210" i="2" s="1"/>
  <c r="W847" i="2"/>
  <c r="W870" i="2" s="1"/>
  <c r="W969" i="2" s="1"/>
  <c r="AC847" i="2"/>
  <c r="AC870" i="2" s="1"/>
  <c r="AC969" i="2" s="1"/>
  <c r="Y204" i="2"/>
  <c r="Y206" i="2" s="1"/>
  <c r="Y207" i="2" s="1"/>
  <c r="Y208" i="2" s="1"/>
  <c r="Y852" i="2" s="1"/>
  <c r="Y875" i="2" s="1"/>
  <c r="Y974" i="2" s="1"/>
  <c r="X847" i="2"/>
  <c r="X870" i="2" s="1"/>
  <c r="X969" i="2" s="1"/>
  <c r="P847" i="2"/>
  <c r="P870" i="2" s="1"/>
  <c r="P969" i="2" s="1"/>
  <c r="AW204" i="2"/>
  <c r="AW206" i="2" s="1"/>
  <c r="AW207" i="2" s="1"/>
  <c r="AW208" i="2" s="1"/>
  <c r="AW210" i="2" s="1"/>
  <c r="Q847" i="2"/>
  <c r="Q870" i="2" s="1"/>
  <c r="Q969" i="2" s="1"/>
  <c r="BA204" i="2"/>
  <c r="BA206" i="2" s="1"/>
  <c r="BA207" i="2" s="1"/>
  <c r="BA208" i="2" s="1"/>
  <c r="BA210" i="2" s="1"/>
  <c r="AT204" i="2"/>
  <c r="AT206" i="2" s="1"/>
  <c r="AT207" i="2" s="1"/>
  <c r="AT208" i="2" s="1"/>
  <c r="AT852" i="2" s="1"/>
  <c r="AT875" i="2" s="1"/>
  <c r="AT974" i="2" s="1"/>
  <c r="AL204" i="2"/>
  <c r="AL206" i="2" s="1"/>
  <c r="AL207" i="2" s="1"/>
  <c r="AL208" i="2" s="1"/>
  <c r="AL210" i="2" s="1"/>
  <c r="BC204" i="2"/>
  <c r="BC206" i="2" s="1"/>
  <c r="BC207" i="2" s="1"/>
  <c r="BC208" i="2" s="1"/>
  <c r="BC852" i="2" s="1"/>
  <c r="BC875" i="2" s="1"/>
  <c r="BC974" i="2" s="1"/>
  <c r="T204" i="2"/>
  <c r="T206" i="2" s="1"/>
  <c r="T207" i="2" s="1"/>
  <c r="T208" i="2" s="1"/>
  <c r="T210" i="2" s="1"/>
  <c r="AF204" i="2"/>
  <c r="AF206" i="2" s="1"/>
  <c r="AF207" i="2" s="1"/>
  <c r="AF208" i="2" s="1"/>
  <c r="AF852" i="2" s="1"/>
  <c r="AF875" i="2" s="1"/>
  <c r="AF974" i="2" s="1"/>
  <c r="AJ204" i="2"/>
  <c r="AJ206" i="2" s="1"/>
  <c r="AJ207" i="2" s="1"/>
  <c r="AJ208" i="2" s="1"/>
  <c r="AJ210" i="2" s="1"/>
  <c r="AP204" i="2"/>
  <c r="AP206" i="2" s="1"/>
  <c r="AP207" i="2" s="1"/>
  <c r="AP208" i="2" s="1"/>
  <c r="AP210" i="2" s="1"/>
  <c r="AS204" i="2"/>
  <c r="AS206" i="2" s="1"/>
  <c r="AS207" i="2" s="1"/>
  <c r="AS208" i="2" s="1"/>
  <c r="AS210" i="2" s="1"/>
  <c r="V204" i="2"/>
  <c r="V206" i="2" s="1"/>
  <c r="V207" i="2" s="1"/>
  <c r="V208" i="2" s="1"/>
  <c r="V210" i="2" s="1"/>
  <c r="V724" i="2"/>
  <c r="W724" i="2"/>
  <c r="AB847" i="2"/>
  <c r="AB870" i="2" s="1"/>
  <c r="AB969" i="2" s="1"/>
  <c r="AH724" i="2"/>
  <c r="AX204" i="2"/>
  <c r="AX206" i="2" s="1"/>
  <c r="AX207" i="2" s="1"/>
  <c r="AX208" i="2" s="1"/>
  <c r="AX852" i="2" s="1"/>
  <c r="AX875" i="2" s="1"/>
  <c r="AX974" i="2" s="1"/>
  <c r="AA863" i="2"/>
  <c r="AA886" i="2" s="1"/>
  <c r="AA985" i="2" s="1"/>
  <c r="V847" i="2"/>
  <c r="V870" i="2" s="1"/>
  <c r="V969" i="2" s="1"/>
  <c r="AD204" i="2"/>
  <c r="AD206" i="2" s="1"/>
  <c r="AD207" i="2" s="1"/>
  <c r="AD208" i="2" s="1"/>
  <c r="AD852" i="2" s="1"/>
  <c r="AD875" i="2" s="1"/>
  <c r="AD974" i="2" s="1"/>
  <c r="BB204" i="2"/>
  <c r="BB206" i="2" s="1"/>
  <c r="BB207" i="2" s="1"/>
  <c r="BB208" i="2" s="1"/>
  <c r="BB210" i="2" s="1"/>
  <c r="AZ204" i="2"/>
  <c r="AZ206" i="2" s="1"/>
  <c r="AZ207" i="2" s="1"/>
  <c r="AZ208" i="2" s="1"/>
  <c r="AZ852" i="2" s="1"/>
  <c r="AZ875" i="2" s="1"/>
  <c r="AZ974" i="2" s="1"/>
  <c r="Z204" i="2"/>
  <c r="Z206" i="2" s="1"/>
  <c r="Z207" i="2" s="1"/>
  <c r="Z208" i="2" s="1"/>
  <c r="Z210" i="2" s="1"/>
  <c r="S204" i="2"/>
  <c r="S206" i="2" s="1"/>
  <c r="S207" i="2" s="1"/>
  <c r="S208" i="2" s="1"/>
  <c r="S210" i="2" s="1"/>
  <c r="AR724" i="2"/>
  <c r="AE724" i="2"/>
  <c r="R204" i="2"/>
  <c r="R206" i="2" s="1"/>
  <c r="R207" i="2" s="1"/>
  <c r="R208" i="2" s="1"/>
  <c r="R852" i="2" s="1"/>
  <c r="R875" i="2" s="1"/>
  <c r="R974" i="2" s="1"/>
  <c r="M204" i="2"/>
  <c r="M206" i="2" s="1"/>
  <c r="M207" i="2" s="1"/>
  <c r="M208" i="2" s="1"/>
  <c r="M852" i="2" s="1"/>
  <c r="M875" i="2" s="1"/>
  <c r="M974" i="2" s="1"/>
  <c r="G863" i="2"/>
  <c r="G930" i="2" s="1"/>
  <c r="R847" i="2"/>
  <c r="R870" i="2" s="1"/>
  <c r="R969" i="2" s="1"/>
  <c r="AV863" i="2"/>
  <c r="AV886" i="2" s="1"/>
  <c r="AV985" i="2" s="1"/>
  <c r="AO863" i="2"/>
  <c r="AO886" i="2" s="1"/>
  <c r="AO985" i="2" s="1"/>
  <c r="M724" i="2"/>
  <c r="AR204" i="2"/>
  <c r="AR206" i="2" s="1"/>
  <c r="AR207" i="2" s="1"/>
  <c r="AR208" i="2" s="1"/>
  <c r="AR852" i="2" s="1"/>
  <c r="AR875" i="2" s="1"/>
  <c r="AR974" i="2" s="1"/>
  <c r="AN204" i="2"/>
  <c r="AN206" i="2" s="1"/>
  <c r="AN207" i="2" s="1"/>
  <c r="AN208" i="2" s="1"/>
  <c r="AN852" i="2" s="1"/>
  <c r="AN875" i="2" s="1"/>
  <c r="AN974" i="2" s="1"/>
  <c r="S863" i="2"/>
  <c r="S886" i="2" s="1"/>
  <c r="S985" i="2" s="1"/>
  <c r="AN847" i="2"/>
  <c r="AN870" i="2" s="1"/>
  <c r="AN969" i="2" s="1"/>
  <c r="AG724" i="2"/>
  <c r="AN863" i="2"/>
  <c r="AN886" i="2" s="1"/>
  <c r="AN985" i="2" s="1"/>
  <c r="AE204" i="2"/>
  <c r="AE206" i="2" s="1"/>
  <c r="AE207" i="2" s="1"/>
  <c r="AE208" i="2" s="1"/>
  <c r="AE852" i="2" s="1"/>
  <c r="AE875" i="2" s="1"/>
  <c r="AE974" i="2" s="1"/>
  <c r="G204" i="2"/>
  <c r="G206" i="2" s="1"/>
  <c r="G207" i="2" s="1"/>
  <c r="G208" i="2" s="1"/>
  <c r="G852" i="2" s="1"/>
  <c r="R724" i="2"/>
  <c r="G848" i="2"/>
  <c r="G871" i="2" s="1"/>
  <c r="AV204" i="2"/>
  <c r="AV206" i="2" s="1"/>
  <c r="AV207" i="2" s="1"/>
  <c r="AV208" i="2" s="1"/>
  <c r="AV210" i="2" s="1"/>
  <c r="K863" i="2"/>
  <c r="K930" i="2" s="1"/>
  <c r="K938" i="2" s="1"/>
  <c r="R863" i="2"/>
  <c r="R886" i="2" s="1"/>
  <c r="R985" i="2" s="1"/>
  <c r="AI863" i="2"/>
  <c r="AI886" i="2" s="1"/>
  <c r="AI985" i="2" s="1"/>
  <c r="AI204" i="2"/>
  <c r="AI206" i="2" s="1"/>
  <c r="AI207" i="2" s="1"/>
  <c r="AI208" i="2" s="1"/>
  <c r="AI852" i="2" s="1"/>
  <c r="AI875" i="2" s="1"/>
  <c r="AI974" i="2" s="1"/>
  <c r="AM863" i="2"/>
  <c r="AM886" i="2" s="1"/>
  <c r="AM985" i="2" s="1"/>
  <c r="N724" i="2"/>
  <c r="T724" i="2"/>
  <c r="T863" i="2"/>
  <c r="T886" i="2" s="1"/>
  <c r="T985" i="2" s="1"/>
  <c r="AH204" i="2"/>
  <c r="AH206" i="2" s="1"/>
  <c r="AH207" i="2" s="1"/>
  <c r="AH208" i="2" s="1"/>
  <c r="AH852" i="2" s="1"/>
  <c r="AH875" i="2" s="1"/>
  <c r="AH974" i="2" s="1"/>
  <c r="K204" i="2"/>
  <c r="K206" i="2" s="1"/>
  <c r="K207" i="2" s="1"/>
  <c r="K208" i="2" s="1"/>
  <c r="K852" i="2" s="1"/>
  <c r="K875" i="2" s="1"/>
  <c r="K974" i="2" s="1"/>
  <c r="L204" i="2"/>
  <c r="L206" i="2" s="1"/>
  <c r="L207" i="2" s="1"/>
  <c r="L208" i="2" s="1"/>
  <c r="L852" i="2" s="1"/>
  <c r="L875" i="2" s="1"/>
  <c r="L974" i="2" s="1"/>
  <c r="L724" i="2"/>
  <c r="M847" i="2"/>
  <c r="M870" i="2" s="1"/>
  <c r="M969" i="2" s="1"/>
  <c r="AM204" i="2"/>
  <c r="AM206" i="2" s="1"/>
  <c r="AM207" i="2" s="1"/>
  <c r="AM208" i="2" s="1"/>
  <c r="AM210" i="2" s="1"/>
  <c r="J204" i="2"/>
  <c r="J206" i="2" s="1"/>
  <c r="J207" i="2" s="1"/>
  <c r="J208" i="2" s="1"/>
  <c r="J852" i="2" s="1"/>
  <c r="J875" i="2" s="1"/>
  <c r="J974" i="2" s="1"/>
  <c r="AY724" i="2"/>
  <c r="AO204" i="2"/>
  <c r="AO206" i="2" s="1"/>
  <c r="AO207" i="2" s="1"/>
  <c r="AO208" i="2" s="1"/>
  <c r="AO210" i="2" s="1"/>
  <c r="N204" i="2"/>
  <c r="N206" i="2" s="1"/>
  <c r="N207" i="2" s="1"/>
  <c r="N208" i="2" s="1"/>
  <c r="N852" i="2" s="1"/>
  <c r="N875" i="2" s="1"/>
  <c r="N974" i="2" s="1"/>
  <c r="N863" i="2"/>
  <c r="N886" i="2" s="1"/>
  <c r="N985" i="2" s="1"/>
  <c r="I204" i="2"/>
  <c r="I206" i="2" s="1"/>
  <c r="I207" i="2" s="1"/>
  <c r="I208" i="2" s="1"/>
  <c r="I852" i="2" s="1"/>
  <c r="I875" i="2" s="1"/>
  <c r="I974" i="2" s="1"/>
  <c r="C228" i="2"/>
  <c r="O863" i="2"/>
  <c r="O886" i="2" s="1"/>
  <c r="O985" i="2" s="1"/>
  <c r="O724" i="2"/>
  <c r="O204" i="2"/>
  <c r="O206" i="2" s="1"/>
  <c r="O207" i="2" s="1"/>
  <c r="O208" i="2" s="1"/>
  <c r="O210" i="2" s="1"/>
  <c r="C240" i="2"/>
  <c r="BD204" i="2"/>
  <c r="BD206" i="2" s="1"/>
  <c r="BD207" i="2" s="1"/>
  <c r="BD208" i="2" s="1"/>
  <c r="BD210" i="2" s="1"/>
  <c r="J724" i="2"/>
  <c r="I863" i="2"/>
  <c r="I886" i="2" s="1"/>
  <c r="I985" i="2" s="1"/>
  <c r="C236" i="2"/>
  <c r="AY204" i="2"/>
  <c r="AY206" i="2" s="1"/>
  <c r="AY207" i="2" s="1"/>
  <c r="AY208" i="2" s="1"/>
  <c r="AY210" i="2" s="1"/>
  <c r="BD863" i="2"/>
  <c r="BD886" i="2" s="1"/>
  <c r="BD985" i="2" s="1"/>
  <c r="C610" i="2"/>
  <c r="BB886" i="2"/>
  <c r="BB985" i="2" s="1"/>
  <c r="BB930" i="2"/>
  <c r="BB938" i="2" s="1"/>
  <c r="BC886" i="2"/>
  <c r="BC985" i="2" s="1"/>
  <c r="BC930" i="2"/>
  <c r="BC938" i="2" s="1"/>
  <c r="AD886" i="2"/>
  <c r="AD985" i="2" s="1"/>
  <c r="AD930" i="2"/>
  <c r="AD938" i="2" s="1"/>
  <c r="AX930" i="2"/>
  <c r="AX938" i="2" s="1"/>
  <c r="AX886" i="2"/>
  <c r="AX985" i="2" s="1"/>
  <c r="Y886" i="2"/>
  <c r="Y985" i="2" s="1"/>
  <c r="Y930" i="2"/>
  <c r="Y938" i="2" s="1"/>
  <c r="M886" i="2"/>
  <c r="M985" i="2" s="1"/>
  <c r="M930" i="2"/>
  <c r="M938" i="2" s="1"/>
  <c r="X930" i="2"/>
  <c r="X938" i="2" s="1"/>
  <c r="X886" i="2"/>
  <c r="X985" i="2" s="1"/>
  <c r="AE930" i="2"/>
  <c r="AE938" i="2" s="1"/>
  <c r="AE886" i="2"/>
  <c r="AE985" i="2" s="1"/>
  <c r="AJ930" i="2"/>
  <c r="AJ938" i="2" s="1"/>
  <c r="AJ886" i="2"/>
  <c r="AJ985" i="2" s="1"/>
  <c r="L886" i="2"/>
  <c r="L985" i="2" s="1"/>
  <c r="L930" i="2"/>
  <c r="L938" i="2" s="1"/>
  <c r="AG886" i="2"/>
  <c r="AG985" i="2" s="1"/>
  <c r="AG930" i="2"/>
  <c r="AG938" i="2" s="1"/>
  <c r="Z886" i="2"/>
  <c r="Z985" i="2" s="1"/>
  <c r="Z930" i="2"/>
  <c r="Z938" i="2" s="1"/>
  <c r="AR930" i="2"/>
  <c r="AR938" i="2" s="1"/>
  <c r="AR886" i="2"/>
  <c r="AR985" i="2" s="1"/>
  <c r="G870" i="2"/>
  <c r="AQ886" i="2"/>
  <c r="AQ985" i="2" s="1"/>
  <c r="AQ930" i="2"/>
  <c r="AQ938" i="2" s="1"/>
  <c r="P886" i="2"/>
  <c r="P985" i="2" s="1"/>
  <c r="P930" i="2"/>
  <c r="P938" i="2" s="1"/>
  <c r="AC886" i="2"/>
  <c r="AC985" i="2" s="1"/>
  <c r="AC930" i="2"/>
  <c r="AC938" i="2" s="1"/>
  <c r="AW886" i="2"/>
  <c r="AW985" i="2" s="1"/>
  <c r="AW930" i="2"/>
  <c r="AW938" i="2" s="1"/>
  <c r="AZ886" i="2"/>
  <c r="AZ985" i="2" s="1"/>
  <c r="AZ930" i="2"/>
  <c r="AZ938" i="2" s="1"/>
  <c r="J930" i="2"/>
  <c r="J938" i="2" s="1"/>
  <c r="J886" i="2"/>
  <c r="J985" i="2" s="1"/>
  <c r="AF886" i="2"/>
  <c r="AF985" i="2" s="1"/>
  <c r="AF930" i="2"/>
  <c r="AF938" i="2" s="1"/>
  <c r="U886" i="2"/>
  <c r="U985" i="2" s="1"/>
  <c r="U930" i="2"/>
  <c r="U938" i="2" s="1"/>
  <c r="AU886" i="2"/>
  <c r="AU985" i="2" s="1"/>
  <c r="AU930" i="2"/>
  <c r="AU938" i="2" s="1"/>
  <c r="AL886" i="2"/>
  <c r="AL985" i="2" s="1"/>
  <c r="AL930" i="2"/>
  <c r="AL938" i="2" s="1"/>
  <c r="AY886" i="2"/>
  <c r="AY985" i="2" s="1"/>
  <c r="AY930" i="2"/>
  <c r="AY938" i="2" s="1"/>
  <c r="V886" i="2"/>
  <c r="V985" i="2" s="1"/>
  <c r="V930" i="2"/>
  <c r="V938" i="2" s="1"/>
  <c r="AB886" i="2"/>
  <c r="AB985" i="2" s="1"/>
  <c r="AB930" i="2"/>
  <c r="AB938" i="2" s="1"/>
  <c r="AH886" i="2"/>
  <c r="AH985" i="2" s="1"/>
  <c r="AH930" i="2"/>
  <c r="AH938" i="2" s="1"/>
  <c r="Q886" i="2"/>
  <c r="Q985" i="2" s="1"/>
  <c r="Q930" i="2"/>
  <c r="Q938" i="2" s="1"/>
  <c r="AP930" i="2"/>
  <c r="AP938" i="2" s="1"/>
  <c r="AP886" i="2"/>
  <c r="AP985" i="2" s="1"/>
  <c r="BA886" i="2"/>
  <c r="BA985" i="2" s="1"/>
  <c r="BA930" i="2"/>
  <c r="BA938" i="2" s="1"/>
  <c r="AS886" i="2"/>
  <c r="AS985" i="2" s="1"/>
  <c r="AS930" i="2"/>
  <c r="AS938" i="2" s="1"/>
  <c r="AT886" i="2"/>
  <c r="AT985" i="2" s="1"/>
  <c r="AT930" i="2"/>
  <c r="AT938" i="2" s="1"/>
  <c r="W930" i="2"/>
  <c r="W938" i="2" s="1"/>
  <c r="W886" i="2"/>
  <c r="W985" i="2" s="1"/>
  <c r="H886" i="2"/>
  <c r="H985" i="2" s="1"/>
  <c r="H930" i="2"/>
  <c r="H938" i="2" s="1"/>
  <c r="AK886" i="2"/>
  <c r="AK985" i="2" s="1"/>
  <c r="AK930" i="2"/>
  <c r="AK938" i="2" s="1"/>
  <c r="AA852" i="2" l="1"/>
  <c r="AA875" i="2" s="1"/>
  <c r="AA974" i="2" s="1"/>
  <c r="H210" i="2"/>
  <c r="H257" i="2" s="1"/>
  <c r="H259" i="2" s="1"/>
  <c r="H260" i="2" s="1"/>
  <c r="Q852" i="2"/>
  <c r="Q875" i="2" s="1"/>
  <c r="Q974" i="2" s="1"/>
  <c r="AU210" i="2"/>
  <c r="AU257" i="2" s="1"/>
  <c r="AU259" i="2" s="1"/>
  <c r="AU260" i="2" s="1"/>
  <c r="AF210" i="2"/>
  <c r="AF277" i="2" s="1"/>
  <c r="AB852" i="2"/>
  <c r="AB875" i="2" s="1"/>
  <c r="AB974" i="2" s="1"/>
  <c r="AW852" i="2"/>
  <c r="AW875" i="2" s="1"/>
  <c r="AW974" i="2" s="1"/>
  <c r="AJ852" i="2"/>
  <c r="AJ875" i="2" s="1"/>
  <c r="AJ974" i="2" s="1"/>
  <c r="AS852" i="2"/>
  <c r="AS875" i="2" s="1"/>
  <c r="AS974" i="2" s="1"/>
  <c r="AK852" i="2"/>
  <c r="AK875" i="2" s="1"/>
  <c r="AK974" i="2" s="1"/>
  <c r="AL852" i="2"/>
  <c r="AL875" i="2" s="1"/>
  <c r="AL974" i="2" s="1"/>
  <c r="AT210" i="2"/>
  <c r="AT317" i="2" s="1"/>
  <c r="P852" i="2"/>
  <c r="P875" i="2" s="1"/>
  <c r="P974" i="2" s="1"/>
  <c r="X852" i="2"/>
  <c r="X875" i="2" s="1"/>
  <c r="X974" i="2" s="1"/>
  <c r="AC210" i="2"/>
  <c r="AC277" i="2" s="1"/>
  <c r="AG852" i="2"/>
  <c r="AG875" i="2" s="1"/>
  <c r="AG974" i="2" s="1"/>
  <c r="U210" i="2"/>
  <c r="U574" i="2" s="1"/>
  <c r="BC210" i="2"/>
  <c r="BC574" i="2" s="1"/>
  <c r="Y210" i="2"/>
  <c r="Y257" i="2" s="1"/>
  <c r="Y259" i="2" s="1"/>
  <c r="Y260" i="2" s="1"/>
  <c r="W210" i="2"/>
  <c r="W574" i="2" s="1"/>
  <c r="T852" i="2"/>
  <c r="T875" i="2" s="1"/>
  <c r="T974" i="2" s="1"/>
  <c r="BA852" i="2"/>
  <c r="BA875" i="2" s="1"/>
  <c r="BA974" i="2" s="1"/>
  <c r="AQ852" i="2"/>
  <c r="AQ875" i="2" s="1"/>
  <c r="AQ974" i="2" s="1"/>
  <c r="AP852" i="2"/>
  <c r="AP875" i="2" s="1"/>
  <c r="AP974" i="2" s="1"/>
  <c r="AX210" i="2"/>
  <c r="AX317" i="2" s="1"/>
  <c r="V852" i="2"/>
  <c r="V875" i="2" s="1"/>
  <c r="V974" i="2" s="1"/>
  <c r="AA930" i="2"/>
  <c r="AA938" i="2" s="1"/>
  <c r="AD210" i="2"/>
  <c r="Z852" i="2"/>
  <c r="Z875" i="2" s="1"/>
  <c r="Z974" i="2" s="1"/>
  <c r="BB852" i="2"/>
  <c r="BB875" i="2" s="1"/>
  <c r="BB974" i="2" s="1"/>
  <c r="AZ210" i="2"/>
  <c r="M210" i="2"/>
  <c r="S852" i="2"/>
  <c r="S875" i="2" s="1"/>
  <c r="S974" i="2" s="1"/>
  <c r="G886" i="2"/>
  <c r="G985" i="2" s="1"/>
  <c r="R210" i="2"/>
  <c r="AR210" i="2"/>
  <c r="AV930" i="2"/>
  <c r="AV938" i="2" s="1"/>
  <c r="S930" i="2"/>
  <c r="S938" i="2" s="1"/>
  <c r="AO930" i="2"/>
  <c r="AO938" i="2" s="1"/>
  <c r="AN210" i="2"/>
  <c r="AN930" i="2"/>
  <c r="AN938" i="2" s="1"/>
  <c r="AE210" i="2"/>
  <c r="G210" i="2"/>
  <c r="K886" i="2"/>
  <c r="K985" i="2" s="1"/>
  <c r="C848" i="2"/>
  <c r="AV852" i="2"/>
  <c r="AV875" i="2" s="1"/>
  <c r="AV974" i="2" s="1"/>
  <c r="AI210" i="2"/>
  <c r="AI930" i="2"/>
  <c r="AI938" i="2" s="1"/>
  <c r="AM852" i="2"/>
  <c r="AM875" i="2" s="1"/>
  <c r="AM974" i="2" s="1"/>
  <c r="R930" i="2"/>
  <c r="R938" i="2" s="1"/>
  <c r="T930" i="2"/>
  <c r="T938" i="2" s="1"/>
  <c r="AH210" i="2"/>
  <c r="C847" i="2"/>
  <c r="L210" i="2"/>
  <c r="K210" i="2"/>
  <c r="AM930" i="2"/>
  <c r="AM938" i="2" s="1"/>
  <c r="J210" i="2"/>
  <c r="AO852" i="2"/>
  <c r="AO875" i="2" s="1"/>
  <c r="AO974" i="2" s="1"/>
  <c r="N210" i="2"/>
  <c r="O930" i="2"/>
  <c r="O938" i="2" s="1"/>
  <c r="I930" i="2"/>
  <c r="I938" i="2" s="1"/>
  <c r="N930" i="2"/>
  <c r="N938" i="2" s="1"/>
  <c r="I210" i="2"/>
  <c r="O852" i="2"/>
  <c r="O875" i="2" s="1"/>
  <c r="O974" i="2" s="1"/>
  <c r="BD852" i="2"/>
  <c r="BD875" i="2" s="1"/>
  <c r="BD974" i="2" s="1"/>
  <c r="C208" i="2"/>
  <c r="C863" i="2"/>
  <c r="AY852" i="2"/>
  <c r="AY875" i="2" s="1"/>
  <c r="AY974" i="2" s="1"/>
  <c r="BD930" i="2"/>
  <c r="BD938" i="2" s="1"/>
  <c r="AM277" i="2"/>
  <c r="AM257" i="2"/>
  <c r="AM259" i="2" s="1"/>
  <c r="AM260" i="2" s="1"/>
  <c r="AM574" i="2"/>
  <c r="AM317" i="2"/>
  <c r="G875" i="2"/>
  <c r="G969" i="2"/>
  <c r="C969" i="2" s="1"/>
  <c r="C870" i="2"/>
  <c r="AL317" i="2"/>
  <c r="AL257" i="2"/>
  <c r="AL259" i="2" s="1"/>
  <c r="AL260" i="2" s="1"/>
  <c r="AL277" i="2"/>
  <c r="AL574" i="2"/>
  <c r="T574" i="2"/>
  <c r="T277" i="2"/>
  <c r="T257" i="2"/>
  <c r="T259" i="2" s="1"/>
  <c r="T260" i="2" s="1"/>
  <c r="T317" i="2"/>
  <c r="V277" i="2"/>
  <c r="V317" i="2"/>
  <c r="V257" i="2"/>
  <c r="V259" i="2" s="1"/>
  <c r="V260" i="2" s="1"/>
  <c r="V574" i="2"/>
  <c r="C871" i="2"/>
  <c r="G970" i="2"/>
  <c r="C970" i="2" s="1"/>
  <c r="F994" i="2" s="1"/>
  <c r="AQ277" i="2"/>
  <c r="AQ317" i="2"/>
  <c r="AQ257" i="2"/>
  <c r="AQ259" i="2" s="1"/>
  <c r="AQ260" i="2" s="1"/>
  <c r="AQ574" i="2"/>
  <c r="P574" i="2"/>
  <c r="P257" i="2"/>
  <c r="P259" i="2" s="1"/>
  <c r="P260" i="2" s="1"/>
  <c r="P317" i="2"/>
  <c r="P277" i="2"/>
  <c r="BA277" i="2"/>
  <c r="BA574" i="2"/>
  <c r="BA317" i="2"/>
  <c r="BA257" i="2"/>
  <c r="BA259" i="2" s="1"/>
  <c r="BA260" i="2" s="1"/>
  <c r="BB277" i="2"/>
  <c r="BB257" i="2"/>
  <c r="BB259" i="2" s="1"/>
  <c r="BB260" i="2" s="1"/>
  <c r="BB317" i="2"/>
  <c r="BB574" i="2"/>
  <c r="AB574" i="2"/>
  <c r="AB257" i="2"/>
  <c r="AB259" i="2" s="1"/>
  <c r="AB260" i="2" s="1"/>
  <c r="AB277" i="2"/>
  <c r="AB317" i="2"/>
  <c r="AA257" i="2"/>
  <c r="AA259" i="2" s="1"/>
  <c r="AA260" i="2" s="1"/>
  <c r="AA317" i="2"/>
  <c r="AA277" i="2"/>
  <c r="AA574" i="2"/>
  <c r="X574" i="2"/>
  <c r="X257" i="2"/>
  <c r="X259" i="2" s="1"/>
  <c r="X260" i="2" s="1"/>
  <c r="X317" i="2"/>
  <c r="X277" i="2"/>
  <c r="Z257" i="2"/>
  <c r="Z259" i="2" s="1"/>
  <c r="Z260" i="2" s="1"/>
  <c r="Z574" i="2"/>
  <c r="Z277" i="2"/>
  <c r="Z317" i="2"/>
  <c r="AP277" i="2"/>
  <c r="AP317" i="2"/>
  <c r="AP574" i="2"/>
  <c r="AP257" i="2"/>
  <c r="AP259" i="2" s="1"/>
  <c r="AP260" i="2" s="1"/>
  <c r="AK277" i="2"/>
  <c r="AK317" i="2"/>
  <c r="AK257" i="2"/>
  <c r="AK259" i="2" s="1"/>
  <c r="AK260" i="2" s="1"/>
  <c r="AK574" i="2"/>
  <c r="S257" i="2"/>
  <c r="S259" i="2" s="1"/>
  <c r="S260" i="2" s="1"/>
  <c r="S317" i="2"/>
  <c r="S574" i="2"/>
  <c r="S277" i="2"/>
  <c r="AJ317" i="2"/>
  <c r="AJ574" i="2"/>
  <c r="AJ277" i="2"/>
  <c r="AJ257" i="2"/>
  <c r="AJ259" i="2" s="1"/>
  <c r="AJ260" i="2" s="1"/>
  <c r="AO277" i="2"/>
  <c r="AO257" i="2"/>
  <c r="AO259" i="2" s="1"/>
  <c r="AO260" i="2" s="1"/>
  <c r="AO574" i="2"/>
  <c r="AO317" i="2"/>
  <c r="AG277" i="2"/>
  <c r="AG257" i="2"/>
  <c r="AG259" i="2" s="1"/>
  <c r="AG260" i="2" s="1"/>
  <c r="AG574" i="2"/>
  <c r="AG317" i="2"/>
  <c r="AV317" i="2"/>
  <c r="AV257" i="2"/>
  <c r="AV259" i="2" s="1"/>
  <c r="AV260" i="2" s="1"/>
  <c r="AV574" i="2"/>
  <c r="AV277" i="2"/>
  <c r="AW317" i="2"/>
  <c r="AW574" i="2"/>
  <c r="AW257" i="2"/>
  <c r="AW259" i="2" s="1"/>
  <c r="AW260" i="2" s="1"/>
  <c r="AW277" i="2"/>
  <c r="O277" i="2"/>
  <c r="O317" i="2"/>
  <c r="O574" i="2"/>
  <c r="O257" i="2"/>
  <c r="O259" i="2" s="1"/>
  <c r="O260" i="2" s="1"/>
  <c r="Q574" i="2"/>
  <c r="Q317" i="2"/>
  <c r="Q277" i="2"/>
  <c r="Q257" i="2"/>
  <c r="Q259" i="2" s="1"/>
  <c r="Q260" i="2" s="1"/>
  <c r="AY317" i="2"/>
  <c r="AY257" i="2"/>
  <c r="AY259" i="2" s="1"/>
  <c r="AY260" i="2" s="1"/>
  <c r="AY574" i="2"/>
  <c r="AY277" i="2"/>
  <c r="BD574" i="2"/>
  <c r="BD317" i="2"/>
  <c r="BD257" i="2"/>
  <c r="BD259" i="2" s="1"/>
  <c r="BD260" i="2" s="1"/>
  <c r="BD277" i="2"/>
  <c r="AS317" i="2"/>
  <c r="AS277" i="2"/>
  <c r="AS257" i="2"/>
  <c r="AS259" i="2" s="1"/>
  <c r="AS260" i="2" s="1"/>
  <c r="AS574" i="2"/>
  <c r="G938" i="2"/>
  <c r="AF574" i="2" l="1"/>
  <c r="H317" i="2"/>
  <c r="H277" i="2"/>
  <c r="H287" i="2" s="1"/>
  <c r="AF317" i="2"/>
  <c r="AF318" i="2" s="1"/>
  <c r="AF319" i="2" s="1"/>
  <c r="AF854" i="2" s="1"/>
  <c r="AF877" i="2" s="1"/>
  <c r="AF976" i="2" s="1"/>
  <c r="AF257" i="2"/>
  <c r="AF259" i="2" s="1"/>
  <c r="AF260" i="2" s="1"/>
  <c r="AF263" i="2" s="1"/>
  <c r="H574" i="2"/>
  <c r="AU574" i="2"/>
  <c r="AU277" i="2"/>
  <c r="AU287" i="2" s="1"/>
  <c r="AU317" i="2"/>
  <c r="W317" i="2"/>
  <c r="AC257" i="2"/>
  <c r="AC259" i="2" s="1"/>
  <c r="AC260" i="2" s="1"/>
  <c r="AC261" i="2" s="1"/>
  <c r="AT574" i="2"/>
  <c r="W257" i="2"/>
  <c r="W259" i="2" s="1"/>
  <c r="W260" i="2" s="1"/>
  <c r="W263" i="2" s="1"/>
  <c r="W277" i="2"/>
  <c r="AT277" i="2"/>
  <c r="AT782" i="2" s="1"/>
  <c r="AT257" i="2"/>
  <c r="AT259" i="2" s="1"/>
  <c r="AT260" i="2" s="1"/>
  <c r="AT261" i="2" s="1"/>
  <c r="BC317" i="2"/>
  <c r="Y574" i="2"/>
  <c r="Y317" i="2"/>
  <c r="AC574" i="2"/>
  <c r="Y277" i="2"/>
  <c r="Y287" i="2" s="1"/>
  <c r="BC257" i="2"/>
  <c r="BC259" i="2" s="1"/>
  <c r="BC260" i="2" s="1"/>
  <c r="BC261" i="2" s="1"/>
  <c r="BC277" i="2"/>
  <c r="BC287" i="2" s="1"/>
  <c r="AC317" i="2"/>
  <c r="AC318" i="2" s="1"/>
  <c r="AC319" i="2" s="1"/>
  <c r="AC854" i="2" s="1"/>
  <c r="AC877" i="2" s="1"/>
  <c r="AC976" i="2" s="1"/>
  <c r="U257" i="2"/>
  <c r="U259" i="2" s="1"/>
  <c r="U260" i="2" s="1"/>
  <c r="U261" i="2" s="1"/>
  <c r="U317" i="2"/>
  <c r="U277" i="2"/>
  <c r="U782" i="2" s="1"/>
  <c r="AX277" i="2"/>
  <c r="AX782" i="2" s="1"/>
  <c r="AX574" i="2"/>
  <c r="AX257" i="2"/>
  <c r="AX259" i="2" s="1"/>
  <c r="AX260" i="2" s="1"/>
  <c r="AX261" i="2" s="1"/>
  <c r="R257" i="2"/>
  <c r="R259" i="2" s="1"/>
  <c r="R260" i="2" s="1"/>
  <c r="R261" i="2" s="1"/>
  <c r="AD574" i="2"/>
  <c r="AN257" i="2"/>
  <c r="AN259" i="2" s="1"/>
  <c r="AN260" i="2" s="1"/>
  <c r="AN261" i="2" s="1"/>
  <c r="M257" i="2"/>
  <c r="M259" i="2" s="1"/>
  <c r="M260" i="2" s="1"/>
  <c r="M263" i="2" s="1"/>
  <c r="AI317" i="2"/>
  <c r="AZ277" i="2"/>
  <c r="AZ782" i="2" s="1"/>
  <c r="AR277" i="2"/>
  <c r="AR782" i="2" s="1"/>
  <c r="AD317" i="2"/>
  <c r="AD257" i="2"/>
  <c r="AD259" i="2" s="1"/>
  <c r="AD260" i="2" s="1"/>
  <c r="AD261" i="2" s="1"/>
  <c r="AD277" i="2"/>
  <c r="AD782" i="2" s="1"/>
  <c r="M574" i="2"/>
  <c r="AZ317" i="2"/>
  <c r="AZ574" i="2"/>
  <c r="AZ257" i="2"/>
  <c r="AZ259" i="2" s="1"/>
  <c r="AZ260" i="2" s="1"/>
  <c r="AZ263" i="2" s="1"/>
  <c r="R317" i="2"/>
  <c r="M277" i="2"/>
  <c r="M782" i="2" s="1"/>
  <c r="M317" i="2"/>
  <c r="R277" i="2"/>
  <c r="R782" i="2" s="1"/>
  <c r="R574" i="2"/>
  <c r="AR574" i="2"/>
  <c r="AR317" i="2"/>
  <c r="G257" i="2"/>
  <c r="G259" i="2" s="1"/>
  <c r="AE257" i="2"/>
  <c r="AE259" i="2" s="1"/>
  <c r="AE260" i="2" s="1"/>
  <c r="AE263" i="2" s="1"/>
  <c r="AN317" i="2"/>
  <c r="AN277" i="2"/>
  <c r="AN287" i="2" s="1"/>
  <c r="AR257" i="2"/>
  <c r="AR259" i="2" s="1"/>
  <c r="AR260" i="2" s="1"/>
  <c r="AR263" i="2" s="1"/>
  <c r="AN574" i="2"/>
  <c r="C886" i="2"/>
  <c r="C985" i="2"/>
  <c r="F1009" i="2" s="1"/>
  <c r="AE574" i="2"/>
  <c r="AE277" i="2"/>
  <c r="AE287" i="2" s="1"/>
  <c r="AE317" i="2"/>
  <c r="G317" i="2"/>
  <c r="G574" i="2"/>
  <c r="G277" i="2"/>
  <c r="G782" i="2" s="1"/>
  <c r="I574" i="2"/>
  <c r="K317" i="2"/>
  <c r="AI257" i="2"/>
  <c r="AI259" i="2" s="1"/>
  <c r="AI260" i="2" s="1"/>
  <c r="AI263" i="2" s="1"/>
  <c r="L257" i="2"/>
  <c r="L259" i="2" s="1"/>
  <c r="L260" i="2" s="1"/>
  <c r="L263" i="2" s="1"/>
  <c r="AH277" i="2"/>
  <c r="AH287" i="2" s="1"/>
  <c r="N277" i="2"/>
  <c r="N287" i="2" s="1"/>
  <c r="J574" i="2"/>
  <c r="AH574" i="2"/>
  <c r="AH317" i="2"/>
  <c r="AI574" i="2"/>
  <c r="AI277" i="2"/>
  <c r="AH257" i="2"/>
  <c r="AH259" i="2" s="1"/>
  <c r="AH260" i="2" s="1"/>
  <c r="AH261" i="2" s="1"/>
  <c r="N574" i="2"/>
  <c r="N317" i="2"/>
  <c r="K574" i="2"/>
  <c r="L317" i="2"/>
  <c r="L574" i="2"/>
  <c r="L277" i="2"/>
  <c r="L782" i="2" s="1"/>
  <c r="J257" i="2"/>
  <c r="J259" i="2" s="1"/>
  <c r="J260" i="2" s="1"/>
  <c r="J263" i="2" s="1"/>
  <c r="J277" i="2"/>
  <c r="J782" i="2" s="1"/>
  <c r="J317" i="2"/>
  <c r="K277" i="2"/>
  <c r="K782" i="2" s="1"/>
  <c r="K257" i="2"/>
  <c r="K259" i="2" s="1"/>
  <c r="K260" i="2" s="1"/>
  <c r="K263" i="2" s="1"/>
  <c r="I277" i="2"/>
  <c r="I287" i="2" s="1"/>
  <c r="N257" i="2"/>
  <c r="N259" i="2" s="1"/>
  <c r="N260" i="2" s="1"/>
  <c r="N263" i="2" s="1"/>
  <c r="C210" i="2"/>
  <c r="I317" i="2"/>
  <c r="I257" i="2"/>
  <c r="I259" i="2" s="1"/>
  <c r="I260" i="2" s="1"/>
  <c r="I261" i="2" s="1"/>
  <c r="C930" i="2"/>
  <c r="C938" i="2"/>
  <c r="C852" i="2"/>
  <c r="K950" i="2"/>
  <c r="K961" i="2" s="1"/>
  <c r="J950" i="2"/>
  <c r="J961" i="2" s="1"/>
  <c r="Q261" i="2"/>
  <c r="Q263" i="2"/>
  <c r="O261" i="2"/>
  <c r="O263" i="2"/>
  <c r="AT318" i="2"/>
  <c r="AT319" i="2" s="1"/>
  <c r="AT854" i="2" s="1"/>
  <c r="AT877" i="2" s="1"/>
  <c r="AT976" i="2" s="1"/>
  <c r="AP318" i="2"/>
  <c r="AP319" i="2" s="1"/>
  <c r="AP854" i="2" s="1"/>
  <c r="AP877" i="2" s="1"/>
  <c r="AP976" i="2" s="1"/>
  <c r="AP287" i="2"/>
  <c r="AP782" i="2"/>
  <c r="BA261" i="2"/>
  <c r="BA263" i="2"/>
  <c r="P261" i="2"/>
  <c r="P263" i="2"/>
  <c r="AS261" i="2"/>
  <c r="AS263" i="2"/>
  <c r="Q782" i="2"/>
  <c r="Q318" i="2"/>
  <c r="Q319" i="2" s="1"/>
  <c r="Q854" i="2" s="1"/>
  <c r="Q877" i="2" s="1"/>
  <c r="Q976" i="2" s="1"/>
  <c r="Q287" i="2"/>
  <c r="Z287" i="2"/>
  <c r="Z318" i="2"/>
  <c r="Z319" i="2" s="1"/>
  <c r="Z854" i="2" s="1"/>
  <c r="Z877" i="2" s="1"/>
  <c r="Z976" i="2" s="1"/>
  <c r="Z782" i="2"/>
  <c r="AA261" i="2"/>
  <c r="AA263" i="2"/>
  <c r="AQ263" i="2"/>
  <c r="AQ261" i="2"/>
  <c r="V318" i="2"/>
  <c r="V319" i="2" s="1"/>
  <c r="V854" i="2" s="1"/>
  <c r="V877" i="2" s="1"/>
  <c r="V976" i="2" s="1"/>
  <c r="V782" i="2"/>
  <c r="V287" i="2"/>
  <c r="AL318" i="2"/>
  <c r="AL319" i="2" s="1"/>
  <c r="AL854" i="2" s="1"/>
  <c r="AL877" i="2" s="1"/>
  <c r="AL976" i="2" s="1"/>
  <c r="AL782" i="2"/>
  <c r="AL287" i="2"/>
  <c r="AS318" i="2"/>
  <c r="AS319" i="2" s="1"/>
  <c r="AS854" i="2" s="1"/>
  <c r="AS877" i="2" s="1"/>
  <c r="AS976" i="2" s="1"/>
  <c r="AS287" i="2"/>
  <c r="AS782" i="2"/>
  <c r="AV318" i="2"/>
  <c r="AV319" i="2" s="1"/>
  <c r="AV854" i="2" s="1"/>
  <c r="AV877" i="2" s="1"/>
  <c r="AV976" i="2" s="1"/>
  <c r="AV782" i="2"/>
  <c r="AV287" i="2"/>
  <c r="AG261" i="2"/>
  <c r="AG263" i="2"/>
  <c r="AO263" i="2"/>
  <c r="AO261" i="2"/>
  <c r="AJ261" i="2"/>
  <c r="AJ263" i="2"/>
  <c r="S318" i="2"/>
  <c r="S319" i="2" s="1"/>
  <c r="S854" i="2" s="1"/>
  <c r="S877" i="2" s="1"/>
  <c r="S976" i="2" s="1"/>
  <c r="S782" i="2"/>
  <c r="S287" i="2"/>
  <c r="X318" i="2"/>
  <c r="X319" i="2" s="1"/>
  <c r="X854" i="2" s="1"/>
  <c r="X877" i="2" s="1"/>
  <c r="X976" i="2" s="1"/>
  <c r="X287" i="2"/>
  <c r="X782" i="2"/>
  <c r="Y261" i="2"/>
  <c r="Y263" i="2"/>
  <c r="C199" i="18"/>
  <c r="AL261" i="2"/>
  <c r="AL263" i="2"/>
  <c r="O318" i="2"/>
  <c r="O319" i="2" s="1"/>
  <c r="O854" i="2" s="1"/>
  <c r="O877" i="2" s="1"/>
  <c r="O976" i="2" s="1"/>
  <c r="O782" i="2"/>
  <c r="O287" i="2"/>
  <c r="AO287" i="2"/>
  <c r="AO318" i="2"/>
  <c r="AO319" i="2" s="1"/>
  <c r="AO854" i="2" s="1"/>
  <c r="AO877" i="2" s="1"/>
  <c r="AO976" i="2" s="1"/>
  <c r="AO782" i="2"/>
  <c r="AJ318" i="2"/>
  <c r="AJ319" i="2" s="1"/>
  <c r="AJ854" i="2" s="1"/>
  <c r="AJ877" i="2" s="1"/>
  <c r="AJ976" i="2" s="1"/>
  <c r="AJ287" i="2"/>
  <c r="AJ782" i="2"/>
  <c r="AK261" i="2"/>
  <c r="AK263" i="2"/>
  <c r="Z263" i="2"/>
  <c r="Z261" i="2"/>
  <c r="AB318" i="2"/>
  <c r="AB319" i="2" s="1"/>
  <c r="AB854" i="2" s="1"/>
  <c r="AB877" i="2" s="1"/>
  <c r="AB976" i="2" s="1"/>
  <c r="AB782" i="2"/>
  <c r="AB287" i="2"/>
  <c r="BA318" i="2"/>
  <c r="BA319" i="2" s="1"/>
  <c r="BA854" i="2" s="1"/>
  <c r="BA877" i="2" s="1"/>
  <c r="BA976" i="2" s="1"/>
  <c r="BA287" i="2"/>
  <c r="BA782" i="2"/>
  <c r="T263" i="2"/>
  <c r="T261" i="2"/>
  <c r="G974" i="2"/>
  <c r="C974" i="2" s="1"/>
  <c r="F998" i="2" s="1"/>
  <c r="C875" i="2"/>
  <c r="AY287" i="2"/>
  <c r="AY782" i="2"/>
  <c r="AY318" i="2"/>
  <c r="AY319" i="2" s="1"/>
  <c r="AY854" i="2" s="1"/>
  <c r="AY877" i="2" s="1"/>
  <c r="AY976" i="2" s="1"/>
  <c r="X261" i="2"/>
  <c r="X263" i="2"/>
  <c r="AB263" i="2"/>
  <c r="AB261" i="2"/>
  <c r="BB263" i="2"/>
  <c r="BB261" i="2"/>
  <c r="T287" i="2"/>
  <c r="T782" i="2"/>
  <c r="T318" i="2"/>
  <c r="T319" i="2" s="1"/>
  <c r="T854" i="2" s="1"/>
  <c r="T877" i="2" s="1"/>
  <c r="T976" i="2" s="1"/>
  <c r="AG318" i="2"/>
  <c r="AG319" i="2" s="1"/>
  <c r="AG854" i="2" s="1"/>
  <c r="AG877" i="2" s="1"/>
  <c r="AG976" i="2" s="1"/>
  <c r="AG782" i="2"/>
  <c r="AG287" i="2"/>
  <c r="S261" i="2"/>
  <c r="S263" i="2"/>
  <c r="AP263" i="2"/>
  <c r="AP261" i="2"/>
  <c r="AU263" i="2"/>
  <c r="AU261" i="2"/>
  <c r="BB782" i="2"/>
  <c r="BB318" i="2"/>
  <c r="BB319" i="2" s="1"/>
  <c r="BB854" i="2" s="1"/>
  <c r="BB877" i="2" s="1"/>
  <c r="BB976" i="2" s="1"/>
  <c r="BB287" i="2"/>
  <c r="AQ782" i="2"/>
  <c r="AQ318" i="2"/>
  <c r="AQ319" i="2" s="1"/>
  <c r="AQ854" i="2" s="1"/>
  <c r="AQ877" i="2" s="1"/>
  <c r="AQ976" i="2" s="1"/>
  <c r="AQ287" i="2"/>
  <c r="F993" i="2"/>
  <c r="C198" i="18"/>
  <c r="BD782" i="2"/>
  <c r="BD318" i="2"/>
  <c r="BD319" i="2" s="1"/>
  <c r="BD854" i="2" s="1"/>
  <c r="BD877" i="2" s="1"/>
  <c r="BD976" i="2" s="1"/>
  <c r="BD287" i="2"/>
  <c r="AY263" i="2"/>
  <c r="AY261" i="2"/>
  <c r="AW318" i="2"/>
  <c r="AW319" i="2" s="1"/>
  <c r="AW854" i="2" s="1"/>
  <c r="AW877" i="2" s="1"/>
  <c r="AW976" i="2" s="1"/>
  <c r="AW287" i="2"/>
  <c r="AW782" i="2"/>
  <c r="AV261" i="2"/>
  <c r="AV263" i="2"/>
  <c r="P287" i="2"/>
  <c r="P782" i="2"/>
  <c r="P318" i="2"/>
  <c r="P319" i="2" s="1"/>
  <c r="P854" i="2" s="1"/>
  <c r="P877" i="2" s="1"/>
  <c r="P976" i="2" s="1"/>
  <c r="AM263" i="2"/>
  <c r="AM261" i="2"/>
  <c r="H261" i="2"/>
  <c r="H263" i="2"/>
  <c r="BD263" i="2"/>
  <c r="BD261" i="2"/>
  <c r="AW261" i="2"/>
  <c r="AW263" i="2"/>
  <c r="AK782" i="2"/>
  <c r="AK318" i="2"/>
  <c r="AK319" i="2" s="1"/>
  <c r="AK854" i="2" s="1"/>
  <c r="AK877" i="2" s="1"/>
  <c r="AK976" i="2" s="1"/>
  <c r="AK287" i="2"/>
  <c r="AA287" i="2"/>
  <c r="AA782" i="2"/>
  <c r="AA318" i="2"/>
  <c r="AA319" i="2" s="1"/>
  <c r="AA854" i="2" s="1"/>
  <c r="AA877" i="2" s="1"/>
  <c r="AA976" i="2" s="1"/>
  <c r="AC782" i="2"/>
  <c r="AC287" i="2"/>
  <c r="V263" i="2"/>
  <c r="V261" i="2"/>
  <c r="AF782" i="2"/>
  <c r="AF287" i="2"/>
  <c r="AM782" i="2"/>
  <c r="AM318" i="2"/>
  <c r="AM319" i="2" s="1"/>
  <c r="AM854" i="2" s="1"/>
  <c r="AM877" i="2" s="1"/>
  <c r="AM976" i="2" s="1"/>
  <c r="AM287" i="2"/>
  <c r="G950" i="2"/>
  <c r="G961" i="2" s="1"/>
  <c r="H950" i="2"/>
  <c r="H961" i="2" s="1"/>
  <c r="I950" i="2"/>
  <c r="I961" i="2" s="1"/>
  <c r="H782" i="2" l="1"/>
  <c r="H318" i="2"/>
  <c r="H319" i="2" s="1"/>
  <c r="H854" i="2" s="1"/>
  <c r="H877" i="2" s="1"/>
  <c r="H976" i="2" s="1"/>
  <c r="AU782" i="2"/>
  <c r="AF261" i="2"/>
  <c r="AU318" i="2"/>
  <c r="AU319" i="2" s="1"/>
  <c r="AU854" i="2" s="1"/>
  <c r="AU877" i="2" s="1"/>
  <c r="AU976" i="2" s="1"/>
  <c r="AT263" i="2"/>
  <c r="AT287" i="2"/>
  <c r="AT289" i="2" s="1"/>
  <c r="BC782" i="2"/>
  <c r="W318" i="2"/>
  <c r="W319" i="2" s="1"/>
  <c r="W854" i="2" s="1"/>
  <c r="W877" i="2" s="1"/>
  <c r="W976" i="2" s="1"/>
  <c r="W782" i="2"/>
  <c r="AC263" i="2"/>
  <c r="W261" i="2"/>
  <c r="Y782" i="2"/>
  <c r="Y318" i="2"/>
  <c r="Y319" i="2" s="1"/>
  <c r="Y854" i="2" s="1"/>
  <c r="Y877" i="2" s="1"/>
  <c r="Y976" i="2" s="1"/>
  <c r="AX318" i="2"/>
  <c r="AX319" i="2" s="1"/>
  <c r="AX854" i="2" s="1"/>
  <c r="AX877" i="2" s="1"/>
  <c r="AX976" i="2" s="1"/>
  <c r="AX287" i="2"/>
  <c r="AX289" i="2" s="1"/>
  <c r="W287" i="2"/>
  <c r="W289" i="2" s="1"/>
  <c r="U318" i="2"/>
  <c r="U319" i="2" s="1"/>
  <c r="U854" i="2" s="1"/>
  <c r="U877" i="2" s="1"/>
  <c r="U976" i="2" s="1"/>
  <c r="U287" i="2"/>
  <c r="U289" i="2" s="1"/>
  <c r="BC318" i="2"/>
  <c r="BC319" i="2" s="1"/>
  <c r="BC854" i="2" s="1"/>
  <c r="BC877" i="2" s="1"/>
  <c r="BC976" i="2" s="1"/>
  <c r="R263" i="2"/>
  <c r="BC263" i="2"/>
  <c r="U263" i="2"/>
  <c r="AD263" i="2"/>
  <c r="AI318" i="2"/>
  <c r="AI319" i="2" s="1"/>
  <c r="AI854" i="2" s="1"/>
  <c r="AI877" i="2" s="1"/>
  <c r="AI976" i="2" s="1"/>
  <c r="AN263" i="2"/>
  <c r="M261" i="2"/>
  <c r="AX263" i="2"/>
  <c r="AZ287" i="2"/>
  <c r="AZ318" i="2"/>
  <c r="AZ319" i="2" s="1"/>
  <c r="AZ854" i="2" s="1"/>
  <c r="AZ877" i="2" s="1"/>
  <c r="AZ976" i="2" s="1"/>
  <c r="AR287" i="2"/>
  <c r="AR318" i="2"/>
  <c r="AR319" i="2" s="1"/>
  <c r="AR854" i="2" s="1"/>
  <c r="AR877" i="2" s="1"/>
  <c r="AR976" i="2" s="1"/>
  <c r="AD318" i="2"/>
  <c r="AD319" i="2" s="1"/>
  <c r="AD854" i="2" s="1"/>
  <c r="AD877" i="2" s="1"/>
  <c r="AD976" i="2" s="1"/>
  <c r="AD287" i="2"/>
  <c r="AZ261" i="2"/>
  <c r="M287" i="2"/>
  <c r="M318" i="2"/>
  <c r="M319" i="2" s="1"/>
  <c r="M854" i="2" s="1"/>
  <c r="M877" i="2" s="1"/>
  <c r="M976" i="2" s="1"/>
  <c r="R318" i="2"/>
  <c r="R319" i="2" s="1"/>
  <c r="R854" i="2" s="1"/>
  <c r="R877" i="2" s="1"/>
  <c r="R976" i="2" s="1"/>
  <c r="R287" i="2"/>
  <c r="AN318" i="2"/>
  <c r="AN319" i="2" s="1"/>
  <c r="AN854" i="2" s="1"/>
  <c r="AN877" i="2" s="1"/>
  <c r="AN976" i="2" s="1"/>
  <c r="AE261" i="2"/>
  <c r="AN782" i="2"/>
  <c r="N318" i="2"/>
  <c r="N319" i="2" s="1"/>
  <c r="N854" i="2" s="1"/>
  <c r="N877" i="2" s="1"/>
  <c r="N976" i="2" s="1"/>
  <c r="AR261" i="2"/>
  <c r="AE318" i="2"/>
  <c r="AE319" i="2" s="1"/>
  <c r="AE854" i="2" s="1"/>
  <c r="AE877" i="2" s="1"/>
  <c r="AE976" i="2" s="1"/>
  <c r="AE782" i="2"/>
  <c r="C213" i="18"/>
  <c r="G287" i="2"/>
  <c r="AI261" i="2"/>
  <c r="G318" i="2"/>
  <c r="G319" i="2" s="1"/>
  <c r="N782" i="2"/>
  <c r="AH263" i="2"/>
  <c r="L261" i="2"/>
  <c r="AH782" i="2"/>
  <c r="AH318" i="2"/>
  <c r="AH319" i="2" s="1"/>
  <c r="AH854" i="2" s="1"/>
  <c r="AH877" i="2" s="1"/>
  <c r="AH976" i="2" s="1"/>
  <c r="AI287" i="2"/>
  <c r="AI782" i="2"/>
  <c r="J261" i="2"/>
  <c r="J318" i="2"/>
  <c r="J319" i="2" s="1"/>
  <c r="J854" i="2" s="1"/>
  <c r="J877" i="2" s="1"/>
  <c r="J976" i="2" s="1"/>
  <c r="L318" i="2"/>
  <c r="L319" i="2" s="1"/>
  <c r="L854" i="2" s="1"/>
  <c r="L877" i="2" s="1"/>
  <c r="L976" i="2" s="1"/>
  <c r="L287" i="2"/>
  <c r="C574" i="2"/>
  <c r="K318" i="2"/>
  <c r="K319" i="2" s="1"/>
  <c r="K854" i="2" s="1"/>
  <c r="K877" i="2" s="1"/>
  <c r="K976" i="2" s="1"/>
  <c r="K287" i="2"/>
  <c r="J287" i="2"/>
  <c r="C317" i="2"/>
  <c r="K261" i="2"/>
  <c r="N261" i="2"/>
  <c r="I782" i="2"/>
  <c r="I318" i="2"/>
  <c r="I319" i="2" s="1"/>
  <c r="I854" i="2" s="1"/>
  <c r="I877" i="2" s="1"/>
  <c r="I976" i="2" s="1"/>
  <c r="I263" i="2"/>
  <c r="C257" i="2"/>
  <c r="N289" i="2"/>
  <c r="AB289" i="2"/>
  <c r="AS289" i="2"/>
  <c r="AA289" i="2"/>
  <c r="C203" i="18"/>
  <c r="O289" i="2"/>
  <c r="S289" i="2"/>
  <c r="AC289" i="2"/>
  <c r="AK289" i="2"/>
  <c r="BB289" i="2"/>
  <c r="AG289" i="2"/>
  <c r="AV289" i="2"/>
  <c r="AL289" i="2"/>
  <c r="AE289" i="2"/>
  <c r="BD289" i="2"/>
  <c r="AO289" i="2"/>
  <c r="Z289" i="2"/>
  <c r="AF289" i="2"/>
  <c r="G260" i="2"/>
  <c r="C259" i="2"/>
  <c r="P289" i="2"/>
  <c r="AH289" i="2"/>
  <c r="AY289" i="2"/>
  <c r="X289" i="2"/>
  <c r="Y289" i="2"/>
  <c r="Q289" i="2"/>
  <c r="AM289" i="2"/>
  <c r="BC289" i="2"/>
  <c r="T289" i="2"/>
  <c r="BA289" i="2"/>
  <c r="AP289" i="2"/>
  <c r="AN289" i="2"/>
  <c r="AW289" i="2"/>
  <c r="AQ289" i="2"/>
  <c r="AU289" i="2"/>
  <c r="AJ289" i="2"/>
  <c r="V289" i="2"/>
  <c r="I289" i="2"/>
  <c r="H289" i="2"/>
  <c r="AZ289" i="2" l="1"/>
  <c r="AZ307" i="2" s="1"/>
  <c r="AZ306" i="2" s="1"/>
  <c r="AZ305" i="2" s="1"/>
  <c r="AZ304" i="2" s="1"/>
  <c r="AZ303" i="2" s="1"/>
  <c r="AZ302" i="2" s="1"/>
  <c r="AZ301" i="2" s="1"/>
  <c r="AZ300" i="2" s="1"/>
  <c r="AZ299" i="2" s="1"/>
  <c r="AZ298" i="2" s="1"/>
  <c r="AZ297" i="2" s="1"/>
  <c r="AZ296" i="2" s="1"/>
  <c r="AZ295" i="2" s="1"/>
  <c r="K289" i="2"/>
  <c r="K291" i="2" s="1"/>
  <c r="AI289" i="2"/>
  <c r="AI291" i="2" s="1"/>
  <c r="G289" i="2"/>
  <c r="G291" i="2" s="1"/>
  <c r="R289" i="2"/>
  <c r="R291" i="2" s="1"/>
  <c r="AR289" i="2"/>
  <c r="AR307" i="2" s="1"/>
  <c r="AR306" i="2" s="1"/>
  <c r="AR305" i="2" s="1"/>
  <c r="AR304" i="2" s="1"/>
  <c r="AR303" i="2" s="1"/>
  <c r="AR302" i="2" s="1"/>
  <c r="AR301" i="2" s="1"/>
  <c r="AR300" i="2" s="1"/>
  <c r="AR299" i="2" s="1"/>
  <c r="AR298" i="2" s="1"/>
  <c r="AR297" i="2" s="1"/>
  <c r="AR296" i="2" s="1"/>
  <c r="AR295" i="2" s="1"/>
  <c r="J289" i="2"/>
  <c r="J291" i="2" s="1"/>
  <c r="L289" i="2"/>
  <c r="L307" i="2" s="1"/>
  <c r="L306" i="2" s="1"/>
  <c r="L305" i="2" s="1"/>
  <c r="L304" i="2" s="1"/>
  <c r="L303" i="2" s="1"/>
  <c r="L302" i="2" s="1"/>
  <c r="L301" i="2" s="1"/>
  <c r="L300" i="2" s="1"/>
  <c r="L299" i="2" s="1"/>
  <c r="L298" i="2" s="1"/>
  <c r="L297" i="2" s="1"/>
  <c r="L296" i="2" s="1"/>
  <c r="L295" i="2" s="1"/>
  <c r="M289" i="2"/>
  <c r="M307" i="2" s="1"/>
  <c r="M306" i="2" s="1"/>
  <c r="M305" i="2" s="1"/>
  <c r="M304" i="2" s="1"/>
  <c r="M303" i="2" s="1"/>
  <c r="M302" i="2" s="1"/>
  <c r="M301" i="2" s="1"/>
  <c r="M300" i="2" s="1"/>
  <c r="M299" i="2" s="1"/>
  <c r="M298" i="2" s="1"/>
  <c r="M297" i="2" s="1"/>
  <c r="M296" i="2" s="1"/>
  <c r="M295" i="2" s="1"/>
  <c r="AD289" i="2"/>
  <c r="AD307" i="2" s="1"/>
  <c r="AD306" i="2" s="1"/>
  <c r="AD305" i="2" s="1"/>
  <c r="AD304" i="2" s="1"/>
  <c r="AD303" i="2" s="1"/>
  <c r="AD302" i="2" s="1"/>
  <c r="AD301" i="2" s="1"/>
  <c r="AD300" i="2" s="1"/>
  <c r="AD299" i="2" s="1"/>
  <c r="AD298" i="2" s="1"/>
  <c r="AD297" i="2" s="1"/>
  <c r="AD296" i="2" s="1"/>
  <c r="AD295" i="2" s="1"/>
  <c r="C782" i="2"/>
  <c r="C318" i="2"/>
  <c r="H307" i="2"/>
  <c r="H306" i="2" s="1"/>
  <c r="H305" i="2" s="1"/>
  <c r="H304" i="2" s="1"/>
  <c r="H303" i="2" s="1"/>
  <c r="H302" i="2" s="1"/>
  <c r="H301" i="2" s="1"/>
  <c r="H300" i="2" s="1"/>
  <c r="H299" i="2" s="1"/>
  <c r="H298" i="2" s="1"/>
  <c r="H297" i="2" s="1"/>
  <c r="H296" i="2" s="1"/>
  <c r="H295" i="2" s="1"/>
  <c r="H291" i="2"/>
  <c r="AJ291" i="2"/>
  <c r="AJ307" i="2"/>
  <c r="AJ306" i="2" s="1"/>
  <c r="AJ305" i="2" s="1"/>
  <c r="AJ304" i="2" s="1"/>
  <c r="AJ303" i="2" s="1"/>
  <c r="AJ302" i="2" s="1"/>
  <c r="AJ301" i="2" s="1"/>
  <c r="AJ300" i="2" s="1"/>
  <c r="AJ299" i="2" s="1"/>
  <c r="AJ298" i="2" s="1"/>
  <c r="AJ297" i="2" s="1"/>
  <c r="AP291" i="2"/>
  <c r="AP307" i="2"/>
  <c r="AP306" i="2" s="1"/>
  <c r="AP305" i="2" s="1"/>
  <c r="AP304" i="2" s="1"/>
  <c r="AP303" i="2" s="1"/>
  <c r="AP302" i="2" s="1"/>
  <c r="AP301" i="2" s="1"/>
  <c r="AP300" i="2" s="1"/>
  <c r="AP299" i="2" s="1"/>
  <c r="AP298" i="2" s="1"/>
  <c r="AP297" i="2" s="1"/>
  <c r="AP296" i="2" s="1"/>
  <c r="AP295" i="2" s="1"/>
  <c r="U307" i="2"/>
  <c r="U306" i="2" s="1"/>
  <c r="U305" i="2" s="1"/>
  <c r="U304" i="2" s="1"/>
  <c r="U303" i="2" s="1"/>
  <c r="U302" i="2" s="1"/>
  <c r="U301" i="2" s="1"/>
  <c r="U300" i="2" s="1"/>
  <c r="U299" i="2" s="1"/>
  <c r="U298" i="2" s="1"/>
  <c r="U297" i="2" s="1"/>
  <c r="U296" i="2" s="1"/>
  <c r="U295" i="2" s="1"/>
  <c r="U291" i="2"/>
  <c r="Y291" i="2"/>
  <c r="Y307" i="2"/>
  <c r="Y306" i="2" s="1"/>
  <c r="Y305" i="2" s="1"/>
  <c r="Y304" i="2" s="1"/>
  <c r="Y303" i="2" s="1"/>
  <c r="Y302" i="2" s="1"/>
  <c r="Y301" i="2" s="1"/>
  <c r="Y300" i="2" s="1"/>
  <c r="Y299" i="2" s="1"/>
  <c r="Y298" i="2" s="1"/>
  <c r="Y297" i="2" s="1"/>
  <c r="Y296" i="2" s="1"/>
  <c r="Y295" i="2" s="1"/>
  <c r="AY291" i="2"/>
  <c r="AY307" i="2"/>
  <c r="AY306" i="2" s="1"/>
  <c r="AY305" i="2" s="1"/>
  <c r="AY304" i="2" s="1"/>
  <c r="AY303" i="2" s="1"/>
  <c r="AY302" i="2" s="1"/>
  <c r="AY301" i="2" s="1"/>
  <c r="AY300" i="2" s="1"/>
  <c r="AY299" i="2" s="1"/>
  <c r="AY298" i="2" s="1"/>
  <c r="AY297" i="2" s="1"/>
  <c r="AY296" i="2" s="1"/>
  <c r="AY295" i="2" s="1"/>
  <c r="G261" i="2"/>
  <c r="G263" i="2"/>
  <c r="C260" i="2"/>
  <c r="AF307" i="2"/>
  <c r="AF306" i="2" s="1"/>
  <c r="AF305" i="2" s="1"/>
  <c r="AF304" i="2" s="1"/>
  <c r="AF303" i="2" s="1"/>
  <c r="AF302" i="2" s="1"/>
  <c r="AF301" i="2" s="1"/>
  <c r="AF300" i="2" s="1"/>
  <c r="AF299" i="2" s="1"/>
  <c r="AF298" i="2" s="1"/>
  <c r="AF297" i="2" s="1"/>
  <c r="AF296" i="2" s="1"/>
  <c r="AF295" i="2" s="1"/>
  <c r="AF291" i="2"/>
  <c r="Z307" i="2"/>
  <c r="Z306" i="2" s="1"/>
  <c r="Z305" i="2" s="1"/>
  <c r="Z304" i="2" s="1"/>
  <c r="Z303" i="2" s="1"/>
  <c r="Z302" i="2" s="1"/>
  <c r="Z301" i="2" s="1"/>
  <c r="Z300" i="2" s="1"/>
  <c r="Z299" i="2" s="1"/>
  <c r="Z298" i="2" s="1"/>
  <c r="Z297" i="2" s="1"/>
  <c r="Z296" i="2" s="1"/>
  <c r="Z295" i="2" s="1"/>
  <c r="Z291" i="2"/>
  <c r="AO307" i="2"/>
  <c r="AO306" i="2" s="1"/>
  <c r="AO305" i="2" s="1"/>
  <c r="AO304" i="2" s="1"/>
  <c r="AO303" i="2" s="1"/>
  <c r="AO302" i="2" s="1"/>
  <c r="AO301" i="2" s="1"/>
  <c r="AO300" i="2" s="1"/>
  <c r="AO299" i="2" s="1"/>
  <c r="AO298" i="2" s="1"/>
  <c r="AO297" i="2" s="1"/>
  <c r="AO291" i="2"/>
  <c r="V291" i="2"/>
  <c r="V307" i="2"/>
  <c r="V306" i="2" s="1"/>
  <c r="V305" i="2" s="1"/>
  <c r="V304" i="2" s="1"/>
  <c r="V303" i="2" s="1"/>
  <c r="V302" i="2" s="1"/>
  <c r="V301" i="2" s="1"/>
  <c r="V300" i="2" s="1"/>
  <c r="V299" i="2" s="1"/>
  <c r="V298" i="2" s="1"/>
  <c r="V297" i="2" s="1"/>
  <c r="V296" i="2" s="1"/>
  <c r="V295" i="2" s="1"/>
  <c r="AW291" i="2"/>
  <c r="AW307" i="2"/>
  <c r="AW306" i="2" s="1"/>
  <c r="AW305" i="2" s="1"/>
  <c r="AW304" i="2" s="1"/>
  <c r="AW303" i="2" s="1"/>
  <c r="AW302" i="2" s="1"/>
  <c r="AW301" i="2" s="1"/>
  <c r="AW300" i="2" s="1"/>
  <c r="AW299" i="2" s="1"/>
  <c r="AW298" i="2" s="1"/>
  <c r="AW297" i="2" s="1"/>
  <c r="AW296" i="2" s="1"/>
  <c r="AW295" i="2" s="1"/>
  <c r="AE307" i="2"/>
  <c r="AE306" i="2" s="1"/>
  <c r="AE305" i="2" s="1"/>
  <c r="AE304" i="2" s="1"/>
  <c r="AE303" i="2" s="1"/>
  <c r="AE302" i="2" s="1"/>
  <c r="AE301" i="2" s="1"/>
  <c r="AE300" i="2" s="1"/>
  <c r="AE299" i="2" s="1"/>
  <c r="AE298" i="2" s="1"/>
  <c r="AE297" i="2" s="1"/>
  <c r="AE296" i="2" s="1"/>
  <c r="AE295" i="2" s="1"/>
  <c r="AE291" i="2"/>
  <c r="AV307" i="2"/>
  <c r="AV306" i="2" s="1"/>
  <c r="AV305" i="2" s="1"/>
  <c r="AV304" i="2" s="1"/>
  <c r="AV303" i="2" s="1"/>
  <c r="AV302" i="2" s="1"/>
  <c r="AV301" i="2" s="1"/>
  <c r="AV300" i="2" s="1"/>
  <c r="AV299" i="2" s="1"/>
  <c r="AV298" i="2" s="1"/>
  <c r="AV297" i="2" s="1"/>
  <c r="AV296" i="2" s="1"/>
  <c r="AV295" i="2" s="1"/>
  <c r="AV291" i="2"/>
  <c r="BB307" i="2"/>
  <c r="BB306" i="2" s="1"/>
  <c r="BB305" i="2" s="1"/>
  <c r="BB304" i="2" s="1"/>
  <c r="BB303" i="2" s="1"/>
  <c r="BB302" i="2" s="1"/>
  <c r="BB301" i="2" s="1"/>
  <c r="BB300" i="2" s="1"/>
  <c r="BB299" i="2" s="1"/>
  <c r="BB298" i="2" s="1"/>
  <c r="BB297" i="2" s="1"/>
  <c r="BB296" i="2" s="1"/>
  <c r="BB295" i="2" s="1"/>
  <c r="BB291" i="2"/>
  <c r="AT291" i="2"/>
  <c r="AT307" i="2"/>
  <c r="AT306" i="2" s="1"/>
  <c r="AT305" i="2" s="1"/>
  <c r="AT304" i="2" s="1"/>
  <c r="AT303" i="2" s="1"/>
  <c r="AT302" i="2" s="1"/>
  <c r="AT301" i="2" s="1"/>
  <c r="AT300" i="2" s="1"/>
  <c r="AT299" i="2" s="1"/>
  <c r="AT298" i="2" s="1"/>
  <c r="AT297" i="2" s="1"/>
  <c r="AT296" i="2" s="1"/>
  <c r="AT295" i="2" s="1"/>
  <c r="BD291" i="2"/>
  <c r="BD307" i="2"/>
  <c r="BD306" i="2" s="1"/>
  <c r="BD305" i="2" s="1"/>
  <c r="BD304" i="2" s="1"/>
  <c r="BD303" i="2" s="1"/>
  <c r="BD302" i="2" s="1"/>
  <c r="BD301" i="2" s="1"/>
  <c r="BD300" i="2" s="1"/>
  <c r="BD299" i="2" s="1"/>
  <c r="BD298" i="2" s="1"/>
  <c r="BD297" i="2" s="1"/>
  <c r="BD296" i="2" s="1"/>
  <c r="BD295" i="2" s="1"/>
  <c r="O291" i="2"/>
  <c r="O307" i="2"/>
  <c r="O306" i="2" s="1"/>
  <c r="O305" i="2" s="1"/>
  <c r="O304" i="2" s="1"/>
  <c r="O303" i="2" s="1"/>
  <c r="O302" i="2" s="1"/>
  <c r="O301" i="2" s="1"/>
  <c r="O300" i="2" s="1"/>
  <c r="O299" i="2" s="1"/>
  <c r="O298" i="2" s="1"/>
  <c r="O297" i="2" s="1"/>
  <c r="O296" i="2" s="1"/>
  <c r="O295" i="2" s="1"/>
  <c r="AA307" i="2"/>
  <c r="AA306" i="2" s="1"/>
  <c r="AA305" i="2" s="1"/>
  <c r="AA304" i="2" s="1"/>
  <c r="AA303" i="2" s="1"/>
  <c r="AA302" i="2" s="1"/>
  <c r="AA301" i="2" s="1"/>
  <c r="AA300" i="2" s="1"/>
  <c r="AA299" i="2" s="1"/>
  <c r="AA298" i="2" s="1"/>
  <c r="AA297" i="2" s="1"/>
  <c r="AA296" i="2" s="1"/>
  <c r="AA295" i="2" s="1"/>
  <c r="AA291" i="2"/>
  <c r="N307" i="2"/>
  <c r="N306" i="2" s="1"/>
  <c r="N305" i="2" s="1"/>
  <c r="N304" i="2" s="1"/>
  <c r="N303" i="2" s="1"/>
  <c r="N302" i="2" s="1"/>
  <c r="N301" i="2" s="1"/>
  <c r="N300" i="2" s="1"/>
  <c r="N299" i="2" s="1"/>
  <c r="N298" i="2" s="1"/>
  <c r="N297" i="2" s="1"/>
  <c r="N291" i="2"/>
  <c r="I291" i="2"/>
  <c r="I307" i="2"/>
  <c r="I306" i="2" s="1"/>
  <c r="I305" i="2" s="1"/>
  <c r="I304" i="2" s="1"/>
  <c r="I303" i="2" s="1"/>
  <c r="I302" i="2" s="1"/>
  <c r="I301" i="2" s="1"/>
  <c r="I300" i="2" s="1"/>
  <c r="I299" i="2" s="1"/>
  <c r="I298" i="2" s="1"/>
  <c r="I297" i="2" s="1"/>
  <c r="I296" i="2" s="1"/>
  <c r="I295" i="2" s="1"/>
  <c r="AU291" i="2"/>
  <c r="AU307" i="2"/>
  <c r="AU306" i="2" s="1"/>
  <c r="AU305" i="2" s="1"/>
  <c r="AU304" i="2" s="1"/>
  <c r="AU303" i="2" s="1"/>
  <c r="AU302" i="2" s="1"/>
  <c r="AU301" i="2" s="1"/>
  <c r="AU300" i="2" s="1"/>
  <c r="AU299" i="2" s="1"/>
  <c r="AU298" i="2" s="1"/>
  <c r="AU297" i="2" s="1"/>
  <c r="AU296" i="2" s="1"/>
  <c r="AU295" i="2" s="1"/>
  <c r="BA307" i="2"/>
  <c r="BA306" i="2" s="1"/>
  <c r="BA305" i="2" s="1"/>
  <c r="BA304" i="2" s="1"/>
  <c r="BA303" i="2" s="1"/>
  <c r="BA302" i="2" s="1"/>
  <c r="BA301" i="2" s="1"/>
  <c r="BA300" i="2" s="1"/>
  <c r="BA299" i="2" s="1"/>
  <c r="BA298" i="2" s="1"/>
  <c r="BA297" i="2" s="1"/>
  <c r="BA296" i="2" s="1"/>
  <c r="BA295" i="2" s="1"/>
  <c r="BA291" i="2"/>
  <c r="X291" i="2"/>
  <c r="X307" i="2"/>
  <c r="X306" i="2" s="1"/>
  <c r="X305" i="2" s="1"/>
  <c r="X304" i="2" s="1"/>
  <c r="X303" i="2" s="1"/>
  <c r="X302" i="2" s="1"/>
  <c r="X301" i="2" s="1"/>
  <c r="X300" i="2" s="1"/>
  <c r="X299" i="2" s="1"/>
  <c r="X298" i="2" s="1"/>
  <c r="X297" i="2" s="1"/>
  <c r="X296" i="2" s="1"/>
  <c r="X295" i="2" s="1"/>
  <c r="AH307" i="2"/>
  <c r="AH306" i="2" s="1"/>
  <c r="AH305" i="2" s="1"/>
  <c r="AH304" i="2" s="1"/>
  <c r="AH303" i="2" s="1"/>
  <c r="AH302" i="2" s="1"/>
  <c r="AH301" i="2" s="1"/>
  <c r="AH300" i="2" s="1"/>
  <c r="AH299" i="2" s="1"/>
  <c r="AH298" i="2" s="1"/>
  <c r="AH297" i="2" s="1"/>
  <c r="AH296" i="2" s="1"/>
  <c r="AH295" i="2" s="1"/>
  <c r="AH291" i="2"/>
  <c r="AK291" i="2"/>
  <c r="AK307" i="2"/>
  <c r="AK306" i="2" s="1"/>
  <c r="AK305" i="2" s="1"/>
  <c r="AK304" i="2" s="1"/>
  <c r="AK303" i="2" s="1"/>
  <c r="AK302" i="2" s="1"/>
  <c r="AK301" i="2" s="1"/>
  <c r="AK300" i="2" s="1"/>
  <c r="AK299" i="2" s="1"/>
  <c r="AK298" i="2" s="1"/>
  <c r="AK297" i="2" s="1"/>
  <c r="AX307" i="2"/>
  <c r="AX306" i="2" s="1"/>
  <c r="AX305" i="2" s="1"/>
  <c r="AX304" i="2" s="1"/>
  <c r="AX303" i="2" s="1"/>
  <c r="AX302" i="2" s="1"/>
  <c r="AX301" i="2" s="1"/>
  <c r="AX300" i="2" s="1"/>
  <c r="AX299" i="2" s="1"/>
  <c r="AX298" i="2" s="1"/>
  <c r="AX297" i="2" s="1"/>
  <c r="AX296" i="2" s="1"/>
  <c r="AX295" i="2" s="1"/>
  <c r="AX291" i="2"/>
  <c r="AB307" i="2"/>
  <c r="AB306" i="2" s="1"/>
  <c r="AB305" i="2" s="1"/>
  <c r="AB304" i="2" s="1"/>
  <c r="AB303" i="2" s="1"/>
  <c r="AB302" i="2" s="1"/>
  <c r="AB301" i="2" s="1"/>
  <c r="AB300" i="2" s="1"/>
  <c r="AB299" i="2" s="1"/>
  <c r="AB298" i="2" s="1"/>
  <c r="AB297" i="2" s="1"/>
  <c r="AB296" i="2" s="1"/>
  <c r="AB295" i="2" s="1"/>
  <c r="AB291" i="2"/>
  <c r="T291" i="2"/>
  <c r="T307" i="2"/>
  <c r="T306" i="2" s="1"/>
  <c r="T305" i="2" s="1"/>
  <c r="T304" i="2" s="1"/>
  <c r="T303" i="2" s="1"/>
  <c r="T302" i="2" s="1"/>
  <c r="T301" i="2" s="1"/>
  <c r="T300" i="2" s="1"/>
  <c r="T299" i="2" s="1"/>
  <c r="T298" i="2" s="1"/>
  <c r="T297" i="2" s="1"/>
  <c r="T296" i="2" s="1"/>
  <c r="T295" i="2" s="1"/>
  <c r="AM307" i="2"/>
  <c r="AM306" i="2" s="1"/>
  <c r="AM305" i="2" s="1"/>
  <c r="AM304" i="2" s="1"/>
  <c r="AM303" i="2" s="1"/>
  <c r="AM302" i="2" s="1"/>
  <c r="AM301" i="2" s="1"/>
  <c r="AM300" i="2" s="1"/>
  <c r="AM299" i="2" s="1"/>
  <c r="AM298" i="2" s="1"/>
  <c r="AM297" i="2" s="1"/>
  <c r="AM296" i="2" s="1"/>
  <c r="AM295" i="2" s="1"/>
  <c r="AM291" i="2"/>
  <c r="AN291" i="2"/>
  <c r="AN307" i="2"/>
  <c r="AN306" i="2" s="1"/>
  <c r="AN305" i="2" s="1"/>
  <c r="AN304" i="2" s="1"/>
  <c r="AN303" i="2" s="1"/>
  <c r="AN302" i="2" s="1"/>
  <c r="AN301" i="2" s="1"/>
  <c r="AN300" i="2" s="1"/>
  <c r="AN299" i="2" s="1"/>
  <c r="AN298" i="2" s="1"/>
  <c r="AN297" i="2" s="1"/>
  <c r="AN296" i="2" s="1"/>
  <c r="AN295" i="2" s="1"/>
  <c r="BC307" i="2"/>
  <c r="BC306" i="2" s="1"/>
  <c r="BC305" i="2" s="1"/>
  <c r="BC304" i="2" s="1"/>
  <c r="BC303" i="2" s="1"/>
  <c r="BC302" i="2" s="1"/>
  <c r="BC301" i="2" s="1"/>
  <c r="BC300" i="2" s="1"/>
  <c r="BC299" i="2" s="1"/>
  <c r="BC298" i="2" s="1"/>
  <c r="BC297" i="2" s="1"/>
  <c r="BC296" i="2" s="1"/>
  <c r="BC295" i="2" s="1"/>
  <c r="BC291" i="2"/>
  <c r="Q291" i="2"/>
  <c r="Q307" i="2"/>
  <c r="Q306" i="2" s="1"/>
  <c r="Q305" i="2" s="1"/>
  <c r="Q304" i="2" s="1"/>
  <c r="Q303" i="2" s="1"/>
  <c r="Q302" i="2" s="1"/>
  <c r="Q301" i="2" s="1"/>
  <c r="Q300" i="2" s="1"/>
  <c r="Q299" i="2" s="1"/>
  <c r="Q298" i="2" s="1"/>
  <c r="Q297" i="2" s="1"/>
  <c r="Q296" i="2" s="1"/>
  <c r="Q295" i="2" s="1"/>
  <c r="W307" i="2"/>
  <c r="W306" i="2" s="1"/>
  <c r="W305" i="2" s="1"/>
  <c r="W304" i="2" s="1"/>
  <c r="W303" i="2" s="1"/>
  <c r="W302" i="2" s="1"/>
  <c r="W301" i="2" s="1"/>
  <c r="W300" i="2" s="1"/>
  <c r="W299" i="2" s="1"/>
  <c r="W298" i="2" s="1"/>
  <c r="W297" i="2" s="1"/>
  <c r="W291" i="2"/>
  <c r="AQ307" i="2"/>
  <c r="AQ306" i="2" s="1"/>
  <c r="AQ305" i="2" s="1"/>
  <c r="AQ304" i="2" s="1"/>
  <c r="AQ303" i="2" s="1"/>
  <c r="AQ302" i="2" s="1"/>
  <c r="AQ301" i="2" s="1"/>
  <c r="AQ300" i="2" s="1"/>
  <c r="AQ299" i="2" s="1"/>
  <c r="AQ298" i="2" s="1"/>
  <c r="AQ297" i="2" s="1"/>
  <c r="AQ296" i="2" s="1"/>
  <c r="AQ295" i="2" s="1"/>
  <c r="AQ291" i="2"/>
  <c r="P291" i="2"/>
  <c r="P307" i="2"/>
  <c r="P306" i="2" s="1"/>
  <c r="P305" i="2" s="1"/>
  <c r="P304" i="2" s="1"/>
  <c r="P303" i="2" s="1"/>
  <c r="P302" i="2" s="1"/>
  <c r="P301" i="2" s="1"/>
  <c r="P300" i="2" s="1"/>
  <c r="P299" i="2" s="1"/>
  <c r="P298" i="2" s="1"/>
  <c r="P297" i="2" s="1"/>
  <c r="P296" i="2" s="1"/>
  <c r="P295" i="2" s="1"/>
  <c r="AL307" i="2"/>
  <c r="AL306" i="2" s="1"/>
  <c r="AL305" i="2" s="1"/>
  <c r="AL304" i="2" s="1"/>
  <c r="AL303" i="2" s="1"/>
  <c r="AL302" i="2" s="1"/>
  <c r="AL301" i="2" s="1"/>
  <c r="AL300" i="2" s="1"/>
  <c r="AL299" i="2" s="1"/>
  <c r="AL298" i="2" s="1"/>
  <c r="AL297" i="2" s="1"/>
  <c r="AL296" i="2" s="1"/>
  <c r="AL295" i="2" s="1"/>
  <c r="AL291" i="2"/>
  <c r="AG291" i="2"/>
  <c r="AG307" i="2"/>
  <c r="AG306" i="2" s="1"/>
  <c r="AG305" i="2" s="1"/>
  <c r="AG304" i="2" s="1"/>
  <c r="AG303" i="2" s="1"/>
  <c r="AG302" i="2" s="1"/>
  <c r="AG301" i="2" s="1"/>
  <c r="AG300" i="2" s="1"/>
  <c r="AG299" i="2" s="1"/>
  <c r="AG298" i="2" s="1"/>
  <c r="AG297" i="2" s="1"/>
  <c r="AG296" i="2" s="1"/>
  <c r="AG295" i="2" s="1"/>
  <c r="AC291" i="2"/>
  <c r="AC307" i="2"/>
  <c r="AC306" i="2" s="1"/>
  <c r="AC305" i="2" s="1"/>
  <c r="AC304" i="2" s="1"/>
  <c r="AC303" i="2" s="1"/>
  <c r="AC302" i="2" s="1"/>
  <c r="AC301" i="2" s="1"/>
  <c r="AC300" i="2" s="1"/>
  <c r="AC299" i="2" s="1"/>
  <c r="AC298" i="2" s="1"/>
  <c r="AC297" i="2" s="1"/>
  <c r="AC296" i="2" s="1"/>
  <c r="AC295" i="2" s="1"/>
  <c r="AS307" i="2"/>
  <c r="AS306" i="2" s="1"/>
  <c r="AS305" i="2" s="1"/>
  <c r="AS304" i="2" s="1"/>
  <c r="AS303" i="2" s="1"/>
  <c r="AS302" i="2" s="1"/>
  <c r="AS301" i="2" s="1"/>
  <c r="AS300" i="2" s="1"/>
  <c r="AS299" i="2" s="1"/>
  <c r="AS298" i="2" s="1"/>
  <c r="AS297" i="2" s="1"/>
  <c r="AS296" i="2" s="1"/>
  <c r="AS295" i="2" s="1"/>
  <c r="AS291" i="2"/>
  <c r="S291" i="2"/>
  <c r="S307" i="2"/>
  <c r="S306" i="2" s="1"/>
  <c r="S305" i="2" s="1"/>
  <c r="S304" i="2" s="1"/>
  <c r="S303" i="2" s="1"/>
  <c r="S302" i="2" s="1"/>
  <c r="S301" i="2" s="1"/>
  <c r="S300" i="2" s="1"/>
  <c r="S299" i="2" s="1"/>
  <c r="S298" i="2" s="1"/>
  <c r="S297" i="2" s="1"/>
  <c r="G854" i="2"/>
  <c r="C319" i="2"/>
  <c r="R307" i="2" l="1"/>
  <c r="R306" i="2" s="1"/>
  <c r="R305" i="2" s="1"/>
  <c r="R304" i="2" s="1"/>
  <c r="R303" i="2" s="1"/>
  <c r="R302" i="2" s="1"/>
  <c r="R301" i="2" s="1"/>
  <c r="R300" i="2" s="1"/>
  <c r="R299" i="2" s="1"/>
  <c r="R298" i="2" s="1"/>
  <c r="R297" i="2" s="1"/>
  <c r="R296" i="2" s="1"/>
  <c r="R295" i="2" s="1"/>
  <c r="R294" i="2" s="1"/>
  <c r="R293" i="2" s="1"/>
  <c r="K307" i="2"/>
  <c r="K306" i="2" s="1"/>
  <c r="K305" i="2" s="1"/>
  <c r="K304" i="2" s="1"/>
  <c r="K303" i="2" s="1"/>
  <c r="K302" i="2" s="1"/>
  <c r="K301" i="2" s="1"/>
  <c r="K300" i="2" s="1"/>
  <c r="K299" i="2" s="1"/>
  <c r="K298" i="2" s="1"/>
  <c r="K297" i="2" s="1"/>
  <c r="K296" i="2" s="1"/>
  <c r="K295" i="2" s="1"/>
  <c r="K294" i="2" s="1"/>
  <c r="K293" i="2" s="1"/>
  <c r="AD291" i="2"/>
  <c r="G307" i="2"/>
  <c r="G306" i="2" s="1"/>
  <c r="G305" i="2" s="1"/>
  <c r="G304" i="2" s="1"/>
  <c r="G303" i="2" s="1"/>
  <c r="G302" i="2" s="1"/>
  <c r="G301" i="2" s="1"/>
  <c r="G300" i="2" s="1"/>
  <c r="G299" i="2" s="1"/>
  <c r="G298" i="2" s="1"/>
  <c r="G297" i="2" s="1"/>
  <c r="G296" i="2" s="1"/>
  <c r="G295" i="2" s="1"/>
  <c r="G294" i="2" s="1"/>
  <c r="G293" i="2" s="1"/>
  <c r="G292" i="2" s="1"/>
  <c r="G309" i="2" s="1"/>
  <c r="J307" i="2"/>
  <c r="J306" i="2" s="1"/>
  <c r="J305" i="2" s="1"/>
  <c r="J304" i="2" s="1"/>
  <c r="J303" i="2" s="1"/>
  <c r="J302" i="2" s="1"/>
  <c r="J301" i="2" s="1"/>
  <c r="J300" i="2" s="1"/>
  <c r="J299" i="2" s="1"/>
  <c r="J298" i="2" s="1"/>
  <c r="J297" i="2" s="1"/>
  <c r="J296" i="2" s="1"/>
  <c r="J295" i="2" s="1"/>
  <c r="J294" i="2" s="1"/>
  <c r="J293" i="2" s="1"/>
  <c r="AI307" i="2"/>
  <c r="AI306" i="2" s="1"/>
  <c r="AI305" i="2" s="1"/>
  <c r="AI304" i="2" s="1"/>
  <c r="AI303" i="2" s="1"/>
  <c r="AI302" i="2" s="1"/>
  <c r="AI301" i="2" s="1"/>
  <c r="AI300" i="2" s="1"/>
  <c r="AI299" i="2" s="1"/>
  <c r="AI298" i="2" s="1"/>
  <c r="AI297" i="2" s="1"/>
  <c r="AI296" i="2" s="1"/>
  <c r="AI295" i="2" s="1"/>
  <c r="AI294" i="2" s="1"/>
  <c r="AI293" i="2" s="1"/>
  <c r="AR291" i="2"/>
  <c r="AZ291" i="2"/>
  <c r="L291" i="2"/>
  <c r="M291" i="2"/>
  <c r="S296" i="2"/>
  <c r="S295" i="2" s="1"/>
  <c r="S294" i="2" s="1"/>
  <c r="S293" i="2" s="1"/>
  <c r="AO296" i="2"/>
  <c r="AO295" i="2" s="1"/>
  <c r="AO294" i="2" s="1"/>
  <c r="AO293" i="2" s="1"/>
  <c r="AJ296" i="2"/>
  <c r="AJ295" i="2" s="1"/>
  <c r="AJ294" i="2" s="1"/>
  <c r="AJ293" i="2" s="1"/>
  <c r="N296" i="2"/>
  <c r="N295" i="2" s="1"/>
  <c r="N294" i="2" s="1"/>
  <c r="N293" i="2" s="1"/>
  <c r="W296" i="2"/>
  <c r="W295" i="2" s="1"/>
  <c r="W294" i="2" s="1"/>
  <c r="W293" i="2" s="1"/>
  <c r="AK296" i="2"/>
  <c r="AK295" i="2" s="1"/>
  <c r="AK294" i="2" s="1"/>
  <c r="AK293" i="2" s="1"/>
  <c r="C261" i="2"/>
  <c r="M294" i="2"/>
  <c r="M293" i="2" s="1"/>
  <c r="AP294" i="2"/>
  <c r="AP293" i="2" s="1"/>
  <c r="AG294" i="2"/>
  <c r="AG293" i="2" s="1"/>
  <c r="Q294" i="2"/>
  <c r="Q293" i="2" s="1"/>
  <c r="AB294" i="2"/>
  <c r="AB293" i="2" s="1"/>
  <c r="AH294" i="2"/>
  <c r="AH293" i="2" s="1"/>
  <c r="AE294" i="2"/>
  <c r="AE293" i="2" s="1"/>
  <c r="I294" i="2"/>
  <c r="I293" i="2" s="1"/>
  <c r="AR294" i="2"/>
  <c r="AR293" i="2" s="1"/>
  <c r="AT294" i="2"/>
  <c r="AT293" i="2" s="1"/>
  <c r="AY294" i="2"/>
  <c r="AY293" i="2" s="1"/>
  <c r="X294" i="2"/>
  <c r="X293" i="2" s="1"/>
  <c r="L294" i="2"/>
  <c r="L293" i="2" s="1"/>
  <c r="AX294" i="2"/>
  <c r="AX293" i="2" s="1"/>
  <c r="AW294" i="2"/>
  <c r="AW293" i="2" s="1"/>
  <c r="BD294" i="2"/>
  <c r="BD293" i="2" s="1"/>
  <c r="AQ294" i="2"/>
  <c r="AQ293" i="2" s="1"/>
  <c r="AS294" i="2"/>
  <c r="AS293" i="2" s="1"/>
  <c r="AL294" i="2"/>
  <c r="AL293" i="2" s="1"/>
  <c r="BC294" i="2"/>
  <c r="BC293" i="2" s="1"/>
  <c r="Z294" i="2"/>
  <c r="Z293" i="2" s="1"/>
  <c r="Y294" i="2"/>
  <c r="Y293" i="2" s="1"/>
  <c r="AD294" i="2"/>
  <c r="AD293" i="2" s="1"/>
  <c r="AM294" i="2"/>
  <c r="AM293" i="2" s="1"/>
  <c r="BA294" i="2"/>
  <c r="BA293" i="2" s="1"/>
  <c r="AA294" i="2"/>
  <c r="AA293" i="2" s="1"/>
  <c r="BB294" i="2"/>
  <c r="BB293" i="2" s="1"/>
  <c r="V294" i="2"/>
  <c r="V293" i="2" s="1"/>
  <c r="AZ294" i="2"/>
  <c r="AZ293" i="2" s="1"/>
  <c r="AN294" i="2"/>
  <c r="AN293" i="2" s="1"/>
  <c r="T294" i="2"/>
  <c r="T293" i="2" s="1"/>
  <c r="AU294" i="2"/>
  <c r="AU293" i="2" s="1"/>
  <c r="O294" i="2"/>
  <c r="O293" i="2" s="1"/>
  <c r="AF294" i="2"/>
  <c r="AF293" i="2" s="1"/>
  <c r="AC294" i="2"/>
  <c r="AC293" i="2" s="1"/>
  <c r="P294" i="2"/>
  <c r="P293" i="2" s="1"/>
  <c r="AV294" i="2"/>
  <c r="AV293" i="2" s="1"/>
  <c r="U294" i="2"/>
  <c r="U293" i="2" s="1"/>
  <c r="H294" i="2"/>
  <c r="H293" i="2" s="1"/>
  <c r="G270" i="2"/>
  <c r="C263" i="2"/>
  <c r="O435" i="2"/>
  <c r="AF435" i="2"/>
  <c r="AX435" i="2"/>
  <c r="AG435" i="2"/>
  <c r="AZ435" i="2"/>
  <c r="AN435" i="2"/>
  <c r="T435" i="2"/>
  <c r="AS435" i="2"/>
  <c r="AD435" i="2"/>
  <c r="AE435" i="2"/>
  <c r="AI435" i="2"/>
  <c r="H435" i="2"/>
  <c r="AH435" i="2"/>
  <c r="BB435" i="2"/>
  <c r="AV435" i="2"/>
  <c r="L435" i="2"/>
  <c r="Q435" i="2"/>
  <c r="N435" i="2"/>
  <c r="V435" i="2"/>
  <c r="BC435" i="2"/>
  <c r="W435" i="2"/>
  <c r="AK435" i="2"/>
  <c r="AQ435" i="2"/>
  <c r="AT435" i="2"/>
  <c r="G435" i="2"/>
  <c r="X435" i="2"/>
  <c r="U435" i="2"/>
  <c r="AL435" i="2"/>
  <c r="AJ435" i="2"/>
  <c r="AA435" i="2"/>
  <c r="I435" i="2"/>
  <c r="J435" i="2"/>
  <c r="K435" i="2"/>
  <c r="BA435" i="2"/>
  <c r="AR435" i="2"/>
  <c r="P435" i="2"/>
  <c r="AO435" i="2"/>
  <c r="AM435" i="2"/>
  <c r="AY435" i="2"/>
  <c r="AU435" i="2"/>
  <c r="R435" i="2"/>
  <c r="S435" i="2"/>
  <c r="M435" i="2"/>
  <c r="BD435" i="2"/>
  <c r="AC435" i="2"/>
  <c r="Z435" i="2"/>
  <c r="AW435" i="2"/>
  <c r="AB435" i="2"/>
  <c r="AP435" i="2"/>
  <c r="Y435" i="2"/>
  <c r="C854" i="2"/>
  <c r="G877" i="2"/>
  <c r="G311" i="2" l="1"/>
  <c r="G313" i="2"/>
  <c r="AJ292" i="2"/>
  <c r="AJ309" i="2" s="1"/>
  <c r="AJ313" i="2" s="1"/>
  <c r="W292" i="2"/>
  <c r="W309" i="2" s="1"/>
  <c r="W313" i="2" s="1"/>
  <c r="S292" i="2"/>
  <c r="S309" i="2" s="1"/>
  <c r="S313" i="2" s="1"/>
  <c r="AD292" i="2"/>
  <c r="AD309" i="2" s="1"/>
  <c r="AD313" i="2" s="1"/>
  <c r="V292" i="2"/>
  <c r="V309" i="2" s="1"/>
  <c r="Y292" i="2"/>
  <c r="Y309" i="2" s="1"/>
  <c r="AW292" i="2"/>
  <c r="AW309" i="2" s="1"/>
  <c r="AO292" i="2"/>
  <c r="AO309" i="2" s="1"/>
  <c r="AO313" i="2" s="1"/>
  <c r="Q292" i="2"/>
  <c r="Q309" i="2" s="1"/>
  <c r="Q313" i="2" s="1"/>
  <c r="Q850" i="2" s="1"/>
  <c r="Q873" i="2" s="1"/>
  <c r="Q972" i="2" s="1"/>
  <c r="BD292" i="2"/>
  <c r="BD309" i="2" s="1"/>
  <c r="BD313" i="2" s="1"/>
  <c r="AF292" i="2"/>
  <c r="AF309" i="2" s="1"/>
  <c r="AT292" i="2"/>
  <c r="AT309" i="2" s="1"/>
  <c r="AT313" i="2" s="1"/>
  <c r="H292" i="2"/>
  <c r="H309" i="2" s="1"/>
  <c r="O292" i="2"/>
  <c r="O309" i="2" s="1"/>
  <c r="AA292" i="2"/>
  <c r="AA309" i="2" s="1"/>
  <c r="AA313" i="2" s="1"/>
  <c r="AK292" i="2"/>
  <c r="AK309" i="2" s="1"/>
  <c r="AX292" i="2"/>
  <c r="AX309" i="2" s="1"/>
  <c r="AX313" i="2" s="1"/>
  <c r="AX850" i="2" s="1"/>
  <c r="AX873" i="2" s="1"/>
  <c r="AX972" i="2" s="1"/>
  <c r="AR292" i="2"/>
  <c r="AR309" i="2" s="1"/>
  <c r="AR313" i="2" s="1"/>
  <c r="AP292" i="2"/>
  <c r="AP309" i="2" s="1"/>
  <c r="AP313" i="2" s="1"/>
  <c r="AC292" i="2"/>
  <c r="AC309" i="2" s="1"/>
  <c r="AC313" i="2" s="1"/>
  <c r="Z292" i="2"/>
  <c r="Z309" i="2" s="1"/>
  <c r="U292" i="2"/>
  <c r="U309" i="2" s="1"/>
  <c r="U313" i="2" s="1"/>
  <c r="AU292" i="2"/>
  <c r="AU309" i="2" s="1"/>
  <c r="AU313" i="2" s="1"/>
  <c r="BA292" i="2"/>
  <c r="BA309" i="2" s="1"/>
  <c r="BA313" i="2" s="1"/>
  <c r="BC292" i="2"/>
  <c r="BC309" i="2" s="1"/>
  <c r="BC313" i="2" s="1"/>
  <c r="L292" i="2"/>
  <c r="L309" i="2" s="1"/>
  <c r="L313" i="2" s="1"/>
  <c r="I292" i="2"/>
  <c r="I309" i="2" s="1"/>
  <c r="I313" i="2" s="1"/>
  <c r="M292" i="2"/>
  <c r="M309" i="2" s="1"/>
  <c r="M313" i="2" s="1"/>
  <c r="AZ292" i="2"/>
  <c r="AZ309" i="2" s="1"/>
  <c r="AZ313" i="2" s="1"/>
  <c r="BB292" i="2"/>
  <c r="BB309" i="2" s="1"/>
  <c r="BB313" i="2" s="1"/>
  <c r="AV292" i="2"/>
  <c r="AV309" i="2" s="1"/>
  <c r="AV313" i="2" s="1"/>
  <c r="T292" i="2"/>
  <c r="T309" i="2" s="1"/>
  <c r="AM292" i="2"/>
  <c r="AM309" i="2" s="1"/>
  <c r="AL292" i="2"/>
  <c r="AL309" i="2" s="1"/>
  <c r="X292" i="2"/>
  <c r="X309" i="2" s="1"/>
  <c r="AE292" i="2"/>
  <c r="AE309" i="2" s="1"/>
  <c r="AE313" i="2" s="1"/>
  <c r="AY292" i="2"/>
  <c r="AY309" i="2" s="1"/>
  <c r="AY313" i="2" s="1"/>
  <c r="N292" i="2"/>
  <c r="N309" i="2" s="1"/>
  <c r="N313" i="2" s="1"/>
  <c r="R292" i="2"/>
  <c r="R309" i="2" s="1"/>
  <c r="AN292" i="2"/>
  <c r="AN309" i="2" s="1"/>
  <c r="K292" i="2"/>
  <c r="K309" i="2" s="1"/>
  <c r="K313" i="2" s="1"/>
  <c r="AS292" i="2"/>
  <c r="AS309" i="2" s="1"/>
  <c r="AH292" i="2"/>
  <c r="AH309" i="2" s="1"/>
  <c r="AI292" i="2"/>
  <c r="AI309" i="2" s="1"/>
  <c r="AI313" i="2" s="1"/>
  <c r="AG292" i="2"/>
  <c r="AG309" i="2" s="1"/>
  <c r="AG313" i="2" s="1"/>
  <c r="P292" i="2"/>
  <c r="P309" i="2" s="1"/>
  <c r="J292" i="2"/>
  <c r="J309" i="2" s="1"/>
  <c r="AQ292" i="2"/>
  <c r="AQ309" i="2" s="1"/>
  <c r="AQ313" i="2" s="1"/>
  <c r="AB292" i="2"/>
  <c r="AB309" i="2" s="1"/>
  <c r="AB313" i="2" s="1"/>
  <c r="C404" i="2"/>
  <c r="G310" i="2"/>
  <c r="C877" i="2"/>
  <c r="G976" i="2"/>
  <c r="C976" i="2" s="1"/>
  <c r="F1000" i="2" s="1"/>
  <c r="C435" i="2"/>
  <c r="G576" i="2"/>
  <c r="G586" i="2"/>
  <c r="G798" i="2" s="1"/>
  <c r="G819" i="2" s="1"/>
  <c r="G271" i="2"/>
  <c r="H266" i="2" s="1"/>
  <c r="P311" i="2" l="1"/>
  <c r="P313" i="2"/>
  <c r="P850" i="2" s="1"/>
  <c r="P873" i="2" s="1"/>
  <c r="P972" i="2" s="1"/>
  <c r="O311" i="2"/>
  <c r="O313" i="2"/>
  <c r="O850" i="2" s="1"/>
  <c r="O873" i="2" s="1"/>
  <c r="O972" i="2" s="1"/>
  <c r="Y311" i="2"/>
  <c r="Y313" i="2"/>
  <c r="Y850" i="2" s="1"/>
  <c r="Y873" i="2" s="1"/>
  <c r="Y972" i="2" s="1"/>
  <c r="H311" i="2"/>
  <c r="H313" i="2"/>
  <c r="H850" i="2" s="1"/>
  <c r="H873" i="2" s="1"/>
  <c r="H972" i="2" s="1"/>
  <c r="V311" i="2"/>
  <c r="V313" i="2"/>
  <c r="V850" i="2" s="1"/>
  <c r="V873" i="2" s="1"/>
  <c r="V972" i="2" s="1"/>
  <c r="AH311" i="2"/>
  <c r="AH853" i="2" s="1"/>
  <c r="AH876" i="2" s="1"/>
  <c r="AH975" i="2" s="1"/>
  <c r="AH313" i="2"/>
  <c r="X311" i="2"/>
  <c r="X313" i="2"/>
  <c r="X850" i="2" s="1"/>
  <c r="X873" i="2" s="1"/>
  <c r="X972" i="2" s="1"/>
  <c r="AF311" i="2"/>
  <c r="AF313" i="2"/>
  <c r="AF850" i="2" s="1"/>
  <c r="AF873" i="2" s="1"/>
  <c r="AF972" i="2" s="1"/>
  <c r="AS311" i="2"/>
  <c r="AS313" i="2"/>
  <c r="AS850" i="2" s="1"/>
  <c r="AS873" i="2" s="1"/>
  <c r="AS972" i="2" s="1"/>
  <c r="AL311" i="2"/>
  <c r="AL313" i="2"/>
  <c r="AL850" i="2" s="1"/>
  <c r="AL873" i="2" s="1"/>
  <c r="AL972" i="2" s="1"/>
  <c r="AM311" i="2"/>
  <c r="AM313" i="2"/>
  <c r="AM850" i="2" s="1"/>
  <c r="AM873" i="2" s="1"/>
  <c r="AM972" i="2" s="1"/>
  <c r="Z311" i="2"/>
  <c r="Z313" i="2"/>
  <c r="Z850" i="2" s="1"/>
  <c r="Z873" i="2" s="1"/>
  <c r="Z972" i="2" s="1"/>
  <c r="AN311" i="2"/>
  <c r="AN313" i="2"/>
  <c r="AN850" i="2" s="1"/>
  <c r="AN873" i="2" s="1"/>
  <c r="AN972" i="2" s="1"/>
  <c r="T311" i="2"/>
  <c r="T313" i="2"/>
  <c r="T850" i="2" s="1"/>
  <c r="T873" i="2" s="1"/>
  <c r="T972" i="2" s="1"/>
  <c r="AK311" i="2"/>
  <c r="AK853" i="2" s="1"/>
  <c r="AK876" i="2" s="1"/>
  <c r="AK975" i="2" s="1"/>
  <c r="AK313" i="2"/>
  <c r="AK850" i="2" s="1"/>
  <c r="AK873" i="2" s="1"/>
  <c r="AK972" i="2" s="1"/>
  <c r="J311" i="2"/>
  <c r="J313" i="2"/>
  <c r="J850" i="2" s="1"/>
  <c r="J873" i="2" s="1"/>
  <c r="J972" i="2" s="1"/>
  <c r="R311" i="2"/>
  <c r="R313" i="2"/>
  <c r="R850" i="2" s="1"/>
  <c r="R873" i="2" s="1"/>
  <c r="R972" i="2" s="1"/>
  <c r="AW311" i="2"/>
  <c r="AW313" i="2"/>
  <c r="AW850" i="2" s="1"/>
  <c r="AW873" i="2" s="1"/>
  <c r="AW972" i="2" s="1"/>
  <c r="AV850" i="2"/>
  <c r="AV873" i="2" s="1"/>
  <c r="AV972" i="2" s="1"/>
  <c r="AV311" i="2"/>
  <c r="AV853" i="2" s="1"/>
  <c r="AV876" i="2" s="1"/>
  <c r="AV975" i="2" s="1"/>
  <c r="AU850" i="2"/>
  <c r="AU873" i="2" s="1"/>
  <c r="AU972" i="2" s="1"/>
  <c r="AU311" i="2"/>
  <c r="AU402" i="2" s="1"/>
  <c r="AU409" i="2" s="1"/>
  <c r="AU411" i="2" s="1"/>
  <c r="AA850" i="2"/>
  <c r="AA873" i="2" s="1"/>
  <c r="AA972" i="2" s="1"/>
  <c r="AA311" i="2"/>
  <c r="N850" i="2"/>
  <c r="N873" i="2" s="1"/>
  <c r="N972" i="2" s="1"/>
  <c r="N311" i="2"/>
  <c r="BB850" i="2"/>
  <c r="BB873" i="2" s="1"/>
  <c r="BB972" i="2" s="1"/>
  <c r="BB311" i="2"/>
  <c r="BB402" i="2" s="1"/>
  <c r="BB409" i="2" s="1"/>
  <c r="BB411" i="2" s="1"/>
  <c r="U850" i="2"/>
  <c r="U873" i="2" s="1"/>
  <c r="U972" i="2" s="1"/>
  <c r="U311" i="2"/>
  <c r="U853" i="2" s="1"/>
  <c r="U876" i="2" s="1"/>
  <c r="U975" i="2" s="1"/>
  <c r="AO850" i="2"/>
  <c r="AO873" i="2" s="1"/>
  <c r="AO972" i="2" s="1"/>
  <c r="AO311" i="2"/>
  <c r="AG850" i="2"/>
  <c r="AG873" i="2" s="1"/>
  <c r="AG972" i="2" s="1"/>
  <c r="AG311" i="2"/>
  <c r="AG853" i="2" s="1"/>
  <c r="AG876" i="2" s="1"/>
  <c r="AG975" i="2" s="1"/>
  <c r="AZ850" i="2"/>
  <c r="AZ873" i="2" s="1"/>
  <c r="AZ972" i="2" s="1"/>
  <c r="AZ311" i="2"/>
  <c r="BA850" i="2"/>
  <c r="BA873" i="2" s="1"/>
  <c r="BA972" i="2" s="1"/>
  <c r="BA311" i="2"/>
  <c r="AI310" i="2"/>
  <c r="AI311" i="2"/>
  <c r="AE850" i="2"/>
  <c r="AE873" i="2" s="1"/>
  <c r="AE972" i="2" s="1"/>
  <c r="AE311" i="2"/>
  <c r="M310" i="2"/>
  <c r="M311" i="2"/>
  <c r="AC850" i="2"/>
  <c r="AC873" i="2" s="1"/>
  <c r="AC972" i="2" s="1"/>
  <c r="AC311" i="2"/>
  <c r="AT850" i="2"/>
  <c r="AT873" i="2" s="1"/>
  <c r="AT972" i="2" s="1"/>
  <c r="AT311" i="2"/>
  <c r="AD850" i="2"/>
  <c r="AD873" i="2" s="1"/>
  <c r="AD972" i="2" s="1"/>
  <c r="AD311" i="2"/>
  <c r="AD402" i="2" s="1"/>
  <c r="AD409" i="2" s="1"/>
  <c r="AD411" i="2" s="1"/>
  <c r="AQ850" i="2"/>
  <c r="AQ873" i="2" s="1"/>
  <c r="AQ972" i="2" s="1"/>
  <c r="AQ311" i="2"/>
  <c r="AY850" i="2"/>
  <c r="AY873" i="2" s="1"/>
  <c r="AY972" i="2" s="1"/>
  <c r="AY311" i="2"/>
  <c r="I850" i="2"/>
  <c r="I873" i="2" s="1"/>
  <c r="I972" i="2" s="1"/>
  <c r="I311" i="2"/>
  <c r="I402" i="2" s="1"/>
  <c r="I409" i="2" s="1"/>
  <c r="I411" i="2" s="1"/>
  <c r="AP850" i="2"/>
  <c r="AP873" i="2" s="1"/>
  <c r="AP972" i="2" s="1"/>
  <c r="AP311" i="2"/>
  <c r="AP402" i="2" s="1"/>
  <c r="AP409" i="2" s="1"/>
  <c r="AP411" i="2" s="1"/>
  <c r="S850" i="2"/>
  <c r="S873" i="2" s="1"/>
  <c r="S972" i="2" s="1"/>
  <c r="S311" i="2"/>
  <c r="S402" i="2" s="1"/>
  <c r="S409" i="2" s="1"/>
  <c r="S411" i="2" s="1"/>
  <c r="L850" i="2"/>
  <c r="L873" i="2" s="1"/>
  <c r="L972" i="2" s="1"/>
  <c r="L311" i="2"/>
  <c r="L402" i="2" s="1"/>
  <c r="L409" i="2" s="1"/>
  <c r="L411" i="2" s="1"/>
  <c r="AR850" i="2"/>
  <c r="AR873" i="2" s="1"/>
  <c r="AR972" i="2" s="1"/>
  <c r="AR311" i="2"/>
  <c r="AR402" i="2" s="1"/>
  <c r="AR409" i="2" s="1"/>
  <c r="AR411" i="2" s="1"/>
  <c r="BD850" i="2"/>
  <c r="BD873" i="2" s="1"/>
  <c r="BD972" i="2" s="1"/>
  <c r="BD311" i="2"/>
  <c r="W850" i="2"/>
  <c r="W873" i="2" s="1"/>
  <c r="W972" i="2" s="1"/>
  <c r="W311" i="2"/>
  <c r="W853" i="2" s="1"/>
  <c r="W876" i="2" s="1"/>
  <c r="W975" i="2" s="1"/>
  <c r="AB310" i="2"/>
  <c r="AB311" i="2"/>
  <c r="K850" i="2"/>
  <c r="K873" i="2" s="1"/>
  <c r="K972" i="2" s="1"/>
  <c r="K311" i="2"/>
  <c r="K402" i="2" s="1"/>
  <c r="K409" i="2" s="1"/>
  <c r="K411" i="2" s="1"/>
  <c r="BC850" i="2"/>
  <c r="BC873" i="2" s="1"/>
  <c r="BC972" i="2" s="1"/>
  <c r="BC311" i="2"/>
  <c r="BC853" i="2" s="1"/>
  <c r="BC876" i="2" s="1"/>
  <c r="BC975" i="2" s="1"/>
  <c r="AX310" i="2"/>
  <c r="AX311" i="2"/>
  <c r="AX402" i="2" s="1"/>
  <c r="AX409" i="2" s="1"/>
  <c r="AX411" i="2" s="1"/>
  <c r="Q310" i="2"/>
  <c r="Q311" i="2"/>
  <c r="Q402" i="2" s="1"/>
  <c r="Q409" i="2" s="1"/>
  <c r="Q411" i="2" s="1"/>
  <c r="AJ850" i="2"/>
  <c r="AJ873" i="2" s="1"/>
  <c r="AJ972" i="2" s="1"/>
  <c r="AJ311" i="2"/>
  <c r="AJ853" i="2" s="1"/>
  <c r="AJ876" i="2" s="1"/>
  <c r="AJ975" i="2" s="1"/>
  <c r="M850" i="2"/>
  <c r="M873" i="2" s="1"/>
  <c r="M972" i="2" s="1"/>
  <c r="AH850" i="2"/>
  <c r="AH873" i="2" s="1"/>
  <c r="AH972" i="2" s="1"/>
  <c r="AB850" i="2"/>
  <c r="AB873" i="2" s="1"/>
  <c r="AB972" i="2" s="1"/>
  <c r="AI850" i="2"/>
  <c r="AI873" i="2" s="1"/>
  <c r="AI972" i="2" s="1"/>
  <c r="BC310" i="2"/>
  <c r="AJ310" i="2"/>
  <c r="AA310" i="2"/>
  <c r="AU310" i="2"/>
  <c r="K310" i="2"/>
  <c r="BB310" i="2"/>
  <c r="AG310" i="2"/>
  <c r="AZ310" i="2"/>
  <c r="U310" i="2"/>
  <c r="AR310" i="2"/>
  <c r="AP310" i="2"/>
  <c r="S310" i="2"/>
  <c r="AD310" i="2"/>
  <c r="I310" i="2"/>
  <c r="W310" i="2"/>
  <c r="AO310" i="2"/>
  <c r="L310" i="2"/>
  <c r="BA310" i="2"/>
  <c r="AK310" i="2"/>
  <c r="AH310" i="2"/>
  <c r="AC310" i="2"/>
  <c r="AV310" i="2"/>
  <c r="AT310" i="2"/>
  <c r="AQ310" i="2"/>
  <c r="AE310" i="2"/>
  <c r="AW310" i="2"/>
  <c r="T310" i="2"/>
  <c r="AS310" i="2"/>
  <c r="X310" i="2"/>
  <c r="AF310" i="2"/>
  <c r="O310" i="2"/>
  <c r="Z310" i="2"/>
  <c r="H310" i="2"/>
  <c r="R310" i="2"/>
  <c r="V310" i="2"/>
  <c r="AN310" i="2"/>
  <c r="AM310" i="2"/>
  <c r="P310" i="2"/>
  <c r="G402" i="2"/>
  <c r="G409" i="2" s="1"/>
  <c r="G411" i="2" s="1"/>
  <c r="AL310" i="2"/>
  <c r="Y310" i="2"/>
  <c r="J310" i="2"/>
  <c r="C403" i="2"/>
  <c r="AY310" i="2"/>
  <c r="BD310" i="2"/>
  <c r="N310" i="2"/>
  <c r="H268" i="2"/>
  <c r="H269" i="2" s="1"/>
  <c r="H270" i="2" s="1"/>
  <c r="C205" i="18"/>
  <c r="G853" i="2"/>
  <c r="G896" i="2"/>
  <c r="G906" i="2" s="1"/>
  <c r="G579" i="2"/>
  <c r="G850" i="2"/>
  <c r="AH402" i="2" l="1"/>
  <c r="AH409" i="2" s="1"/>
  <c r="AH411" i="2" s="1"/>
  <c r="AK402" i="2"/>
  <c r="AK409" i="2" s="1"/>
  <c r="AK411" i="2" s="1"/>
  <c r="AV402" i="2"/>
  <c r="AV409" i="2" s="1"/>
  <c r="AV411" i="2" s="1"/>
  <c r="AG402" i="2"/>
  <c r="AG409" i="2" s="1"/>
  <c r="AG411" i="2" s="1"/>
  <c r="AU853" i="2"/>
  <c r="AU876" i="2" s="1"/>
  <c r="AU975" i="2" s="1"/>
  <c r="AD853" i="2"/>
  <c r="AD876" i="2" s="1"/>
  <c r="AD975" i="2" s="1"/>
  <c r="I853" i="2"/>
  <c r="I876" i="2" s="1"/>
  <c r="I975" i="2" s="1"/>
  <c r="AX853" i="2"/>
  <c r="AX876" i="2" s="1"/>
  <c r="AX975" i="2" s="1"/>
  <c r="S853" i="2"/>
  <c r="S876" i="2" s="1"/>
  <c r="S975" i="2" s="1"/>
  <c r="AJ402" i="2"/>
  <c r="AJ409" i="2" s="1"/>
  <c r="AJ411" i="2" s="1"/>
  <c r="W402" i="2"/>
  <c r="W409" i="2" s="1"/>
  <c r="W411" i="2" s="1"/>
  <c r="K853" i="2"/>
  <c r="K876" i="2" s="1"/>
  <c r="K975" i="2" s="1"/>
  <c r="Q853" i="2"/>
  <c r="Q876" i="2" s="1"/>
  <c r="Q975" i="2" s="1"/>
  <c r="BC402" i="2"/>
  <c r="BC409" i="2" s="1"/>
  <c r="BC411" i="2" s="1"/>
  <c r="L853" i="2"/>
  <c r="L876" i="2" s="1"/>
  <c r="L975" i="2" s="1"/>
  <c r="U402" i="2"/>
  <c r="U409" i="2" s="1"/>
  <c r="U411" i="2" s="1"/>
  <c r="AP853" i="2"/>
  <c r="AP876" i="2" s="1"/>
  <c r="AP975" i="2" s="1"/>
  <c r="AO853" i="2"/>
  <c r="AO876" i="2" s="1"/>
  <c r="AO975" i="2" s="1"/>
  <c r="AA853" i="2"/>
  <c r="AA876" i="2" s="1"/>
  <c r="AA975" i="2" s="1"/>
  <c r="BB853" i="2"/>
  <c r="BB876" i="2" s="1"/>
  <c r="BB975" i="2" s="1"/>
  <c r="AA402" i="2"/>
  <c r="AA409" i="2" s="1"/>
  <c r="AA411" i="2" s="1"/>
  <c r="AO402" i="2"/>
  <c r="AO409" i="2" s="1"/>
  <c r="AO411" i="2" s="1"/>
  <c r="AB402" i="2"/>
  <c r="AB409" i="2" s="1"/>
  <c r="AB411" i="2" s="1"/>
  <c r="AC402" i="2"/>
  <c r="AC409" i="2" s="1"/>
  <c r="AC411" i="2" s="1"/>
  <c r="AR853" i="2"/>
  <c r="AR876" i="2" s="1"/>
  <c r="AR975" i="2" s="1"/>
  <c r="AE402" i="2"/>
  <c r="AE409" i="2" s="1"/>
  <c r="AE411" i="2" s="1"/>
  <c r="AQ853" i="2"/>
  <c r="AQ876" i="2" s="1"/>
  <c r="AQ975" i="2" s="1"/>
  <c r="AT402" i="2"/>
  <c r="AT409" i="2" s="1"/>
  <c r="AT411" i="2" s="1"/>
  <c r="BA853" i="2"/>
  <c r="BA876" i="2" s="1"/>
  <c r="BA975" i="2" s="1"/>
  <c r="M853" i="2"/>
  <c r="M876" i="2" s="1"/>
  <c r="M975" i="2" s="1"/>
  <c r="AB853" i="2"/>
  <c r="AB876" i="2" s="1"/>
  <c r="AB975" i="2" s="1"/>
  <c r="AI853" i="2"/>
  <c r="AI876" i="2" s="1"/>
  <c r="AI975" i="2" s="1"/>
  <c r="AZ853" i="2"/>
  <c r="AZ876" i="2" s="1"/>
  <c r="AZ975" i="2" s="1"/>
  <c r="M402" i="2"/>
  <c r="M409" i="2" s="1"/>
  <c r="M411" i="2" s="1"/>
  <c r="AZ402" i="2"/>
  <c r="AZ409" i="2" s="1"/>
  <c r="AZ411" i="2" s="1"/>
  <c r="AC853" i="2"/>
  <c r="AC876" i="2" s="1"/>
  <c r="AC975" i="2" s="1"/>
  <c r="AQ402" i="2"/>
  <c r="AQ409" i="2" s="1"/>
  <c r="AQ411" i="2" s="1"/>
  <c r="BA402" i="2"/>
  <c r="BA409" i="2" s="1"/>
  <c r="BA411" i="2" s="1"/>
  <c r="AT853" i="2"/>
  <c r="AT876" i="2" s="1"/>
  <c r="AT975" i="2" s="1"/>
  <c r="AI402" i="2"/>
  <c r="AI409" i="2" s="1"/>
  <c r="AI411" i="2" s="1"/>
  <c r="AE853" i="2"/>
  <c r="AE876" i="2" s="1"/>
  <c r="AE975" i="2" s="1"/>
  <c r="T853" i="2"/>
  <c r="T876" i="2" s="1"/>
  <c r="T975" i="2" s="1"/>
  <c r="AL853" i="2"/>
  <c r="AL876" i="2" s="1"/>
  <c r="AL975" i="2" s="1"/>
  <c r="X853" i="2"/>
  <c r="X876" i="2" s="1"/>
  <c r="X975" i="2" s="1"/>
  <c r="J853" i="2"/>
  <c r="J876" i="2" s="1"/>
  <c r="J975" i="2" s="1"/>
  <c r="AM853" i="2"/>
  <c r="AM876" i="2" s="1"/>
  <c r="AM975" i="2" s="1"/>
  <c r="V853" i="2"/>
  <c r="V876" i="2" s="1"/>
  <c r="V975" i="2" s="1"/>
  <c r="AS853" i="2"/>
  <c r="AS876" i="2" s="1"/>
  <c r="AS975" i="2" s="1"/>
  <c r="R853" i="2"/>
  <c r="R876" i="2" s="1"/>
  <c r="R975" i="2" s="1"/>
  <c r="Y853" i="2"/>
  <c r="Y876" i="2" s="1"/>
  <c r="Y975" i="2" s="1"/>
  <c r="H853" i="2"/>
  <c r="H876" i="2" s="1"/>
  <c r="H975" i="2" s="1"/>
  <c r="AU410" i="2"/>
  <c r="AU414" i="2" s="1"/>
  <c r="L410" i="2"/>
  <c r="L414" i="2" s="1"/>
  <c r="K410" i="2"/>
  <c r="K414" i="2" s="1"/>
  <c r="S410" i="2"/>
  <c r="S414" i="2" s="1"/>
  <c r="AX410" i="2"/>
  <c r="AX414" i="2" s="1"/>
  <c r="AR410" i="2"/>
  <c r="AR414" i="2" s="1"/>
  <c r="Q410" i="2"/>
  <c r="Q414" i="2" s="1"/>
  <c r="P402" i="2"/>
  <c r="P409" i="2" s="1"/>
  <c r="P411" i="2" s="1"/>
  <c r="P853" i="2"/>
  <c r="P876" i="2" s="1"/>
  <c r="P975" i="2" s="1"/>
  <c r="Y402" i="2"/>
  <c r="Y409" i="2" s="1"/>
  <c r="Y411" i="2" s="1"/>
  <c r="H402" i="2"/>
  <c r="H409" i="2" s="1"/>
  <c r="H411" i="2" s="1"/>
  <c r="J402" i="2"/>
  <c r="J409" i="2" s="1"/>
  <c r="J411" i="2" s="1"/>
  <c r="AM402" i="2"/>
  <c r="AM409" i="2" s="1"/>
  <c r="AM411" i="2" s="1"/>
  <c r="R402" i="2"/>
  <c r="R409" i="2" s="1"/>
  <c r="R411" i="2" s="1"/>
  <c r="V402" i="2"/>
  <c r="V409" i="2" s="1"/>
  <c r="V411" i="2" s="1"/>
  <c r="X402" i="2"/>
  <c r="X409" i="2" s="1"/>
  <c r="X411" i="2" s="1"/>
  <c r="AF402" i="2"/>
  <c r="AF409" i="2" s="1"/>
  <c r="AF411" i="2" s="1"/>
  <c r="AN402" i="2"/>
  <c r="AN409" i="2" s="1"/>
  <c r="AN411" i="2" s="1"/>
  <c r="Z402" i="2"/>
  <c r="Z409" i="2" s="1"/>
  <c r="Z411" i="2" s="1"/>
  <c r="C313" i="2"/>
  <c r="AL402" i="2"/>
  <c r="AL409" i="2" s="1"/>
  <c r="AL411" i="2" s="1"/>
  <c r="AN853" i="2"/>
  <c r="AN876" i="2" s="1"/>
  <c r="AN975" i="2" s="1"/>
  <c r="Z853" i="2"/>
  <c r="Z876" i="2" s="1"/>
  <c r="Z975" i="2" s="1"/>
  <c r="AF853" i="2"/>
  <c r="AF876" i="2" s="1"/>
  <c r="AF975" i="2" s="1"/>
  <c r="T402" i="2"/>
  <c r="T409" i="2" s="1"/>
  <c r="T411" i="2" s="1"/>
  <c r="AD410" i="2"/>
  <c r="AD414" i="2" s="1"/>
  <c r="AP410" i="2"/>
  <c r="AP414" i="2" s="1"/>
  <c r="BB410" i="2"/>
  <c r="BB414" i="2" s="1"/>
  <c r="N402" i="2"/>
  <c r="N409" i="2" s="1"/>
  <c r="N411" i="2" s="1"/>
  <c r="BD402" i="2"/>
  <c r="BD409" i="2" s="1"/>
  <c r="BD411" i="2" s="1"/>
  <c r="I410" i="2"/>
  <c r="I414" i="2" s="1"/>
  <c r="AW402" i="2"/>
  <c r="AW409" i="2" s="1"/>
  <c r="AW411" i="2" s="1"/>
  <c r="AY402" i="2"/>
  <c r="AY409" i="2" s="1"/>
  <c r="AY411" i="2" s="1"/>
  <c r="AS402" i="2"/>
  <c r="AS409" i="2" s="1"/>
  <c r="AS411" i="2" s="1"/>
  <c r="AW853" i="2"/>
  <c r="AW876" i="2" s="1"/>
  <c r="AW975" i="2" s="1"/>
  <c r="O853" i="2"/>
  <c r="O876" i="2" s="1"/>
  <c r="O975" i="2" s="1"/>
  <c r="O402" i="2"/>
  <c r="O409" i="2" s="1"/>
  <c r="O411" i="2" s="1"/>
  <c r="G410" i="2"/>
  <c r="G414" i="2" s="1"/>
  <c r="C311" i="2"/>
  <c r="C310" i="2"/>
  <c r="BD853" i="2"/>
  <c r="BD876" i="2" s="1"/>
  <c r="BD975" i="2" s="1"/>
  <c r="AY853" i="2"/>
  <c r="AY876" i="2" s="1"/>
  <c r="AY975" i="2" s="1"/>
  <c r="N853" i="2"/>
  <c r="N876" i="2" s="1"/>
  <c r="N975" i="2" s="1"/>
  <c r="H271" i="2"/>
  <c r="I266" i="2" s="1"/>
  <c r="H586" i="2"/>
  <c r="H798" i="2" s="1"/>
  <c r="H819" i="2" s="1"/>
  <c r="H576" i="2"/>
  <c r="H445" i="2"/>
  <c r="I445" i="2"/>
  <c r="J445" i="2"/>
  <c r="C850" i="2"/>
  <c r="G873" i="2"/>
  <c r="G580" i="2"/>
  <c r="G581" i="2" s="1"/>
  <c r="G876" i="2"/>
  <c r="AH410" i="2" l="1"/>
  <c r="AH414" i="2" s="1"/>
  <c r="AV410" i="2"/>
  <c r="AV414" i="2" s="1"/>
  <c r="AK410" i="2"/>
  <c r="AK414" i="2" s="1"/>
  <c r="AK784" i="2" s="1"/>
  <c r="AA410" i="2"/>
  <c r="AA414" i="2" s="1"/>
  <c r="U410" i="2"/>
  <c r="U414" i="2" s="1"/>
  <c r="AG410" i="2"/>
  <c r="AG414" i="2" s="1"/>
  <c r="AJ410" i="2"/>
  <c r="AJ414" i="2" s="1"/>
  <c r="W410" i="2"/>
  <c r="W414" i="2" s="1"/>
  <c r="BC410" i="2"/>
  <c r="BC414" i="2" s="1"/>
  <c r="AE410" i="2"/>
  <c r="AE414" i="2" s="1"/>
  <c r="M410" i="2"/>
  <c r="M414" i="2" s="1"/>
  <c r="AQ410" i="2"/>
  <c r="AQ414" i="2" s="1"/>
  <c r="AO410" i="2"/>
  <c r="AO414" i="2" s="1"/>
  <c r="AC410" i="2"/>
  <c r="AC414" i="2" s="1"/>
  <c r="AB410" i="2"/>
  <c r="AB414" i="2" s="1"/>
  <c r="AZ410" i="2"/>
  <c r="AZ414" i="2" s="1"/>
  <c r="AT410" i="2"/>
  <c r="AT414" i="2" s="1"/>
  <c r="BA410" i="2"/>
  <c r="BA414" i="2" s="1"/>
  <c r="AI410" i="2"/>
  <c r="AI414" i="2" s="1"/>
  <c r="I855" i="2"/>
  <c r="I878" i="2" s="1"/>
  <c r="I977" i="2" s="1"/>
  <c r="AP800" i="2"/>
  <c r="AP821" i="2" s="1"/>
  <c r="AX428" i="2"/>
  <c r="AX436" i="2" s="1"/>
  <c r="AX447" i="2" s="1"/>
  <c r="S428" i="2"/>
  <c r="S436" i="2" s="1"/>
  <c r="S447" i="2" s="1"/>
  <c r="AD428" i="2"/>
  <c r="AD436" i="2" s="1"/>
  <c r="AD448" i="2" s="1"/>
  <c r="K855" i="2"/>
  <c r="K878" i="2" s="1"/>
  <c r="K977" i="2" s="1"/>
  <c r="L584" i="2"/>
  <c r="G855" i="2"/>
  <c r="G878" i="2" s="1"/>
  <c r="G977" i="2" s="1"/>
  <c r="Q584" i="2"/>
  <c r="AR855" i="2"/>
  <c r="AR878" i="2" s="1"/>
  <c r="AR977" i="2" s="1"/>
  <c r="AU855" i="2"/>
  <c r="AU878" i="2" s="1"/>
  <c r="AU977" i="2" s="1"/>
  <c r="S584" i="2"/>
  <c r="AR584" i="2"/>
  <c r="AU800" i="2"/>
  <c r="AU821" i="2" s="1"/>
  <c r="AR428" i="2"/>
  <c r="AR436" i="2" s="1"/>
  <c r="AR447" i="2" s="1"/>
  <c r="AU531" i="2"/>
  <c r="AU428" i="2"/>
  <c r="AU436" i="2" s="1"/>
  <c r="AU448" i="2" s="1"/>
  <c r="AU584" i="2"/>
  <c r="S800" i="2"/>
  <c r="S821" i="2" s="1"/>
  <c r="S531" i="2"/>
  <c r="S855" i="2"/>
  <c r="S878" i="2" s="1"/>
  <c r="S977" i="2" s="1"/>
  <c r="L531" i="2"/>
  <c r="AR800" i="2"/>
  <c r="AR821" i="2" s="1"/>
  <c r="Q800" i="2"/>
  <c r="Q821" i="2" s="1"/>
  <c r="AR531" i="2"/>
  <c r="Q855" i="2"/>
  <c r="Q878" i="2" s="1"/>
  <c r="Q977" i="2" s="1"/>
  <c r="L800" i="2"/>
  <c r="L821" i="2" s="1"/>
  <c r="L855" i="2"/>
  <c r="L878" i="2" s="1"/>
  <c r="L977" i="2" s="1"/>
  <c r="L428" i="2"/>
  <c r="L436" i="2" s="1"/>
  <c r="L447" i="2" s="1"/>
  <c r="AX800" i="2"/>
  <c r="AX821" i="2" s="1"/>
  <c r="AX584" i="2"/>
  <c r="K531" i="2"/>
  <c r="K800" i="2"/>
  <c r="K821" i="2" s="1"/>
  <c r="AY410" i="2"/>
  <c r="AY414" i="2" s="1"/>
  <c r="K584" i="2"/>
  <c r="AX855" i="2"/>
  <c r="AX878" i="2" s="1"/>
  <c r="AX977" i="2" s="1"/>
  <c r="AX531" i="2"/>
  <c r="AS410" i="2"/>
  <c r="AS414" i="2" s="1"/>
  <c r="V410" i="2"/>
  <c r="V414" i="2" s="1"/>
  <c r="R410" i="2"/>
  <c r="R414" i="2" s="1"/>
  <c r="Q428" i="2"/>
  <c r="Q436" i="2" s="1"/>
  <c r="Q531" i="2"/>
  <c r="Y410" i="2"/>
  <c r="Y414" i="2" s="1"/>
  <c r="K428" i="2"/>
  <c r="K436" i="2" s="1"/>
  <c r="K447" i="2" s="1"/>
  <c r="J410" i="2"/>
  <c r="J414" i="2" s="1"/>
  <c r="AM410" i="2"/>
  <c r="AM414" i="2" s="1"/>
  <c r="P410" i="2"/>
  <c r="P414" i="2" s="1"/>
  <c r="AD800" i="2"/>
  <c r="AD821" i="2" s="1"/>
  <c r="AD855" i="2"/>
  <c r="AD878" i="2" s="1"/>
  <c r="AD977" i="2" s="1"/>
  <c r="H410" i="2"/>
  <c r="H414" i="2" s="1"/>
  <c r="BB428" i="2"/>
  <c r="BB436" i="2" s="1"/>
  <c r="BB447" i="2" s="1"/>
  <c r="BB800" i="2"/>
  <c r="BB821" i="2" s="1"/>
  <c r="BB531" i="2"/>
  <c r="X410" i="2"/>
  <c r="X414" i="2" s="1"/>
  <c r="AD531" i="2"/>
  <c r="AD584" i="2"/>
  <c r="AN410" i="2"/>
  <c r="AN414" i="2" s="1"/>
  <c r="AF410" i="2"/>
  <c r="AF414" i="2" s="1"/>
  <c r="BB584" i="2"/>
  <c r="Z410" i="2"/>
  <c r="Z414" i="2" s="1"/>
  <c r="AL410" i="2"/>
  <c r="AL414" i="2" s="1"/>
  <c r="AP584" i="2"/>
  <c r="AP855" i="2"/>
  <c r="AP878" i="2" s="1"/>
  <c r="AP977" i="2" s="1"/>
  <c r="AP428" i="2"/>
  <c r="AP436" i="2" s="1"/>
  <c r="AP447" i="2" s="1"/>
  <c r="AP531" i="2"/>
  <c r="BB855" i="2"/>
  <c r="BB878" i="2" s="1"/>
  <c r="BB977" i="2" s="1"/>
  <c r="T410" i="2"/>
  <c r="T414" i="2" s="1"/>
  <c r="I428" i="2"/>
  <c r="I436" i="2" s="1"/>
  <c r="I800" i="2"/>
  <c r="I821" i="2" s="1"/>
  <c r="I584" i="2"/>
  <c r="I531" i="2"/>
  <c r="AW410" i="2"/>
  <c r="AW414" i="2" s="1"/>
  <c r="N410" i="2"/>
  <c r="N414" i="2" s="1"/>
  <c r="BD410" i="2"/>
  <c r="BD414" i="2" s="1"/>
  <c r="G800" i="2"/>
  <c r="G821" i="2" s="1"/>
  <c r="G531" i="2"/>
  <c r="G584" i="2"/>
  <c r="G428" i="2"/>
  <c r="G436" i="2" s="1"/>
  <c r="C402" i="2"/>
  <c r="O410" i="2"/>
  <c r="O414" i="2" s="1"/>
  <c r="C409" i="2"/>
  <c r="C853" i="2"/>
  <c r="C876" i="2"/>
  <c r="G975" i="2"/>
  <c r="C975" i="2" s="1"/>
  <c r="F999" i="2" s="1"/>
  <c r="H896" i="2"/>
  <c r="H906" i="2" s="1"/>
  <c r="H579" i="2"/>
  <c r="C873" i="2"/>
  <c r="G972" i="2"/>
  <c r="C972" i="2" s="1"/>
  <c r="F996" i="2" s="1"/>
  <c r="I268" i="2"/>
  <c r="I269" i="2" s="1"/>
  <c r="AH800" i="2" l="1"/>
  <c r="AH821" i="2" s="1"/>
  <c r="AV531" i="2"/>
  <c r="AA855" i="2"/>
  <c r="AA878" i="2" s="1"/>
  <c r="AA977" i="2" s="1"/>
  <c r="AH531" i="2"/>
  <c r="AH855" i="2"/>
  <c r="AH878" i="2" s="1"/>
  <c r="AH977" i="2" s="1"/>
  <c r="AH428" i="2"/>
  <c r="AH436" i="2" s="1"/>
  <c r="AH447" i="2" s="1"/>
  <c r="AH584" i="2"/>
  <c r="U584" i="2"/>
  <c r="U855" i="2"/>
  <c r="U878" i="2" s="1"/>
  <c r="U977" i="2" s="1"/>
  <c r="AK584" i="2"/>
  <c r="AK531" i="2"/>
  <c r="AV428" i="2"/>
  <c r="AV436" i="2" s="1"/>
  <c r="AV448" i="2" s="1"/>
  <c r="AV800" i="2"/>
  <c r="AV821" i="2" s="1"/>
  <c r="AV855" i="2"/>
  <c r="AV878" i="2" s="1"/>
  <c r="AV977" i="2" s="1"/>
  <c r="AV584" i="2"/>
  <c r="AJ855" i="2"/>
  <c r="AJ878" i="2" s="1"/>
  <c r="AJ977" i="2" s="1"/>
  <c r="AA800" i="2"/>
  <c r="AA821" i="2" s="1"/>
  <c r="AA428" i="2"/>
  <c r="AA436" i="2" s="1"/>
  <c r="AA447" i="2" s="1"/>
  <c r="U428" i="2"/>
  <c r="U436" i="2" s="1"/>
  <c r="U448" i="2" s="1"/>
  <c r="U800" i="2"/>
  <c r="U821" i="2" s="1"/>
  <c r="AA531" i="2"/>
  <c r="U531" i="2"/>
  <c r="AA584" i="2"/>
  <c r="W584" i="2"/>
  <c r="AI800" i="2"/>
  <c r="AI821" i="2" s="1"/>
  <c r="AG800" i="2"/>
  <c r="AG821" i="2" s="1"/>
  <c r="AG428" i="2"/>
  <c r="AG436" i="2" s="1"/>
  <c r="AG447" i="2" s="1"/>
  <c r="AK783" i="2"/>
  <c r="AK428" i="2"/>
  <c r="AK436" i="2" s="1"/>
  <c r="AK447" i="2" s="1"/>
  <c r="AK800" i="2"/>
  <c r="AK821" i="2" s="1"/>
  <c r="W855" i="2"/>
  <c r="W878" i="2" s="1"/>
  <c r="W977" i="2" s="1"/>
  <c r="W800" i="2"/>
  <c r="W821" i="2" s="1"/>
  <c r="W531" i="2"/>
  <c r="W428" i="2"/>
  <c r="W436" i="2" s="1"/>
  <c r="W447" i="2" s="1"/>
  <c r="AK855" i="2"/>
  <c r="AK878" i="2" s="1"/>
  <c r="AK977" i="2" s="1"/>
  <c r="M800" i="2"/>
  <c r="M821" i="2" s="1"/>
  <c r="AJ800" i="2"/>
  <c r="AJ821" i="2" s="1"/>
  <c r="AG531" i="2"/>
  <c r="AJ584" i="2"/>
  <c r="AG855" i="2"/>
  <c r="AG878" i="2" s="1"/>
  <c r="AG977" i="2" s="1"/>
  <c r="AJ531" i="2"/>
  <c r="AG584" i="2"/>
  <c r="AJ428" i="2"/>
  <c r="AJ436" i="2" s="1"/>
  <c r="AJ448" i="2" s="1"/>
  <c r="AE531" i="2"/>
  <c r="AE584" i="2"/>
  <c r="AQ800" i="2"/>
  <c r="AQ821" i="2" s="1"/>
  <c r="AQ428" i="2"/>
  <c r="AQ436" i="2" s="1"/>
  <c r="AQ447" i="2" s="1"/>
  <c r="AT855" i="2"/>
  <c r="AT878" i="2" s="1"/>
  <c r="AT977" i="2" s="1"/>
  <c r="AE428" i="2"/>
  <c r="AE436" i="2" s="1"/>
  <c r="AI445" i="2" s="1"/>
  <c r="AB531" i="2"/>
  <c r="BC800" i="2"/>
  <c r="BC821" i="2" s="1"/>
  <c r="BC584" i="2"/>
  <c r="BC531" i="2"/>
  <c r="BC428" i="2"/>
  <c r="BC436" i="2" s="1"/>
  <c r="BC447" i="2" s="1"/>
  <c r="BC855" i="2"/>
  <c r="BC878" i="2" s="1"/>
  <c r="BC977" i="2" s="1"/>
  <c r="AE855" i="2"/>
  <c r="AE878" i="2" s="1"/>
  <c r="AE977" i="2" s="1"/>
  <c r="AE800" i="2"/>
  <c r="AE821" i="2" s="1"/>
  <c r="M428" i="2"/>
  <c r="M436" i="2" s="1"/>
  <c r="M447" i="2" s="1"/>
  <c r="AC800" i="2"/>
  <c r="AC821" i="2" s="1"/>
  <c r="AC584" i="2"/>
  <c r="AC855" i="2"/>
  <c r="AC878" i="2" s="1"/>
  <c r="AC977" i="2" s="1"/>
  <c r="AC531" i="2"/>
  <c r="AC428" i="2"/>
  <c r="AC436" i="2" s="1"/>
  <c r="AC447" i="2" s="1"/>
  <c r="BA531" i="2"/>
  <c r="BA428" i="2"/>
  <c r="BA436" i="2" s="1"/>
  <c r="BA447" i="2" s="1"/>
  <c r="BA800" i="2"/>
  <c r="BA821" i="2" s="1"/>
  <c r="AQ584" i="2"/>
  <c r="AQ531" i="2"/>
  <c r="AQ855" i="2"/>
  <c r="AQ878" i="2" s="1"/>
  <c r="AQ977" i="2" s="1"/>
  <c r="AT531" i="2"/>
  <c r="AI531" i="2"/>
  <c r="AB428" i="2"/>
  <c r="AB436" i="2" s="1"/>
  <c r="AB448" i="2" s="1"/>
  <c r="M531" i="2"/>
  <c r="AI584" i="2"/>
  <c r="AB584" i="2"/>
  <c r="M855" i="2"/>
  <c r="M878" i="2" s="1"/>
  <c r="M977" i="2" s="1"/>
  <c r="AI855" i="2"/>
  <c r="AI878" i="2" s="1"/>
  <c r="AI977" i="2" s="1"/>
  <c r="AB800" i="2"/>
  <c r="AB821" i="2" s="1"/>
  <c r="M584" i="2"/>
  <c r="AI428" i="2"/>
  <c r="AI436" i="2" s="1"/>
  <c r="AI447" i="2" s="1"/>
  <c r="BA855" i="2"/>
  <c r="BA878" i="2" s="1"/>
  <c r="BA977" i="2" s="1"/>
  <c r="BA584" i="2"/>
  <c r="AO531" i="2"/>
  <c r="AB855" i="2"/>
  <c r="AB878" i="2" s="1"/>
  <c r="AB977" i="2" s="1"/>
  <c r="AZ584" i="2"/>
  <c r="AZ428" i="2"/>
  <c r="AZ436" i="2" s="1"/>
  <c r="AZ448" i="2" s="1"/>
  <c r="AO855" i="2"/>
  <c r="AO878" i="2" s="1"/>
  <c r="AO977" i="2" s="1"/>
  <c r="AZ531" i="2"/>
  <c r="AO800" i="2"/>
  <c r="AO821" i="2" s="1"/>
  <c r="AO584" i="2"/>
  <c r="AZ855" i="2"/>
  <c r="AZ878" i="2" s="1"/>
  <c r="AZ977" i="2" s="1"/>
  <c r="AZ800" i="2"/>
  <c r="AZ821" i="2" s="1"/>
  <c r="AO428" i="2"/>
  <c r="AO436" i="2" s="1"/>
  <c r="AO447" i="2" s="1"/>
  <c r="AT428" i="2"/>
  <c r="AT436" i="2" s="1"/>
  <c r="AT447" i="2" s="1"/>
  <c r="AT584" i="2"/>
  <c r="AT800" i="2"/>
  <c r="AT821" i="2" s="1"/>
  <c r="AT784" i="2"/>
  <c r="AA784" i="2"/>
  <c r="BB784" i="2"/>
  <c r="BB783" i="2"/>
  <c r="AA783" i="2"/>
  <c r="AT783" i="2"/>
  <c r="S448" i="2"/>
  <c r="AD447" i="2"/>
  <c r="AX448" i="2"/>
  <c r="O855" i="2"/>
  <c r="O878" i="2" s="1"/>
  <c r="O977" i="2" s="1"/>
  <c r="Y855" i="2"/>
  <c r="Y878" i="2" s="1"/>
  <c r="Y977" i="2" s="1"/>
  <c r="P855" i="2"/>
  <c r="P878" i="2" s="1"/>
  <c r="P977" i="2" s="1"/>
  <c r="AF800" i="2"/>
  <c r="AF821" i="2" s="1"/>
  <c r="X800" i="2"/>
  <c r="X821" i="2" s="1"/>
  <c r="AM855" i="2"/>
  <c r="AM878" i="2" s="1"/>
  <c r="AM977" i="2" s="1"/>
  <c r="BD855" i="2"/>
  <c r="BD878" i="2" s="1"/>
  <c r="BD977" i="2" s="1"/>
  <c r="Z428" i="2"/>
  <c r="Z436" i="2" s="1"/>
  <c r="Z447" i="2" s="1"/>
  <c r="J855" i="2"/>
  <c r="J878" i="2" s="1"/>
  <c r="J977" i="2" s="1"/>
  <c r="N855" i="2"/>
  <c r="N878" i="2" s="1"/>
  <c r="AL428" i="2"/>
  <c r="AL436" i="2" s="1"/>
  <c r="AL448" i="2" s="1"/>
  <c r="AN800" i="2"/>
  <c r="AN821" i="2" s="1"/>
  <c r="R428" i="2"/>
  <c r="R436" i="2" s="1"/>
  <c r="W445" i="2" s="1"/>
  <c r="AW855" i="2"/>
  <c r="AW878" i="2" s="1"/>
  <c r="AW977" i="2" s="1"/>
  <c r="H584" i="2"/>
  <c r="AY584" i="2"/>
  <c r="L783" i="2"/>
  <c r="S784" i="2"/>
  <c r="AQ783" i="2"/>
  <c r="AU784" i="2"/>
  <c r="AU783" i="2"/>
  <c r="S783" i="2"/>
  <c r="AZ445" i="2"/>
  <c r="AU447" i="2"/>
  <c r="K783" i="2"/>
  <c r="AR783" i="2"/>
  <c r="AR784" i="2"/>
  <c r="AR448" i="2"/>
  <c r="P800" i="2"/>
  <c r="P821" i="2" s="1"/>
  <c r="K784" i="2"/>
  <c r="AO784" i="2"/>
  <c r="L448" i="2"/>
  <c r="Q445" i="2"/>
  <c r="AO783" i="2"/>
  <c r="AG784" i="2"/>
  <c r="AM531" i="2"/>
  <c r="P584" i="2"/>
  <c r="P531" i="2"/>
  <c r="P428" i="2"/>
  <c r="P436" i="2" s="1"/>
  <c r="U445" i="2" s="1"/>
  <c r="AQ784" i="2"/>
  <c r="AG783" i="2"/>
  <c r="R855" i="2"/>
  <c r="R878" i="2" s="1"/>
  <c r="R977" i="2" s="1"/>
  <c r="R800" i="2"/>
  <c r="R821" i="2" s="1"/>
  <c r="AM584" i="2"/>
  <c r="Y531" i="2"/>
  <c r="Y800" i="2"/>
  <c r="Y821" i="2" s="1"/>
  <c r="AD783" i="2"/>
  <c r="AH783" i="2"/>
  <c r="AP784" i="2"/>
  <c r="U783" i="2"/>
  <c r="L784" i="2"/>
  <c r="BC784" i="2"/>
  <c r="AV784" i="2"/>
  <c r="AI783" i="2"/>
  <c r="R584" i="2"/>
  <c r="R531" i="2"/>
  <c r="P445" i="2"/>
  <c r="J428" i="2"/>
  <c r="J436" i="2" s="1"/>
  <c r="J447" i="2" s="1"/>
  <c r="K448" i="2"/>
  <c r="AX783" i="2"/>
  <c r="AX784" i="2"/>
  <c r="Z800" i="2"/>
  <c r="Z821" i="2" s="1"/>
  <c r="J531" i="2"/>
  <c r="AD784" i="2"/>
  <c r="J800" i="2"/>
  <c r="J821" i="2" s="1"/>
  <c r="J584" i="2"/>
  <c r="AS531" i="2"/>
  <c r="AS800" i="2"/>
  <c r="AS821" i="2" s="1"/>
  <c r="AN584" i="2"/>
  <c r="AY800" i="2"/>
  <c r="AY821" i="2" s="1"/>
  <c r="AY531" i="2"/>
  <c r="AY428" i="2"/>
  <c r="AY436" i="2" s="1"/>
  <c r="AY448" i="2" s="1"/>
  <c r="AY855" i="2"/>
  <c r="AY878" i="2" s="1"/>
  <c r="AY977" i="2" s="1"/>
  <c r="AS584" i="2"/>
  <c r="Y428" i="2"/>
  <c r="Y436" i="2" s="1"/>
  <c r="AS855" i="2"/>
  <c r="AS878" i="2" s="1"/>
  <c r="AS977" i="2" s="1"/>
  <c r="AI784" i="2"/>
  <c r="Y584" i="2"/>
  <c r="AS428" i="2"/>
  <c r="AS436" i="2" s="1"/>
  <c r="AW445" i="2" s="1"/>
  <c r="V531" i="2"/>
  <c r="V800" i="2"/>
  <c r="V821" i="2" s="1"/>
  <c r="V428" i="2"/>
  <c r="V436" i="2" s="1"/>
  <c r="AA445" i="2" s="1"/>
  <c r="V855" i="2"/>
  <c r="V878" i="2" s="1"/>
  <c r="V977" i="2" s="1"/>
  <c r="V584" i="2"/>
  <c r="Q784" i="2"/>
  <c r="Q783" i="2"/>
  <c r="Q447" i="2"/>
  <c r="Q448" i="2"/>
  <c r="AM800" i="2"/>
  <c r="AM821" i="2" s="1"/>
  <c r="AM428" i="2"/>
  <c r="AM436" i="2" s="1"/>
  <c r="AM447" i="2" s="1"/>
  <c r="BB448" i="2"/>
  <c r="H428" i="2"/>
  <c r="H436" i="2" s="1"/>
  <c r="H448" i="2" s="1"/>
  <c r="H855" i="2"/>
  <c r="H878" i="2" s="1"/>
  <c r="H977" i="2" s="1"/>
  <c r="H800" i="2"/>
  <c r="H821" i="2" s="1"/>
  <c r="H531" i="2"/>
  <c r="X428" i="2"/>
  <c r="X436" i="2" s="1"/>
  <c r="X531" i="2"/>
  <c r="X855" i="2"/>
  <c r="X878" i="2" s="1"/>
  <c r="X977" i="2" s="1"/>
  <c r="X584" i="2"/>
  <c r="AN531" i="2"/>
  <c r="AN855" i="2"/>
  <c r="AN878" i="2" s="1"/>
  <c r="AN977" i="2" s="1"/>
  <c r="AN428" i="2"/>
  <c r="AN436" i="2" s="1"/>
  <c r="AN448" i="2" s="1"/>
  <c r="AF531" i="2"/>
  <c r="AF584" i="2"/>
  <c r="AF855" i="2"/>
  <c r="AF878" i="2" s="1"/>
  <c r="AF977" i="2" s="1"/>
  <c r="AF428" i="2"/>
  <c r="AF436" i="2" s="1"/>
  <c r="AF447" i="2" s="1"/>
  <c r="Z855" i="2"/>
  <c r="Z878" i="2" s="1"/>
  <c r="Z977" i="2" s="1"/>
  <c r="AL531" i="2"/>
  <c r="AP448" i="2"/>
  <c r="AL584" i="2"/>
  <c r="AL855" i="2"/>
  <c r="AL878" i="2" s="1"/>
  <c r="AL977" i="2" s="1"/>
  <c r="AL800" i="2"/>
  <c r="AL821" i="2" s="1"/>
  <c r="Z584" i="2"/>
  <c r="Z531" i="2"/>
  <c r="M783" i="2"/>
  <c r="M784" i="2"/>
  <c r="G448" i="2"/>
  <c r="G449" i="2" s="1"/>
  <c r="G437" i="2" s="1"/>
  <c r="G438" i="2" s="1"/>
  <c r="G462" i="2" s="1"/>
  <c r="G463" i="2" s="1"/>
  <c r="G464" i="2" s="1"/>
  <c r="G858" i="2" s="1"/>
  <c r="G881" i="2" s="1"/>
  <c r="G980" i="2" s="1"/>
  <c r="K445" i="2"/>
  <c r="BC783" i="2"/>
  <c r="U784" i="2"/>
  <c r="AJ784" i="2"/>
  <c r="AJ783" i="2"/>
  <c r="AH784" i="2"/>
  <c r="AP783" i="2"/>
  <c r="G447" i="2"/>
  <c r="T800" i="2"/>
  <c r="T821" i="2" s="1"/>
  <c r="T855" i="2"/>
  <c r="T878" i="2" s="1"/>
  <c r="T977" i="2" s="1"/>
  <c r="T531" i="2"/>
  <c r="T584" i="2"/>
  <c r="T428" i="2"/>
  <c r="T436" i="2" s="1"/>
  <c r="W783" i="2"/>
  <c r="W784" i="2"/>
  <c r="AV783" i="2"/>
  <c r="C410" i="2"/>
  <c r="BA783" i="2"/>
  <c r="BA784" i="2"/>
  <c r="AC784" i="2"/>
  <c r="AC783" i="2"/>
  <c r="AW800" i="2"/>
  <c r="AW821" i="2" s="1"/>
  <c r="AW584" i="2"/>
  <c r="AW531" i="2"/>
  <c r="AW428" i="2"/>
  <c r="AW436" i="2" s="1"/>
  <c r="G784" i="2"/>
  <c r="G783" i="2"/>
  <c r="C411" i="2"/>
  <c r="BD584" i="2"/>
  <c r="BD531" i="2"/>
  <c r="BD800" i="2"/>
  <c r="BD821" i="2" s="1"/>
  <c r="BD428" i="2"/>
  <c r="BD436" i="2" s="1"/>
  <c r="N531" i="2"/>
  <c r="N584" i="2"/>
  <c r="N428" i="2"/>
  <c r="N800" i="2"/>
  <c r="N821" i="2" s="1"/>
  <c r="I447" i="2"/>
  <c r="I448" i="2"/>
  <c r="O428" i="2"/>
  <c r="O436" i="2" s="1"/>
  <c r="O531" i="2"/>
  <c r="O800" i="2"/>
  <c r="O821" i="2" s="1"/>
  <c r="O584" i="2"/>
  <c r="AE784" i="2"/>
  <c r="AE783" i="2"/>
  <c r="I784" i="2"/>
  <c r="I783" i="2"/>
  <c r="AB784" i="2"/>
  <c r="AB783" i="2"/>
  <c r="AZ784" i="2"/>
  <c r="AZ783" i="2"/>
  <c r="I270" i="2"/>
  <c r="C204" i="18"/>
  <c r="C201" i="18"/>
  <c r="D15" i="18"/>
  <c r="H580" i="2"/>
  <c r="H581" i="2" s="1"/>
  <c r="AL445" i="2" l="1"/>
  <c r="BA445" i="2"/>
  <c r="AO445" i="2"/>
  <c r="AK448" i="2"/>
  <c r="AY445" i="2"/>
  <c r="AH448" i="2"/>
  <c r="U447" i="2"/>
  <c r="AV447" i="2"/>
  <c r="W448" i="2"/>
  <c r="AA448" i="2"/>
  <c r="AU445" i="2"/>
  <c r="AG448" i="2"/>
  <c r="AH445" i="2"/>
  <c r="AV445" i="2"/>
  <c r="AQ448" i="2"/>
  <c r="AN445" i="2"/>
  <c r="AT448" i="2"/>
  <c r="AE448" i="2"/>
  <c r="AJ447" i="2"/>
  <c r="M448" i="2"/>
  <c r="AF445" i="2"/>
  <c r="AE447" i="2"/>
  <c r="AZ447" i="2"/>
  <c r="BC448" i="2"/>
  <c r="AB447" i="2"/>
  <c r="AC448" i="2"/>
  <c r="AG445" i="2"/>
  <c r="AM445" i="2"/>
  <c r="AT445" i="2"/>
  <c r="BA448" i="2"/>
  <c r="AO448" i="2"/>
  <c r="AI448" i="2"/>
  <c r="N445" i="2"/>
  <c r="AP445" i="2"/>
  <c r="L445" i="2"/>
  <c r="AD445" i="2"/>
  <c r="AJ445" i="2"/>
  <c r="BC445" i="2"/>
  <c r="Z445" i="2"/>
  <c r="V445" i="2"/>
  <c r="R447" i="2"/>
  <c r="AS784" i="2"/>
  <c r="AS783" i="2"/>
  <c r="R448" i="2"/>
  <c r="AQ445" i="2"/>
  <c r="AL447" i="2"/>
  <c r="Z448" i="2"/>
  <c r="AE445" i="2"/>
  <c r="AY783" i="2"/>
  <c r="R783" i="2"/>
  <c r="P447" i="2"/>
  <c r="P784" i="2"/>
  <c r="P783" i="2"/>
  <c r="P448" i="2"/>
  <c r="R784" i="2"/>
  <c r="O445" i="2"/>
  <c r="BD445" i="2"/>
  <c r="J448" i="2"/>
  <c r="AS448" i="2"/>
  <c r="AX445" i="2"/>
  <c r="AN784" i="2"/>
  <c r="X783" i="2"/>
  <c r="AF783" i="2"/>
  <c r="J784" i="2"/>
  <c r="AM783" i="2"/>
  <c r="AL784" i="2"/>
  <c r="Y784" i="2"/>
  <c r="H784" i="2"/>
  <c r="AY784" i="2"/>
  <c r="J783" i="2"/>
  <c r="AR445" i="2"/>
  <c r="AM448" i="2"/>
  <c r="AY447" i="2"/>
  <c r="AS447" i="2"/>
  <c r="H447" i="2"/>
  <c r="Y783" i="2"/>
  <c r="Y447" i="2"/>
  <c r="Y448" i="2"/>
  <c r="AM784" i="2"/>
  <c r="AK445" i="2"/>
  <c r="V783" i="2"/>
  <c r="V784" i="2"/>
  <c r="V447" i="2"/>
  <c r="V448" i="2"/>
  <c r="X784" i="2"/>
  <c r="M445" i="2"/>
  <c r="AN783" i="2"/>
  <c r="H783" i="2"/>
  <c r="X447" i="2"/>
  <c r="AB445" i="2"/>
  <c r="AC445" i="2"/>
  <c r="X448" i="2"/>
  <c r="AF784" i="2"/>
  <c r="AF448" i="2"/>
  <c r="AN447" i="2"/>
  <c r="AS445" i="2"/>
  <c r="AL783" i="2"/>
  <c r="Z783" i="2"/>
  <c r="Z784" i="2"/>
  <c r="G450" i="2"/>
  <c r="H446" i="2" s="1"/>
  <c r="H449" i="2" s="1"/>
  <c r="H437" i="2" s="1"/>
  <c r="H438" i="2" s="1"/>
  <c r="H462" i="2" s="1"/>
  <c r="H463" i="2" s="1"/>
  <c r="H464" i="2" s="1"/>
  <c r="H858" i="2" s="1"/>
  <c r="H881" i="2" s="1"/>
  <c r="H980" i="2" s="1"/>
  <c r="G456" i="2"/>
  <c r="G457" i="2" s="1"/>
  <c r="G458" i="2" s="1"/>
  <c r="H454" i="2" s="1"/>
  <c r="Y445" i="2"/>
  <c r="X445" i="2"/>
  <c r="T447" i="2"/>
  <c r="T448" i="2"/>
  <c r="T783" i="2"/>
  <c r="T784" i="2"/>
  <c r="C855" i="2"/>
  <c r="C878" i="2"/>
  <c r="N977" i="2"/>
  <c r="C977" i="2" s="1"/>
  <c r="F1001" i="2" s="1"/>
  <c r="C584" i="2"/>
  <c r="C531" i="2"/>
  <c r="C414" i="2"/>
  <c r="BD783" i="2"/>
  <c r="BD784" i="2"/>
  <c r="N784" i="2"/>
  <c r="N783" i="2"/>
  <c r="BD447" i="2"/>
  <c r="BD448" i="2"/>
  <c r="C800" i="2"/>
  <c r="O447" i="2"/>
  <c r="O448" i="2"/>
  <c r="T445" i="2"/>
  <c r="C821" i="2"/>
  <c r="BB445" i="2"/>
  <c r="AW448" i="2"/>
  <c r="AW447" i="2"/>
  <c r="O784" i="2"/>
  <c r="O783" i="2"/>
  <c r="AW783" i="2"/>
  <c r="AW784" i="2"/>
  <c r="N436" i="2"/>
  <c r="R445" i="2" s="1"/>
  <c r="C428" i="2"/>
  <c r="I586" i="2"/>
  <c r="I798" i="2" s="1"/>
  <c r="I819" i="2" s="1"/>
  <c r="I576" i="2"/>
  <c r="I271" i="2"/>
  <c r="J266" i="2" s="1"/>
  <c r="H456" i="2" l="1"/>
  <c r="H457" i="2" s="1"/>
  <c r="H439" i="2" s="1"/>
  <c r="G439" i="2"/>
  <c r="H450" i="2"/>
  <c r="I446" i="2" s="1"/>
  <c r="I449" i="2" s="1"/>
  <c r="I437" i="2" s="1"/>
  <c r="I438" i="2" s="1"/>
  <c r="I462" i="2" s="1"/>
  <c r="I463" i="2" s="1"/>
  <c r="I464" i="2" s="1"/>
  <c r="I858" i="2" s="1"/>
  <c r="I881" i="2" s="1"/>
  <c r="I980" i="2" s="1"/>
  <c r="C784" i="2"/>
  <c r="C783" i="2"/>
  <c r="N447" i="2"/>
  <c r="C436" i="2"/>
  <c r="S445" i="2"/>
  <c r="N448" i="2"/>
  <c r="I896" i="2"/>
  <c r="I906" i="2" s="1"/>
  <c r="I579" i="2"/>
  <c r="J268" i="2"/>
  <c r="J269" i="2" s="1"/>
  <c r="J270" i="2" s="1"/>
  <c r="G440" i="2" l="1"/>
  <c r="G751" i="2" s="1"/>
  <c r="H440" i="2"/>
  <c r="H856" i="2" s="1"/>
  <c r="H879" i="2" s="1"/>
  <c r="H978" i="2" s="1"/>
  <c r="H458" i="2"/>
  <c r="I454" i="2" s="1"/>
  <c r="I450" i="2"/>
  <c r="J446" i="2" s="1"/>
  <c r="J449" i="2" s="1"/>
  <c r="J437" i="2" s="1"/>
  <c r="J438" i="2" s="1"/>
  <c r="I456" i="2"/>
  <c r="I580" i="2"/>
  <c r="I581" i="2" s="1"/>
  <c r="J271" i="2"/>
  <c r="K266" i="2" s="1"/>
  <c r="J576" i="2"/>
  <c r="J586" i="2"/>
  <c r="J798" i="2" s="1"/>
  <c r="J819" i="2" s="1"/>
  <c r="G856" i="2" l="1"/>
  <c r="G879" i="2" s="1"/>
  <c r="G978" i="2" s="1"/>
  <c r="G759" i="2"/>
  <c r="G484" i="2"/>
  <c r="G485" i="2" s="1"/>
  <c r="G500" i="2" s="1"/>
  <c r="G501" i="2" s="1"/>
  <c r="H759" i="2"/>
  <c r="H484" i="2"/>
  <c r="H485" i="2" s="1"/>
  <c r="H491" i="2" s="1"/>
  <c r="H751" i="2"/>
  <c r="I457" i="2"/>
  <c r="I439" i="2" s="1"/>
  <c r="J450" i="2"/>
  <c r="K446" i="2" s="1"/>
  <c r="K449" i="2" s="1"/>
  <c r="K437" i="2" s="1"/>
  <c r="K438" i="2" s="1"/>
  <c r="J896" i="2"/>
  <c r="J906" i="2" s="1"/>
  <c r="J579" i="2"/>
  <c r="K268" i="2"/>
  <c r="K269" i="2" s="1"/>
  <c r="K270" i="2" s="1"/>
  <c r="J456" i="2"/>
  <c r="J462" i="2"/>
  <c r="J463" i="2" s="1"/>
  <c r="J464" i="2" s="1"/>
  <c r="J858" i="2" s="1"/>
  <c r="J881" i="2" s="1"/>
  <c r="J980" i="2" s="1"/>
  <c r="H500" i="2" l="1"/>
  <c r="G491" i="2"/>
  <c r="G492" i="2" s="1"/>
  <c r="G493" i="2" s="1"/>
  <c r="G857" i="2" s="1"/>
  <c r="G880" i="2" s="1"/>
  <c r="G979" i="2" s="1"/>
  <c r="I440" i="2"/>
  <c r="I751" i="2" s="1"/>
  <c r="I458" i="2"/>
  <c r="J454" i="2" s="1"/>
  <c r="J457" i="2" s="1"/>
  <c r="J439" i="2" s="1"/>
  <c r="J440" i="2" s="1"/>
  <c r="K450" i="2"/>
  <c r="L446" i="2" s="1"/>
  <c r="L449" i="2" s="1"/>
  <c r="L437" i="2" s="1"/>
  <c r="L438" i="2" s="1"/>
  <c r="J580" i="2"/>
  <c r="J581" i="2" s="1"/>
  <c r="K456" i="2"/>
  <c r="K462" i="2"/>
  <c r="K463" i="2" s="1"/>
  <c r="K464" i="2" s="1"/>
  <c r="K858" i="2" s="1"/>
  <c r="K881" i="2" s="1"/>
  <c r="K980" i="2" s="1"/>
  <c r="K271" i="2"/>
  <c r="L266" i="2" s="1"/>
  <c r="K576" i="2"/>
  <c r="K586" i="2"/>
  <c r="K798" i="2" s="1"/>
  <c r="K819" i="2" s="1"/>
  <c r="G502" i="2"/>
  <c r="H498" i="2"/>
  <c r="H499" i="2" s="1"/>
  <c r="H501" i="2" l="1"/>
  <c r="I498" i="2" s="1"/>
  <c r="I499" i="2" s="1"/>
  <c r="H489" i="2"/>
  <c r="H490" i="2" s="1"/>
  <c r="H492" i="2" s="1"/>
  <c r="H493" i="2" s="1"/>
  <c r="I484" i="2"/>
  <c r="I485" i="2" s="1"/>
  <c r="I500" i="2" s="1"/>
  <c r="I759" i="2"/>
  <c r="I856" i="2"/>
  <c r="I879" i="2" s="1"/>
  <c r="I978" i="2" s="1"/>
  <c r="J759" i="2"/>
  <c r="J751" i="2"/>
  <c r="J856" i="2"/>
  <c r="J879" i="2" s="1"/>
  <c r="J978" i="2" s="1"/>
  <c r="J484" i="2"/>
  <c r="J485" i="2" s="1"/>
  <c r="J458" i="2"/>
  <c r="K454" i="2" s="1"/>
  <c r="K457" i="2" s="1"/>
  <c r="K439" i="2" s="1"/>
  <c r="L450" i="2"/>
  <c r="M446" i="2" s="1"/>
  <c r="L456" i="2"/>
  <c r="L462" i="2"/>
  <c r="L463" i="2" s="1"/>
  <c r="L464" i="2" s="1"/>
  <c r="L858" i="2" s="1"/>
  <c r="L881" i="2" s="1"/>
  <c r="L980" i="2" s="1"/>
  <c r="K896" i="2"/>
  <c r="K906" i="2" s="1"/>
  <c r="K579" i="2"/>
  <c r="K580" i="2" s="1"/>
  <c r="K581" i="2" s="1"/>
  <c r="L268" i="2"/>
  <c r="L269" i="2" s="1"/>
  <c r="H502" i="2"/>
  <c r="H507" i="2" s="1"/>
  <c r="G507" i="2"/>
  <c r="G508" i="2" s="1"/>
  <c r="I489" i="2" l="1"/>
  <c r="I490" i="2" s="1"/>
  <c r="I491" i="2"/>
  <c r="I501" i="2"/>
  <c r="I502" i="2" s="1"/>
  <c r="I507" i="2" s="1"/>
  <c r="K440" i="2"/>
  <c r="K751" i="2" s="1"/>
  <c r="J491" i="2"/>
  <c r="J500" i="2"/>
  <c r="K458" i="2"/>
  <c r="L454" i="2" s="1"/>
  <c r="L457" i="2" s="1"/>
  <c r="G509" i="2"/>
  <c r="G510" i="2" s="1"/>
  <c r="H505" i="2"/>
  <c r="H506" i="2" s="1"/>
  <c r="H508" i="2" s="1"/>
  <c r="M449" i="2"/>
  <c r="M437" i="2" s="1"/>
  <c r="M438" i="2" s="1"/>
  <c r="L270" i="2"/>
  <c r="L271" i="2" s="1"/>
  <c r="M266" i="2" s="1"/>
  <c r="H857" i="2"/>
  <c r="H880" i="2" s="1"/>
  <c r="H979" i="2" s="1"/>
  <c r="I492" i="2" l="1"/>
  <c r="I493" i="2" s="1"/>
  <c r="I857" i="2" s="1"/>
  <c r="I880" i="2" s="1"/>
  <c r="I979" i="2" s="1"/>
  <c r="K856" i="2"/>
  <c r="K879" i="2" s="1"/>
  <c r="K978" i="2" s="1"/>
  <c r="J498" i="2"/>
  <c r="J499" i="2" s="1"/>
  <c r="J501" i="2" s="1"/>
  <c r="K498" i="2" s="1"/>
  <c r="K499" i="2" s="1"/>
  <c r="K759" i="2"/>
  <c r="K484" i="2"/>
  <c r="K485" i="2" s="1"/>
  <c r="K500" i="2" s="1"/>
  <c r="L439" i="2"/>
  <c r="L458" i="2"/>
  <c r="M454" i="2" s="1"/>
  <c r="I505" i="2"/>
  <c r="I506" i="2" s="1"/>
  <c r="I508" i="2" s="1"/>
  <c r="H509" i="2"/>
  <c r="H510" i="2" s="1"/>
  <c r="L576" i="2"/>
  <c r="L586" i="2"/>
  <c r="M268" i="2"/>
  <c r="M269" i="2" s="1"/>
  <c r="M270" i="2" s="1"/>
  <c r="M450" i="2"/>
  <c r="N446" i="2" s="1"/>
  <c r="M456" i="2"/>
  <c r="M462" i="2"/>
  <c r="M463" i="2" s="1"/>
  <c r="M464" i="2" s="1"/>
  <c r="M858" i="2" s="1"/>
  <c r="M881" i="2" s="1"/>
  <c r="M980" i="2" s="1"/>
  <c r="G859" i="2"/>
  <c r="G882" i="2" s="1"/>
  <c r="G981" i="2" s="1"/>
  <c r="G512" i="2"/>
  <c r="J489" i="2" l="1"/>
  <c r="J490" i="2" s="1"/>
  <c r="J492" i="2" s="1"/>
  <c r="J493" i="2" s="1"/>
  <c r="K491" i="2"/>
  <c r="L440" i="2"/>
  <c r="L751" i="2" s="1"/>
  <c r="G739" i="2"/>
  <c r="J502" i="2"/>
  <c r="J507" i="2" s="1"/>
  <c r="M457" i="2"/>
  <c r="M439" i="2" s="1"/>
  <c r="M271" i="2"/>
  <c r="N266" i="2" s="1"/>
  <c r="M576" i="2"/>
  <c r="M586" i="2"/>
  <c r="N449" i="2"/>
  <c r="N437" i="2" s="1"/>
  <c r="N438" i="2" s="1"/>
  <c r="G533" i="2"/>
  <c r="G535" i="2" s="1"/>
  <c r="G682" i="2" s="1"/>
  <c r="G683" i="2" s="1"/>
  <c r="G588" i="2"/>
  <c r="G590" i="2" s="1"/>
  <c r="L798" i="2"/>
  <c r="L819" i="2" s="1"/>
  <c r="L896" i="2"/>
  <c r="L906" i="2" s="1"/>
  <c r="L579" i="2"/>
  <c r="L580" i="2" s="1"/>
  <c r="L581" i="2" s="1"/>
  <c r="K501" i="2"/>
  <c r="H859" i="2"/>
  <c r="H882" i="2" s="1"/>
  <c r="H981" i="2" s="1"/>
  <c r="H512" i="2"/>
  <c r="J505" i="2"/>
  <c r="J506" i="2" s="1"/>
  <c r="I509" i="2"/>
  <c r="I510" i="2" s="1"/>
  <c r="L856" i="2" l="1"/>
  <c r="L879" i="2" s="1"/>
  <c r="L978" i="2" s="1"/>
  <c r="L759" i="2"/>
  <c r="L484" i="2"/>
  <c r="L485" i="2" s="1"/>
  <c r="L491" i="2" s="1"/>
  <c r="M440" i="2"/>
  <c r="M751" i="2" s="1"/>
  <c r="G684" i="2"/>
  <c r="G685" i="2" s="1"/>
  <c r="G686" i="2" s="1"/>
  <c r="H739" i="2"/>
  <c r="G747" i="2"/>
  <c r="G748" i="2" s="1"/>
  <c r="G749" i="2" s="1"/>
  <c r="G753" i="2" s="1"/>
  <c r="G740" i="2"/>
  <c r="M458" i="2"/>
  <c r="N454" i="2" s="1"/>
  <c r="N450" i="2"/>
  <c r="O446" i="2" s="1"/>
  <c r="O449" i="2" s="1"/>
  <c r="O437" i="2" s="1"/>
  <c r="O438" i="2" s="1"/>
  <c r="K489" i="2"/>
  <c r="K490" i="2" s="1"/>
  <c r="K492" i="2" s="1"/>
  <c r="K493" i="2" s="1"/>
  <c r="K502" i="2"/>
  <c r="L498" i="2"/>
  <c r="L499" i="2" s="1"/>
  <c r="N462" i="2"/>
  <c r="N463" i="2" s="1"/>
  <c r="N464" i="2" s="1"/>
  <c r="N858" i="2" s="1"/>
  <c r="N881" i="2" s="1"/>
  <c r="N980" i="2" s="1"/>
  <c r="N456" i="2"/>
  <c r="I512" i="2"/>
  <c r="I859" i="2"/>
  <c r="I882" i="2" s="1"/>
  <c r="I981" i="2" s="1"/>
  <c r="M798" i="2"/>
  <c r="M819" i="2" s="1"/>
  <c r="J508" i="2"/>
  <c r="M579" i="2"/>
  <c r="M580" i="2" s="1"/>
  <c r="M581" i="2" s="1"/>
  <c r="M896" i="2"/>
  <c r="M906" i="2" s="1"/>
  <c r="G591" i="2"/>
  <c r="G592" i="2" s="1"/>
  <c r="N268" i="2"/>
  <c r="N269" i="2" s="1"/>
  <c r="H533" i="2"/>
  <c r="H535" i="2" s="1"/>
  <c r="H682" i="2" s="1"/>
  <c r="H683" i="2" s="1"/>
  <c r="H588" i="2"/>
  <c r="H590" i="2" s="1"/>
  <c r="H591" i="2" s="1"/>
  <c r="H592" i="2" s="1"/>
  <c r="G537" i="2"/>
  <c r="G547" i="2"/>
  <c r="G543" i="2"/>
  <c r="M856" i="2" l="1"/>
  <c r="M879" i="2" s="1"/>
  <c r="M978" i="2" s="1"/>
  <c r="L500" i="2"/>
  <c r="L501" i="2" s="1"/>
  <c r="L502" i="2" s="1"/>
  <c r="L507" i="2" s="1"/>
  <c r="M759" i="2"/>
  <c r="M484" i="2"/>
  <c r="M485" i="2" s="1"/>
  <c r="M500" i="2" s="1"/>
  <c r="H684" i="2"/>
  <c r="H685" i="2" s="1"/>
  <c r="H686" i="2" s="1"/>
  <c r="I739" i="2"/>
  <c r="G741" i="2"/>
  <c r="G742" i="2" s="1"/>
  <c r="H747" i="2"/>
  <c r="H740" i="2"/>
  <c r="G755" i="2"/>
  <c r="G754" i="2"/>
  <c r="N457" i="2"/>
  <c r="N439" i="2" s="1"/>
  <c r="N270" i="2"/>
  <c r="H537" i="2"/>
  <c r="H543" i="2"/>
  <c r="J509" i="2"/>
  <c r="J510" i="2" s="1"/>
  <c r="J859" i="2" s="1"/>
  <c r="J882" i="2" s="1"/>
  <c r="J981" i="2" s="1"/>
  <c r="K505" i="2"/>
  <c r="K506" i="2" s="1"/>
  <c r="O450" i="2"/>
  <c r="P446" i="2" s="1"/>
  <c r="H547" i="2"/>
  <c r="O462" i="2"/>
  <c r="O463" i="2" s="1"/>
  <c r="O464" i="2" s="1"/>
  <c r="O858" i="2" s="1"/>
  <c r="O881" i="2" s="1"/>
  <c r="O980" i="2" s="1"/>
  <c r="O456" i="2"/>
  <c r="G627" i="2"/>
  <c r="G628" i="2" s="1"/>
  <c r="G548" i="2"/>
  <c r="K507" i="2"/>
  <c r="G551" i="2"/>
  <c r="G541" i="2"/>
  <c r="G542" i="2" s="1"/>
  <c r="G544" i="2" s="1"/>
  <c r="I533" i="2"/>
  <c r="I535" i="2" s="1"/>
  <c r="I682" i="2" s="1"/>
  <c r="I683" i="2" s="1"/>
  <c r="I588" i="2"/>
  <c r="I590" i="2" s="1"/>
  <c r="I591" i="2" s="1"/>
  <c r="I592" i="2" s="1"/>
  <c r="J857" i="2"/>
  <c r="J880" i="2" s="1"/>
  <c r="J979" i="2" s="1"/>
  <c r="L489" i="2"/>
  <c r="M491" i="2" l="1"/>
  <c r="N440" i="2"/>
  <c r="N751" i="2" s="1"/>
  <c r="I684" i="2"/>
  <c r="I685" i="2" s="1"/>
  <c r="I686" i="2" s="1"/>
  <c r="H741" i="2"/>
  <c r="H742" i="2" s="1"/>
  <c r="I747" i="2"/>
  <c r="I740" i="2"/>
  <c r="G756" i="2"/>
  <c r="G764" i="2" s="1"/>
  <c r="M498" i="2"/>
  <c r="M499" i="2" s="1"/>
  <c r="M501" i="2" s="1"/>
  <c r="M502" i="2" s="1"/>
  <c r="M507" i="2" s="1"/>
  <c r="G629" i="2"/>
  <c r="J512" i="2"/>
  <c r="N458" i="2"/>
  <c r="O454" i="2" s="1"/>
  <c r="O457" i="2" s="1"/>
  <c r="O439" i="2" s="1"/>
  <c r="O440" i="2" s="1"/>
  <c r="H627" i="2"/>
  <c r="H628" i="2" s="1"/>
  <c r="H629" i="2" s="1"/>
  <c r="H548" i="2"/>
  <c r="K857" i="2"/>
  <c r="K880" i="2" s="1"/>
  <c r="K979" i="2" s="1"/>
  <c r="G545" i="2"/>
  <c r="H540" i="2" s="1"/>
  <c r="G552" i="2"/>
  <c r="H541" i="2"/>
  <c r="H551" i="2"/>
  <c r="L490" i="2"/>
  <c r="L492" i="2" s="1"/>
  <c r="L493" i="2" s="1"/>
  <c r="G797" i="2"/>
  <c r="G818" i="2" s="1"/>
  <c r="G895" i="2"/>
  <c r="G905" i="2" s="1"/>
  <c r="P449" i="2"/>
  <c r="P437" i="2" s="1"/>
  <c r="P438" i="2" s="1"/>
  <c r="K508" i="2"/>
  <c r="N586" i="2"/>
  <c r="N576" i="2"/>
  <c r="N271" i="2"/>
  <c r="O266" i="2" s="1"/>
  <c r="I543" i="2"/>
  <c r="I537" i="2"/>
  <c r="G553" i="2"/>
  <c r="I547" i="2"/>
  <c r="N856" i="2" l="1"/>
  <c r="N879" i="2" s="1"/>
  <c r="N978" i="2" s="1"/>
  <c r="N759" i="2"/>
  <c r="N484" i="2"/>
  <c r="N485" i="2" s="1"/>
  <c r="N491" i="2" s="1"/>
  <c r="O759" i="2"/>
  <c r="O751" i="2"/>
  <c r="I741" i="2"/>
  <c r="I742" i="2" s="1"/>
  <c r="J739" i="2"/>
  <c r="J533" i="2"/>
  <c r="J535" i="2" s="1"/>
  <c r="J682" i="2" s="1"/>
  <c r="J683" i="2" s="1"/>
  <c r="J588" i="2"/>
  <c r="J590" i="2" s="1"/>
  <c r="J591" i="2" s="1"/>
  <c r="J592" i="2" s="1"/>
  <c r="O484" i="2"/>
  <c r="O485" i="2" s="1"/>
  <c r="N498" i="2"/>
  <c r="N499" i="2" s="1"/>
  <c r="O856" i="2"/>
  <c r="O879" i="2" s="1"/>
  <c r="O978" i="2" s="1"/>
  <c r="O458" i="2"/>
  <c r="P454" i="2" s="1"/>
  <c r="H542" i="2"/>
  <c r="H544" i="2" s="1"/>
  <c r="H552" i="2" s="1"/>
  <c r="M489" i="2"/>
  <c r="I627" i="2"/>
  <c r="I628" i="2" s="1"/>
  <c r="I548" i="2"/>
  <c r="N896" i="2"/>
  <c r="N906" i="2" s="1"/>
  <c r="N579" i="2"/>
  <c r="N580" i="2" s="1"/>
  <c r="N581" i="2" s="1"/>
  <c r="N798" i="2"/>
  <c r="N819" i="2" s="1"/>
  <c r="P450" i="2"/>
  <c r="Q446" i="2" s="1"/>
  <c r="H553" i="2"/>
  <c r="I541" i="2"/>
  <c r="I551" i="2"/>
  <c r="K509" i="2"/>
  <c r="K510" i="2" s="1"/>
  <c r="L505" i="2"/>
  <c r="L506" i="2" s="1"/>
  <c r="L508" i="2" s="1"/>
  <c r="P462" i="2"/>
  <c r="P463" i="2" s="1"/>
  <c r="P464" i="2" s="1"/>
  <c r="P858" i="2" s="1"/>
  <c r="P881" i="2" s="1"/>
  <c r="P980" i="2" s="1"/>
  <c r="P456" i="2"/>
  <c r="H797" i="2"/>
  <c r="H818" i="2" s="1"/>
  <c r="H895" i="2"/>
  <c r="H905" i="2" s="1"/>
  <c r="O268" i="2"/>
  <c r="O269" i="2" s="1"/>
  <c r="G560" i="2"/>
  <c r="N500" i="2" l="1"/>
  <c r="N501" i="2" s="1"/>
  <c r="N502" i="2" s="1"/>
  <c r="N507" i="2" s="1"/>
  <c r="J684" i="2"/>
  <c r="J685" i="2" s="1"/>
  <c r="J686" i="2" s="1"/>
  <c r="J547" i="2"/>
  <c r="J627" i="2" s="1"/>
  <c r="J628" i="2" s="1"/>
  <c r="J747" i="2"/>
  <c r="J740" i="2"/>
  <c r="J543" i="2"/>
  <c r="J537" i="2"/>
  <c r="J551" i="2" s="1"/>
  <c r="I629" i="2"/>
  <c r="O491" i="2"/>
  <c r="O500" i="2"/>
  <c r="H545" i="2"/>
  <c r="I540" i="2" s="1"/>
  <c r="I542" i="2" s="1"/>
  <c r="I544" i="2" s="1"/>
  <c r="I552" i="2" s="1"/>
  <c r="P457" i="2"/>
  <c r="P439" i="2" s="1"/>
  <c r="O270" i="2"/>
  <c r="O271" i="2" s="1"/>
  <c r="P266" i="2" s="1"/>
  <c r="I895" i="2"/>
  <c r="I905" i="2" s="1"/>
  <c r="I797" i="2"/>
  <c r="I818" i="2" s="1"/>
  <c r="I553" i="2"/>
  <c r="G563" i="2"/>
  <c r="G561" i="2"/>
  <c r="H556" i="2" s="1"/>
  <c r="Q449" i="2"/>
  <c r="Q437" i="2" s="1"/>
  <c r="Q438" i="2" s="1"/>
  <c r="L509" i="2"/>
  <c r="L510" i="2" s="1"/>
  <c r="L859" i="2" s="1"/>
  <c r="L882" i="2" s="1"/>
  <c r="L981" i="2" s="1"/>
  <c r="M505" i="2"/>
  <c r="M506" i="2" s="1"/>
  <c r="M508" i="2" s="1"/>
  <c r="L857" i="2"/>
  <c r="L880" i="2" s="1"/>
  <c r="L979" i="2" s="1"/>
  <c r="K859" i="2"/>
  <c r="K882" i="2" s="1"/>
  <c r="K981" i="2" s="1"/>
  <c r="K512" i="2"/>
  <c r="M490" i="2"/>
  <c r="M492" i="2" s="1"/>
  <c r="M493" i="2" s="1"/>
  <c r="P440" i="2" l="1"/>
  <c r="P751" i="2" s="1"/>
  <c r="J548" i="2"/>
  <c r="J553" i="2" s="1"/>
  <c r="K739" i="2"/>
  <c r="J741" i="2"/>
  <c r="J742" i="2" s="1"/>
  <c r="J541" i="2"/>
  <c r="J629" i="2"/>
  <c r="I545" i="2"/>
  <c r="J540" i="2" s="1"/>
  <c r="O498" i="2"/>
  <c r="O499" i="2" s="1"/>
  <c r="O501" i="2" s="1"/>
  <c r="P498" i="2" s="1"/>
  <c r="P499" i="2" s="1"/>
  <c r="P458" i="2"/>
  <c r="Q454" i="2" s="1"/>
  <c r="Q450" i="2"/>
  <c r="R446" i="2" s="1"/>
  <c r="R449" i="2" s="1"/>
  <c r="R437" i="2" s="1"/>
  <c r="R438" i="2" s="1"/>
  <c r="H558" i="2"/>
  <c r="H559" i="2" s="1"/>
  <c r="N489" i="2"/>
  <c r="N490" i="2" s="1"/>
  <c r="N492" i="2" s="1"/>
  <c r="N493" i="2" s="1"/>
  <c r="M509" i="2"/>
  <c r="M510" i="2" s="1"/>
  <c r="M859" i="2" s="1"/>
  <c r="M882" i="2" s="1"/>
  <c r="M981" i="2" s="1"/>
  <c r="N505" i="2"/>
  <c r="N506" i="2" s="1"/>
  <c r="N508" i="2" s="1"/>
  <c r="G565" i="2"/>
  <c r="G893" i="2"/>
  <c r="K588" i="2"/>
  <c r="K590" i="2" s="1"/>
  <c r="K591" i="2" s="1"/>
  <c r="K592" i="2" s="1"/>
  <c r="K533" i="2"/>
  <c r="K535" i="2" s="1"/>
  <c r="K682" i="2" s="1"/>
  <c r="K683" i="2" s="1"/>
  <c r="J895" i="2"/>
  <c r="J905" i="2" s="1"/>
  <c r="J797" i="2"/>
  <c r="J818" i="2" s="1"/>
  <c r="P268" i="2"/>
  <c r="P269" i="2" s="1"/>
  <c r="L512" i="2"/>
  <c r="Q462" i="2"/>
  <c r="Q463" i="2" s="1"/>
  <c r="Q464" i="2" s="1"/>
  <c r="Q858" i="2" s="1"/>
  <c r="Q881" i="2" s="1"/>
  <c r="Q980" i="2" s="1"/>
  <c r="Q456" i="2"/>
  <c r="O576" i="2"/>
  <c r="O586" i="2"/>
  <c r="P856" i="2" l="1"/>
  <c r="P879" i="2" s="1"/>
  <c r="P978" i="2" s="1"/>
  <c r="P759" i="2"/>
  <c r="P484" i="2"/>
  <c r="P485" i="2" s="1"/>
  <c r="P491" i="2" s="1"/>
  <c r="K684" i="2"/>
  <c r="K685" i="2" s="1"/>
  <c r="K686" i="2" s="1"/>
  <c r="L739" i="2"/>
  <c r="K747" i="2"/>
  <c r="K740" i="2"/>
  <c r="J542" i="2"/>
  <c r="J544" i="2" s="1"/>
  <c r="J552" i="2" s="1"/>
  <c r="Q457" i="2"/>
  <c r="Q439" i="2" s="1"/>
  <c r="O502" i="2"/>
  <c r="O507" i="2" s="1"/>
  <c r="P270" i="2"/>
  <c r="P271" i="2" s="1"/>
  <c r="Q266" i="2" s="1"/>
  <c r="O798" i="2"/>
  <c r="O819" i="2" s="1"/>
  <c r="R450" i="2"/>
  <c r="S446" i="2" s="1"/>
  <c r="G900" i="2"/>
  <c r="G931" i="2" s="1"/>
  <c r="G939" i="2" s="1"/>
  <c r="G903" i="2"/>
  <c r="G910" i="2" s="1"/>
  <c r="O896" i="2"/>
  <c r="O906" i="2" s="1"/>
  <c r="O579" i="2"/>
  <c r="O580" i="2" s="1"/>
  <c r="O581" i="2" s="1"/>
  <c r="R462" i="2"/>
  <c r="R463" i="2" s="1"/>
  <c r="R464" i="2" s="1"/>
  <c r="R858" i="2" s="1"/>
  <c r="R881" i="2" s="1"/>
  <c r="R980" i="2" s="1"/>
  <c r="R456" i="2"/>
  <c r="G566" i="2"/>
  <c r="G567" i="2" s="1"/>
  <c r="N509" i="2"/>
  <c r="N510" i="2" s="1"/>
  <c r="N859" i="2" s="1"/>
  <c r="N882" i="2" s="1"/>
  <c r="N981" i="2" s="1"/>
  <c r="O505" i="2"/>
  <c r="O506" i="2" s="1"/>
  <c r="K543" i="2"/>
  <c r="K537" i="2"/>
  <c r="K547" i="2"/>
  <c r="O489" i="2"/>
  <c r="O490" i="2" s="1"/>
  <c r="O492" i="2" s="1"/>
  <c r="O493" i="2" s="1"/>
  <c r="M857" i="2"/>
  <c r="M880" i="2" s="1"/>
  <c r="M979" i="2" s="1"/>
  <c r="M512" i="2"/>
  <c r="L588" i="2"/>
  <c r="L590" i="2" s="1"/>
  <c r="L591" i="2" s="1"/>
  <c r="L592" i="2" s="1"/>
  <c r="L533" i="2"/>
  <c r="L535" i="2" s="1"/>
  <c r="L682" i="2" s="1"/>
  <c r="L683" i="2" s="1"/>
  <c r="H560" i="2"/>
  <c r="H563" i="2" s="1"/>
  <c r="P500" i="2" l="1"/>
  <c r="P501" i="2" s="1"/>
  <c r="P502" i="2" s="1"/>
  <c r="P507" i="2" s="1"/>
  <c r="Q440" i="2"/>
  <c r="Q751" i="2" s="1"/>
  <c r="L684" i="2"/>
  <c r="L685" i="2" s="1"/>
  <c r="L686" i="2" s="1"/>
  <c r="M739" i="2"/>
  <c r="K741" i="2"/>
  <c r="K742" i="2" s="1"/>
  <c r="K743" i="2" s="1"/>
  <c r="L747" i="2"/>
  <c r="L740" i="2"/>
  <c r="L741" i="2" s="1"/>
  <c r="L742" i="2" s="1"/>
  <c r="J545" i="2"/>
  <c r="K540" i="2" s="1"/>
  <c r="G743" i="2"/>
  <c r="H743" i="2"/>
  <c r="I743" i="2"/>
  <c r="J743" i="2"/>
  <c r="Q458" i="2"/>
  <c r="R454" i="2" s="1"/>
  <c r="R457" i="2" s="1"/>
  <c r="R439" i="2" s="1"/>
  <c r="O508" i="2"/>
  <c r="P505" i="2" s="1"/>
  <c r="P506" i="2" s="1"/>
  <c r="L547" i="2"/>
  <c r="L543" i="2"/>
  <c r="L537" i="2"/>
  <c r="M588" i="2"/>
  <c r="M590" i="2" s="1"/>
  <c r="M591" i="2" s="1"/>
  <c r="M592" i="2" s="1"/>
  <c r="M533" i="2"/>
  <c r="M535" i="2" s="1"/>
  <c r="M682" i="2" s="1"/>
  <c r="M683" i="2" s="1"/>
  <c r="M684" i="2" s="1"/>
  <c r="M685" i="2" s="1"/>
  <c r="K627" i="2"/>
  <c r="K628" i="2" s="1"/>
  <c r="K629" i="2" s="1"/>
  <c r="K548" i="2"/>
  <c r="G806" i="2"/>
  <c r="G827" i="2" s="1"/>
  <c r="G595" i="2"/>
  <c r="G570" i="2"/>
  <c r="G594" i="2" s="1"/>
  <c r="S449" i="2"/>
  <c r="S437" i="2" s="1"/>
  <c r="S438" i="2" s="1"/>
  <c r="P489" i="2"/>
  <c r="P490" i="2" s="1"/>
  <c r="P492" i="2" s="1"/>
  <c r="P493" i="2" s="1"/>
  <c r="K541" i="2"/>
  <c r="K551" i="2"/>
  <c r="N857" i="2"/>
  <c r="N880" i="2" s="1"/>
  <c r="N979" i="2" s="1"/>
  <c r="N512" i="2"/>
  <c r="H565" i="2"/>
  <c r="H893" i="2"/>
  <c r="Q268" i="2"/>
  <c r="Q269" i="2" s="1"/>
  <c r="H561" i="2"/>
  <c r="I556" i="2" s="1"/>
  <c r="P576" i="2"/>
  <c r="P586" i="2"/>
  <c r="Q498" i="2" l="1"/>
  <c r="Q499" i="2" s="1"/>
  <c r="Q856" i="2"/>
  <c r="Q879" i="2" s="1"/>
  <c r="Q978" i="2" s="1"/>
  <c r="Q759" i="2"/>
  <c r="Q484" i="2"/>
  <c r="Q485" i="2" s="1"/>
  <c r="Q500" i="2" s="1"/>
  <c r="R440" i="2"/>
  <c r="R751" i="2" s="1"/>
  <c r="M686" i="2"/>
  <c r="G691" i="2"/>
  <c r="G692" i="2" s="1"/>
  <c r="N739" i="2"/>
  <c r="M747" i="2"/>
  <c r="M740" i="2"/>
  <c r="K542" i="2"/>
  <c r="K544" i="2" s="1"/>
  <c r="K552" i="2" s="1"/>
  <c r="L743" i="2"/>
  <c r="O509" i="2"/>
  <c r="O510" i="2" s="1"/>
  <c r="O859" i="2" s="1"/>
  <c r="O882" i="2" s="1"/>
  <c r="O981" i="2" s="1"/>
  <c r="S450" i="2"/>
  <c r="T446" i="2" s="1"/>
  <c r="T449" i="2" s="1"/>
  <c r="T437" i="2" s="1"/>
  <c r="T438" i="2" s="1"/>
  <c r="Q270" i="2"/>
  <c r="Q271" i="2" s="1"/>
  <c r="R266" i="2" s="1"/>
  <c r="G861" i="2"/>
  <c r="K895" i="2"/>
  <c r="K905" i="2" s="1"/>
  <c r="K797" i="2"/>
  <c r="K818" i="2" s="1"/>
  <c r="I558" i="2"/>
  <c r="I559" i="2" s="1"/>
  <c r="P508" i="2"/>
  <c r="H566" i="2"/>
  <c r="H567" i="2" s="1"/>
  <c r="N588" i="2"/>
  <c r="N590" i="2" s="1"/>
  <c r="N591" i="2" s="1"/>
  <c r="N592" i="2" s="1"/>
  <c r="N533" i="2"/>
  <c r="N535" i="2" s="1"/>
  <c r="N682" i="2" s="1"/>
  <c r="N683" i="2" s="1"/>
  <c r="N684" i="2" s="1"/>
  <c r="N685" i="2" s="1"/>
  <c r="N686" i="2" s="1"/>
  <c r="Q489" i="2"/>
  <c r="Q490" i="2" s="1"/>
  <c r="K553" i="2"/>
  <c r="P579" i="2"/>
  <c r="P580" i="2" s="1"/>
  <c r="P581" i="2" s="1"/>
  <c r="P896" i="2"/>
  <c r="P906" i="2" s="1"/>
  <c r="O857" i="2"/>
  <c r="O880" i="2" s="1"/>
  <c r="O979" i="2" s="1"/>
  <c r="L541" i="2"/>
  <c r="L551" i="2"/>
  <c r="S462" i="2"/>
  <c r="S463" i="2" s="1"/>
  <c r="S464" i="2" s="1"/>
  <c r="S858" i="2" s="1"/>
  <c r="S881" i="2" s="1"/>
  <c r="S980" i="2" s="1"/>
  <c r="S456" i="2"/>
  <c r="P798" i="2"/>
  <c r="P819" i="2" s="1"/>
  <c r="H900" i="2"/>
  <c r="H931" i="2" s="1"/>
  <c r="H939" i="2" s="1"/>
  <c r="H903" i="2"/>
  <c r="H910" i="2" s="1"/>
  <c r="R458" i="2"/>
  <c r="S454" i="2" s="1"/>
  <c r="G603" i="2"/>
  <c r="G604" i="2" s="1"/>
  <c r="G639" i="2" s="1"/>
  <c r="G634" i="2"/>
  <c r="M537" i="2"/>
  <c r="M543" i="2"/>
  <c r="M547" i="2"/>
  <c r="L627" i="2"/>
  <c r="L628" i="2" s="1"/>
  <c r="L629" i="2" s="1"/>
  <c r="L548" i="2"/>
  <c r="Q501" i="2" l="1"/>
  <c r="R498" i="2" s="1"/>
  <c r="R499" i="2" s="1"/>
  <c r="R759" i="2"/>
  <c r="R484" i="2"/>
  <c r="R485" i="2" s="1"/>
  <c r="R500" i="2" s="1"/>
  <c r="Q491" i="2"/>
  <c r="Q492" i="2" s="1"/>
  <c r="Q493" i="2" s="1"/>
  <c r="R856" i="2"/>
  <c r="R879" i="2" s="1"/>
  <c r="R978" i="2" s="1"/>
  <c r="G693" i="2"/>
  <c r="G695" i="2"/>
  <c r="M741" i="2"/>
  <c r="M742" i="2" s="1"/>
  <c r="M743" i="2" s="1"/>
  <c r="N747" i="2"/>
  <c r="N740" i="2"/>
  <c r="N741" i="2" s="1"/>
  <c r="N742" i="2" s="1"/>
  <c r="K545" i="2"/>
  <c r="L540" i="2" s="1"/>
  <c r="L542" i="2" s="1"/>
  <c r="G774" i="2"/>
  <c r="O512" i="2"/>
  <c r="T450" i="2"/>
  <c r="U446" i="2" s="1"/>
  <c r="U449" i="2" s="1"/>
  <c r="U437" i="2" s="1"/>
  <c r="U438" i="2" s="1"/>
  <c r="I560" i="2"/>
  <c r="I563" i="2" s="1"/>
  <c r="G640" i="2"/>
  <c r="G643" i="2"/>
  <c r="P857" i="2"/>
  <c r="P880" i="2" s="1"/>
  <c r="P979" i="2" s="1"/>
  <c r="G884" i="2"/>
  <c r="L553" i="2"/>
  <c r="N543" i="2"/>
  <c r="N537" i="2"/>
  <c r="N547" i="2"/>
  <c r="G862" i="2"/>
  <c r="G885" i="2" s="1"/>
  <c r="G984" i="2" s="1"/>
  <c r="G612" i="2"/>
  <c r="L895" i="2"/>
  <c r="L905" i="2" s="1"/>
  <c r="L797" i="2"/>
  <c r="L818" i="2" s="1"/>
  <c r="M627" i="2"/>
  <c r="M628" i="2" s="1"/>
  <c r="M629" i="2" s="1"/>
  <c r="M548" i="2"/>
  <c r="S457" i="2"/>
  <c r="S439" i="2" s="1"/>
  <c r="H806" i="2"/>
  <c r="H827" i="2" s="1"/>
  <c r="H595" i="2"/>
  <c r="H570" i="2"/>
  <c r="H594" i="2" s="1"/>
  <c r="G727" i="2"/>
  <c r="G728" i="2" s="1"/>
  <c r="G729" i="2" s="1"/>
  <c r="G730" i="2" s="1"/>
  <c r="M541" i="2"/>
  <c r="M551" i="2"/>
  <c r="T462" i="2"/>
  <c r="T463" i="2" s="1"/>
  <c r="T464" i="2" s="1"/>
  <c r="T858" i="2" s="1"/>
  <c r="T881" i="2" s="1"/>
  <c r="T980" i="2" s="1"/>
  <c r="T456" i="2"/>
  <c r="G637" i="2"/>
  <c r="R268" i="2"/>
  <c r="R269" i="2" s="1"/>
  <c r="G635" i="2"/>
  <c r="P509" i="2"/>
  <c r="P510" i="2" s="1"/>
  <c r="P859" i="2" s="1"/>
  <c r="P882" i="2" s="1"/>
  <c r="P981" i="2" s="1"/>
  <c r="Q505" i="2"/>
  <c r="Q506" i="2" s="1"/>
  <c r="Q586" i="2"/>
  <c r="Q576" i="2"/>
  <c r="Q502" i="2" l="1"/>
  <c r="Q507" i="2" s="1"/>
  <c r="Q508" i="2" s="1"/>
  <c r="R505" i="2" s="1"/>
  <c r="R506" i="2" s="1"/>
  <c r="R491" i="2"/>
  <c r="S440" i="2"/>
  <c r="S751" i="2" s="1"/>
  <c r="G696" i="2"/>
  <c r="H691" i="2"/>
  <c r="H692" i="2" s="1"/>
  <c r="R489" i="2"/>
  <c r="R490" i="2" s="1"/>
  <c r="N743" i="2"/>
  <c r="O739" i="2"/>
  <c r="G761" i="2"/>
  <c r="G773" i="2"/>
  <c r="O533" i="2"/>
  <c r="O535" i="2" s="1"/>
  <c r="O682" i="2" s="1"/>
  <c r="O683" i="2" s="1"/>
  <c r="O684" i="2" s="1"/>
  <c r="O685" i="2" s="1"/>
  <c r="O686" i="2" s="1"/>
  <c r="G803" i="2"/>
  <c r="G824" i="2" s="1"/>
  <c r="O588" i="2"/>
  <c r="O590" i="2" s="1"/>
  <c r="O591" i="2" s="1"/>
  <c r="O592" i="2" s="1"/>
  <c r="U450" i="2"/>
  <c r="V446" i="2" s="1"/>
  <c r="V449" i="2" s="1"/>
  <c r="V437" i="2" s="1"/>
  <c r="V438" i="2" s="1"/>
  <c r="G638" i="2"/>
  <c r="H861" i="2"/>
  <c r="H884" i="2" s="1"/>
  <c r="H983" i="2" s="1"/>
  <c r="M553" i="2"/>
  <c r="N627" i="2"/>
  <c r="N628" i="2" s="1"/>
  <c r="N629" i="2" s="1"/>
  <c r="N548" i="2"/>
  <c r="N553" i="2" s="1"/>
  <c r="Q857" i="2"/>
  <c r="Q880" i="2" s="1"/>
  <c r="Q979" i="2" s="1"/>
  <c r="Q579" i="2"/>
  <c r="Q580" i="2" s="1"/>
  <c r="Q581" i="2" s="1"/>
  <c r="Q896" i="2"/>
  <c r="Q906" i="2" s="1"/>
  <c r="M895" i="2"/>
  <c r="M905" i="2" s="1"/>
  <c r="M797" i="2"/>
  <c r="M818" i="2" s="1"/>
  <c r="U456" i="2"/>
  <c r="U462" i="2"/>
  <c r="U463" i="2" s="1"/>
  <c r="U464" i="2" s="1"/>
  <c r="U858" i="2" s="1"/>
  <c r="U881" i="2" s="1"/>
  <c r="U980" i="2" s="1"/>
  <c r="R270" i="2"/>
  <c r="R271" i="2" s="1"/>
  <c r="S266" i="2" s="1"/>
  <c r="Q798" i="2"/>
  <c r="Q819" i="2" s="1"/>
  <c r="G983" i="2"/>
  <c r="G644" i="2"/>
  <c r="L544" i="2"/>
  <c r="L552" i="2" s="1"/>
  <c r="N541" i="2"/>
  <c r="N551" i="2"/>
  <c r="P512" i="2"/>
  <c r="S458" i="2"/>
  <c r="T454" i="2" s="1"/>
  <c r="I893" i="2"/>
  <c r="I565" i="2"/>
  <c r="H603" i="2"/>
  <c r="H604" i="2" s="1"/>
  <c r="H774" i="2" s="1"/>
  <c r="H634" i="2"/>
  <c r="R501" i="2"/>
  <c r="I561" i="2"/>
  <c r="J556" i="2" s="1"/>
  <c r="J558" i="2" s="1"/>
  <c r="J559" i="2" s="1"/>
  <c r="J560" i="2" s="1"/>
  <c r="S484" i="2" l="1"/>
  <c r="S485" i="2" s="1"/>
  <c r="S491" i="2" s="1"/>
  <c r="S856" i="2"/>
  <c r="S879" i="2" s="1"/>
  <c r="S978" i="2" s="1"/>
  <c r="S759" i="2"/>
  <c r="H695" i="2"/>
  <c r="H696" i="2" s="1"/>
  <c r="G697" i="2"/>
  <c r="G698" i="2"/>
  <c r="H693" i="2"/>
  <c r="O543" i="2"/>
  <c r="R492" i="2"/>
  <c r="P739" i="2"/>
  <c r="O747" i="2"/>
  <c r="O740" i="2"/>
  <c r="G760" i="2"/>
  <c r="O547" i="2"/>
  <c r="O537" i="2"/>
  <c r="O541" i="2" s="1"/>
  <c r="Q509" i="2"/>
  <c r="Q510" i="2" s="1"/>
  <c r="Q859" i="2" s="1"/>
  <c r="Q882" i="2" s="1"/>
  <c r="Q981" i="2" s="1"/>
  <c r="V450" i="2"/>
  <c r="W446" i="2" s="1"/>
  <c r="W449" i="2" s="1"/>
  <c r="W437" i="2" s="1"/>
  <c r="W438" i="2" s="1"/>
  <c r="S268" i="2"/>
  <c r="S269" i="2" s="1"/>
  <c r="S270" i="2" s="1"/>
  <c r="H639" i="2"/>
  <c r="P533" i="2"/>
  <c r="P535" i="2" s="1"/>
  <c r="P682" i="2" s="1"/>
  <c r="P683" i="2" s="1"/>
  <c r="P684" i="2" s="1"/>
  <c r="P685" i="2" s="1"/>
  <c r="P686" i="2" s="1"/>
  <c r="P588" i="2"/>
  <c r="P590" i="2" s="1"/>
  <c r="P591" i="2" s="1"/>
  <c r="P592" i="2" s="1"/>
  <c r="H727" i="2"/>
  <c r="H728" i="2" s="1"/>
  <c r="H729" i="2" s="1"/>
  <c r="H730" i="2" s="1"/>
  <c r="N895" i="2"/>
  <c r="N905" i="2" s="1"/>
  <c r="N797" i="2"/>
  <c r="N818" i="2" s="1"/>
  <c r="J561" i="2"/>
  <c r="K556" i="2" s="1"/>
  <c r="J563" i="2"/>
  <c r="S498" i="2"/>
  <c r="S499" i="2" s="1"/>
  <c r="R502" i="2"/>
  <c r="R507" i="2" s="1"/>
  <c r="R508" i="2" s="1"/>
  <c r="H612" i="2"/>
  <c r="H862" i="2"/>
  <c r="H885" i="2" s="1"/>
  <c r="H984" i="2" s="1"/>
  <c r="H637" i="2"/>
  <c r="I566" i="2"/>
  <c r="I567" i="2" s="1"/>
  <c r="L545" i="2"/>
  <c r="M540" i="2" s="1"/>
  <c r="M542" i="2" s="1"/>
  <c r="V462" i="2"/>
  <c r="V463" i="2" s="1"/>
  <c r="V464" i="2" s="1"/>
  <c r="V858" i="2" s="1"/>
  <c r="V881" i="2" s="1"/>
  <c r="V980" i="2" s="1"/>
  <c r="V456" i="2"/>
  <c r="I900" i="2"/>
  <c r="I931" i="2" s="1"/>
  <c r="I939" i="2" s="1"/>
  <c r="I903" i="2"/>
  <c r="I910" i="2" s="1"/>
  <c r="T457" i="2"/>
  <c r="T439" i="2" s="1"/>
  <c r="R576" i="2"/>
  <c r="R586" i="2"/>
  <c r="H635" i="2"/>
  <c r="S500" i="2" l="1"/>
  <c r="S501" i="2" s="1"/>
  <c r="R493" i="2"/>
  <c r="R857" i="2" s="1"/>
  <c r="R880" i="2" s="1"/>
  <c r="R979" i="2" s="1"/>
  <c r="T440" i="2"/>
  <c r="T751" i="2" s="1"/>
  <c r="H697" i="2"/>
  <c r="H698" i="2"/>
  <c r="H699" i="2" s="1"/>
  <c r="O741" i="2"/>
  <c r="O742" i="2" s="1"/>
  <c r="O743" i="2" s="1"/>
  <c r="S489" i="2"/>
  <c r="S490" i="2" s="1"/>
  <c r="P747" i="2"/>
  <c r="P740" i="2"/>
  <c r="G762" i="2"/>
  <c r="H773" i="2"/>
  <c r="O551" i="2"/>
  <c r="O797" i="2" s="1"/>
  <c r="O818" i="2" s="1"/>
  <c r="O627" i="2"/>
  <c r="O628" i="2" s="1"/>
  <c r="O629" i="2" s="1"/>
  <c r="O548" i="2"/>
  <c r="O553" i="2" s="1"/>
  <c r="H803" i="2"/>
  <c r="H824" i="2" s="1"/>
  <c r="Q512" i="2"/>
  <c r="T458" i="2"/>
  <c r="U454" i="2" s="1"/>
  <c r="U457" i="2" s="1"/>
  <c r="U439" i="2" s="1"/>
  <c r="R509" i="2"/>
  <c r="R510" i="2" s="1"/>
  <c r="S505" i="2"/>
  <c r="S506" i="2" s="1"/>
  <c r="S271" i="2"/>
  <c r="T266" i="2" s="1"/>
  <c r="S586" i="2"/>
  <c r="S576" i="2"/>
  <c r="I806" i="2"/>
  <c r="I827" i="2" s="1"/>
  <c r="I595" i="2"/>
  <c r="I570" i="2"/>
  <c r="I594" i="2" s="1"/>
  <c r="H638" i="2"/>
  <c r="H641" i="2"/>
  <c r="H642" i="2" s="1"/>
  <c r="R798" i="2"/>
  <c r="R819" i="2" s="1"/>
  <c r="J565" i="2"/>
  <c r="J893" i="2"/>
  <c r="R579" i="2"/>
  <c r="R580" i="2" s="1"/>
  <c r="R581" i="2" s="1"/>
  <c r="R896" i="2"/>
  <c r="R906" i="2" s="1"/>
  <c r="K558" i="2"/>
  <c r="K559" i="2" s="1"/>
  <c r="K560" i="2" s="1"/>
  <c r="W450" i="2"/>
  <c r="X446" i="2" s="1"/>
  <c r="P543" i="2"/>
  <c r="P537" i="2"/>
  <c r="P547" i="2"/>
  <c r="M544" i="2"/>
  <c r="M552" i="2" s="1"/>
  <c r="W462" i="2"/>
  <c r="W463" i="2" s="1"/>
  <c r="W464" i="2" s="1"/>
  <c r="W858" i="2" s="1"/>
  <c r="W881" i="2" s="1"/>
  <c r="W980" i="2" s="1"/>
  <c r="W456" i="2"/>
  <c r="H640" i="2"/>
  <c r="H643" i="2"/>
  <c r="H644" i="2" s="1"/>
  <c r="T856" i="2" l="1"/>
  <c r="T879" i="2" s="1"/>
  <c r="T978" i="2" s="1"/>
  <c r="T759" i="2"/>
  <c r="T484" i="2"/>
  <c r="T485" i="2" s="1"/>
  <c r="T500" i="2" s="1"/>
  <c r="U440" i="2"/>
  <c r="U751" i="2" s="1"/>
  <c r="I691" i="2"/>
  <c r="I692" i="2" s="1"/>
  <c r="P741" i="2"/>
  <c r="P742" i="2" s="1"/>
  <c r="P743" i="2" s="1"/>
  <c r="S492" i="2"/>
  <c r="Q739" i="2"/>
  <c r="G765" i="2"/>
  <c r="G763" i="2"/>
  <c r="O895" i="2"/>
  <c r="O905" i="2" s="1"/>
  <c r="Q533" i="2"/>
  <c r="Q535" i="2" s="1"/>
  <c r="Q682" i="2" s="1"/>
  <c r="Q683" i="2" s="1"/>
  <c r="Q684" i="2" s="1"/>
  <c r="Q685" i="2" s="1"/>
  <c r="Q686" i="2" s="1"/>
  <c r="Q588" i="2"/>
  <c r="Q590" i="2" s="1"/>
  <c r="Q591" i="2" s="1"/>
  <c r="Q592" i="2" s="1"/>
  <c r="M545" i="2"/>
  <c r="N540" i="2" s="1"/>
  <c r="N542" i="2" s="1"/>
  <c r="N544" i="2" s="1"/>
  <c r="N552" i="2" s="1"/>
  <c r="U458" i="2"/>
  <c r="V454" i="2" s="1"/>
  <c r="V457" i="2" s="1"/>
  <c r="V439" i="2" s="1"/>
  <c r="J903" i="2"/>
  <c r="J910" i="2" s="1"/>
  <c r="J900" i="2"/>
  <c r="J931" i="2" s="1"/>
  <c r="J939" i="2" s="1"/>
  <c r="J566" i="2"/>
  <c r="J567" i="2" s="1"/>
  <c r="S896" i="2"/>
  <c r="S906" i="2" s="1"/>
  <c r="S579" i="2"/>
  <c r="S580" i="2" s="1"/>
  <c r="S581" i="2" s="1"/>
  <c r="P627" i="2"/>
  <c r="P628" i="2" s="1"/>
  <c r="P629" i="2" s="1"/>
  <c r="P548" i="2"/>
  <c r="P553" i="2" s="1"/>
  <c r="K561" i="2"/>
  <c r="L556" i="2" s="1"/>
  <c r="K563" i="2"/>
  <c r="S798" i="2"/>
  <c r="S819" i="2" s="1"/>
  <c r="P541" i="2"/>
  <c r="P551" i="2"/>
  <c r="T268" i="2"/>
  <c r="T269" i="2" s="1"/>
  <c r="T270" i="2" s="1"/>
  <c r="I603" i="2"/>
  <c r="I604" i="2" s="1"/>
  <c r="I727" i="2" s="1"/>
  <c r="I728" i="2" s="1"/>
  <c r="I729" i="2" s="1"/>
  <c r="I730" i="2" s="1"/>
  <c r="I634" i="2"/>
  <c r="X449" i="2"/>
  <c r="X437" i="2" s="1"/>
  <c r="X438" i="2" s="1"/>
  <c r="I861" i="2"/>
  <c r="I884" i="2" s="1"/>
  <c r="I983" i="2" s="1"/>
  <c r="S502" i="2"/>
  <c r="S507" i="2" s="1"/>
  <c r="S508" i="2" s="1"/>
  <c r="T498" i="2"/>
  <c r="T499" i="2" s="1"/>
  <c r="R859" i="2"/>
  <c r="R882" i="2" s="1"/>
  <c r="R981" i="2" s="1"/>
  <c r="R512" i="2"/>
  <c r="U856" i="2" l="1"/>
  <c r="U879" i="2" s="1"/>
  <c r="U978" i="2" s="1"/>
  <c r="T491" i="2"/>
  <c r="U484" i="2"/>
  <c r="U485" i="2" s="1"/>
  <c r="U491" i="2" s="1"/>
  <c r="U759" i="2"/>
  <c r="S493" i="2"/>
  <c r="S857" i="2" s="1"/>
  <c r="S880" i="2" s="1"/>
  <c r="S979" i="2" s="1"/>
  <c r="V440" i="2"/>
  <c r="V484" i="2" s="1"/>
  <c r="V485" i="2" s="1"/>
  <c r="I695" i="2"/>
  <c r="I696" i="2" s="1"/>
  <c r="I693" i="2"/>
  <c r="Q543" i="2"/>
  <c r="T489" i="2"/>
  <c r="T490" i="2" s="1"/>
  <c r="R739" i="2"/>
  <c r="Q747" i="2"/>
  <c r="Q740" i="2"/>
  <c r="I774" i="2"/>
  <c r="Q547" i="2"/>
  <c r="Q537" i="2"/>
  <c r="Q541" i="2" s="1"/>
  <c r="V458" i="2"/>
  <c r="W454" i="2" s="1"/>
  <c r="W457" i="2" s="1"/>
  <c r="W439" i="2" s="1"/>
  <c r="T501" i="2"/>
  <c r="U498" i="2" s="1"/>
  <c r="U499" i="2" s="1"/>
  <c r="X450" i="2"/>
  <c r="Y446" i="2" s="1"/>
  <c r="Y449" i="2" s="1"/>
  <c r="Y437" i="2" s="1"/>
  <c r="Y438" i="2" s="1"/>
  <c r="N545" i="2"/>
  <c r="O540" i="2" s="1"/>
  <c r="O542" i="2" s="1"/>
  <c r="O544" i="2" s="1"/>
  <c r="O552" i="2" s="1"/>
  <c r="I635" i="2"/>
  <c r="K565" i="2"/>
  <c r="K893" i="2"/>
  <c r="J595" i="2"/>
  <c r="J806" i="2"/>
  <c r="J827" i="2" s="1"/>
  <c r="J570" i="2"/>
  <c r="J594" i="2" s="1"/>
  <c r="X462" i="2"/>
  <c r="X463" i="2" s="1"/>
  <c r="X464" i="2" s="1"/>
  <c r="X858" i="2" s="1"/>
  <c r="X881" i="2" s="1"/>
  <c r="X980" i="2" s="1"/>
  <c r="X456" i="2"/>
  <c r="I862" i="2"/>
  <c r="I885" i="2" s="1"/>
  <c r="I984" i="2" s="1"/>
  <c r="I612" i="2"/>
  <c r="L558" i="2"/>
  <c r="L559" i="2" s="1"/>
  <c r="T271" i="2"/>
  <c r="U266" i="2" s="1"/>
  <c r="T586" i="2"/>
  <c r="T576" i="2"/>
  <c r="T505" i="2"/>
  <c r="T506" i="2" s="1"/>
  <c r="S509" i="2"/>
  <c r="S510" i="2" s="1"/>
  <c r="P895" i="2"/>
  <c r="P905" i="2" s="1"/>
  <c r="P797" i="2"/>
  <c r="P818" i="2" s="1"/>
  <c r="I637" i="2"/>
  <c r="I639" i="2"/>
  <c r="R533" i="2"/>
  <c r="R535" i="2" s="1"/>
  <c r="R682" i="2" s="1"/>
  <c r="R683" i="2" s="1"/>
  <c r="R684" i="2" s="1"/>
  <c r="R685" i="2" s="1"/>
  <c r="R686" i="2" s="1"/>
  <c r="R588" i="2"/>
  <c r="R590" i="2" s="1"/>
  <c r="R591" i="2" s="1"/>
  <c r="R592" i="2" s="1"/>
  <c r="U500" i="2" l="1"/>
  <c r="U501" i="2" s="1"/>
  <c r="V498" i="2" s="1"/>
  <c r="V499" i="2" s="1"/>
  <c r="V856" i="2"/>
  <c r="V879" i="2" s="1"/>
  <c r="V978" i="2" s="1"/>
  <c r="V759" i="2"/>
  <c r="V751" i="2"/>
  <c r="W440" i="2"/>
  <c r="W751" i="2" s="1"/>
  <c r="I697" i="2"/>
  <c r="I698" i="2"/>
  <c r="I699" i="2" s="1"/>
  <c r="J691" i="2"/>
  <c r="J692" i="2" s="1"/>
  <c r="Q741" i="2"/>
  <c r="Q742" i="2" s="1"/>
  <c r="Q743" i="2" s="1"/>
  <c r="Q627" i="2"/>
  <c r="Q628" i="2" s="1"/>
  <c r="Q629" i="2" s="1"/>
  <c r="K566" i="2"/>
  <c r="K567" i="2" s="1"/>
  <c r="K806" i="2" s="1"/>
  <c r="K827" i="2" s="1"/>
  <c r="T492" i="2"/>
  <c r="R747" i="2"/>
  <c r="R740" i="2"/>
  <c r="I773" i="2"/>
  <c r="Q551" i="2"/>
  <c r="Q797" i="2" s="1"/>
  <c r="Q818" i="2" s="1"/>
  <c r="Q548" i="2"/>
  <c r="Q553" i="2" s="1"/>
  <c r="I803" i="2"/>
  <c r="I824" i="2" s="1"/>
  <c r="T502" i="2"/>
  <c r="T507" i="2" s="1"/>
  <c r="T508" i="2" s="1"/>
  <c r="O545" i="2"/>
  <c r="P540" i="2" s="1"/>
  <c r="P542" i="2" s="1"/>
  <c r="P544" i="2" s="1"/>
  <c r="L560" i="2"/>
  <c r="L563" i="2" s="1"/>
  <c r="U268" i="2"/>
  <c r="U269" i="2" s="1"/>
  <c r="R543" i="2"/>
  <c r="R537" i="2"/>
  <c r="R547" i="2"/>
  <c r="I638" i="2"/>
  <c r="I641" i="2"/>
  <c r="I642" i="2" s="1"/>
  <c r="J634" i="2"/>
  <c r="J603" i="2"/>
  <c r="J604" i="2" s="1"/>
  <c r="J774" i="2" s="1"/>
  <c r="I640" i="2"/>
  <c r="I643" i="2"/>
  <c r="I644" i="2" s="1"/>
  <c r="S859" i="2"/>
  <c r="S882" i="2" s="1"/>
  <c r="S981" i="2" s="1"/>
  <c r="S512" i="2"/>
  <c r="J861" i="2"/>
  <c r="J884" i="2" s="1"/>
  <c r="J983" i="2" s="1"/>
  <c r="V500" i="2"/>
  <c r="V491" i="2"/>
  <c r="W458" i="2"/>
  <c r="X454" i="2" s="1"/>
  <c r="T896" i="2"/>
  <c r="T906" i="2" s="1"/>
  <c r="T579" i="2"/>
  <c r="T580" i="2" s="1"/>
  <c r="T581" i="2" s="1"/>
  <c r="K900" i="2"/>
  <c r="K931" i="2" s="1"/>
  <c r="K939" i="2" s="1"/>
  <c r="K903" i="2"/>
  <c r="K910" i="2" s="1"/>
  <c r="Y450" i="2"/>
  <c r="Z446" i="2" s="1"/>
  <c r="T798" i="2"/>
  <c r="T819" i="2" s="1"/>
  <c r="Y456" i="2"/>
  <c r="Y462" i="2"/>
  <c r="Y463" i="2" s="1"/>
  <c r="Y464" i="2" s="1"/>
  <c r="Y858" i="2" s="1"/>
  <c r="Y881" i="2" s="1"/>
  <c r="Y980" i="2" s="1"/>
  <c r="W856" i="2" l="1"/>
  <c r="W879" i="2" s="1"/>
  <c r="W978" i="2" s="1"/>
  <c r="W759" i="2"/>
  <c r="W484" i="2"/>
  <c r="W485" i="2" s="1"/>
  <c r="W491" i="2" s="1"/>
  <c r="U489" i="2"/>
  <c r="U490" i="2" s="1"/>
  <c r="U492" i="2" s="1"/>
  <c r="T493" i="2"/>
  <c r="T857" i="2" s="1"/>
  <c r="T880" i="2" s="1"/>
  <c r="T979" i="2" s="1"/>
  <c r="J695" i="2"/>
  <c r="J696" i="2" s="1"/>
  <c r="K570" i="2"/>
  <c r="K594" i="2" s="1"/>
  <c r="K595" i="2"/>
  <c r="K861" i="2" s="1"/>
  <c r="K884" i="2" s="1"/>
  <c r="K983" i="2" s="1"/>
  <c r="J693" i="2"/>
  <c r="R741" i="2"/>
  <c r="R742" i="2" s="1"/>
  <c r="R743" i="2" s="1"/>
  <c r="S739" i="2"/>
  <c r="Q895" i="2"/>
  <c r="Q905" i="2" s="1"/>
  <c r="U502" i="2"/>
  <c r="U507" i="2" s="1"/>
  <c r="J727" i="2"/>
  <c r="J728" i="2" s="1"/>
  <c r="J729" i="2" s="1"/>
  <c r="J730" i="2" s="1"/>
  <c r="J637" i="2"/>
  <c r="P552" i="2"/>
  <c r="P545" i="2"/>
  <c r="Q540" i="2" s="1"/>
  <c r="Q542" i="2" s="1"/>
  <c r="Q544" i="2" s="1"/>
  <c r="Q552" i="2" s="1"/>
  <c r="V501" i="2"/>
  <c r="R541" i="2"/>
  <c r="R551" i="2"/>
  <c r="U270" i="2"/>
  <c r="U271" i="2" s="1"/>
  <c r="V266" i="2" s="1"/>
  <c r="Z449" i="2"/>
  <c r="Z437" i="2" s="1"/>
  <c r="Z438" i="2" s="1"/>
  <c r="J639" i="2"/>
  <c r="J612" i="2"/>
  <c r="J862" i="2"/>
  <c r="J885" i="2" s="1"/>
  <c r="J984" i="2" s="1"/>
  <c r="T509" i="2"/>
  <c r="T510" i="2" s="1"/>
  <c r="U505" i="2"/>
  <c r="U506" i="2" s="1"/>
  <c r="J635" i="2"/>
  <c r="L893" i="2"/>
  <c r="L565" i="2"/>
  <c r="X457" i="2"/>
  <c r="X439" i="2" s="1"/>
  <c r="S588" i="2"/>
  <c r="S590" i="2" s="1"/>
  <c r="S591" i="2" s="1"/>
  <c r="S592" i="2" s="1"/>
  <c r="S533" i="2"/>
  <c r="S535" i="2" s="1"/>
  <c r="S682" i="2" s="1"/>
  <c r="S683" i="2" s="1"/>
  <c r="S684" i="2" s="1"/>
  <c r="S685" i="2" s="1"/>
  <c r="S686" i="2" s="1"/>
  <c r="R627" i="2"/>
  <c r="R628" i="2" s="1"/>
  <c r="R629" i="2" s="1"/>
  <c r="R548" i="2"/>
  <c r="R553" i="2" s="1"/>
  <c r="L561" i="2"/>
  <c r="M556" i="2" s="1"/>
  <c r="M558" i="2" s="1"/>
  <c r="M559" i="2" s="1"/>
  <c r="M560" i="2" s="1"/>
  <c r="W500" i="2" l="1"/>
  <c r="K603" i="2"/>
  <c r="K604" i="2" s="1"/>
  <c r="K774" i="2" s="1"/>
  <c r="U493" i="2"/>
  <c r="U857" i="2" s="1"/>
  <c r="U880" i="2" s="1"/>
  <c r="U979" i="2" s="1"/>
  <c r="X440" i="2"/>
  <c r="X759" i="2" s="1"/>
  <c r="K691" i="2"/>
  <c r="K692" i="2" s="1"/>
  <c r="K693" i="2" s="1"/>
  <c r="K634" i="2"/>
  <c r="K635" i="2" s="1"/>
  <c r="J697" i="2"/>
  <c r="J698" i="2"/>
  <c r="J699" i="2" s="1"/>
  <c r="L566" i="2"/>
  <c r="L567" i="2" s="1"/>
  <c r="L806" i="2" s="1"/>
  <c r="L827" i="2" s="1"/>
  <c r="J638" i="2"/>
  <c r="V489" i="2"/>
  <c r="V490" i="2" s="1"/>
  <c r="V492" i="2" s="1"/>
  <c r="V493" i="2" s="1"/>
  <c r="S747" i="2"/>
  <c r="S740" i="2"/>
  <c r="J773" i="2"/>
  <c r="J803" i="2"/>
  <c r="J824" i="2" s="1"/>
  <c r="J641" i="2"/>
  <c r="J642" i="2" s="1"/>
  <c r="U508" i="2"/>
  <c r="U509" i="2" s="1"/>
  <c r="U510" i="2" s="1"/>
  <c r="Z450" i="2"/>
  <c r="AA446" i="2" s="1"/>
  <c r="AA449" i="2" s="1"/>
  <c r="AA437" i="2" s="1"/>
  <c r="AA438" i="2" s="1"/>
  <c r="T859" i="2"/>
  <c r="T882" i="2" s="1"/>
  <c r="T981" i="2" s="1"/>
  <c r="T512" i="2"/>
  <c r="S547" i="2"/>
  <c r="S537" i="2"/>
  <c r="S543" i="2"/>
  <c r="W498" i="2"/>
  <c r="W499" i="2" s="1"/>
  <c r="V502" i="2"/>
  <c r="V507" i="2" s="1"/>
  <c r="X458" i="2"/>
  <c r="Y454" i="2" s="1"/>
  <c r="J640" i="2"/>
  <c r="J643" i="2"/>
  <c r="J644" i="2" s="1"/>
  <c r="Z456" i="2"/>
  <c r="Z462" i="2"/>
  <c r="Z463" i="2" s="1"/>
  <c r="Z464" i="2" s="1"/>
  <c r="Z858" i="2" s="1"/>
  <c r="Z881" i="2" s="1"/>
  <c r="Z980" i="2" s="1"/>
  <c r="V268" i="2"/>
  <c r="V269" i="2" s="1"/>
  <c r="U576" i="2"/>
  <c r="U586" i="2"/>
  <c r="M561" i="2"/>
  <c r="N556" i="2" s="1"/>
  <c r="M563" i="2"/>
  <c r="L900" i="2"/>
  <c r="L931" i="2" s="1"/>
  <c r="L939" i="2" s="1"/>
  <c r="L903" i="2"/>
  <c r="L910" i="2" s="1"/>
  <c r="R797" i="2"/>
  <c r="R818" i="2" s="1"/>
  <c r="R895" i="2"/>
  <c r="R905" i="2" s="1"/>
  <c r="Q545" i="2"/>
  <c r="R540" i="2" s="1"/>
  <c r="R542" i="2" s="1"/>
  <c r="X856" i="2" l="1"/>
  <c r="X879" i="2" s="1"/>
  <c r="X978" i="2" s="1"/>
  <c r="W501" i="2"/>
  <c r="X498" i="2" s="1"/>
  <c r="X499" i="2" s="1"/>
  <c r="K727" i="2"/>
  <c r="K728" i="2" s="1"/>
  <c r="K729" i="2" s="1"/>
  <c r="K730" i="2" s="1"/>
  <c r="K637" i="2"/>
  <c r="K641" i="2" s="1"/>
  <c r="K642" i="2" s="1"/>
  <c r="K612" i="2"/>
  <c r="K803" i="2" s="1"/>
  <c r="K824" i="2" s="1"/>
  <c r="K862" i="2"/>
  <c r="K885" i="2" s="1"/>
  <c r="K984" i="2" s="1"/>
  <c r="K639" i="2"/>
  <c r="K643" i="2" s="1"/>
  <c r="K644" i="2" s="1"/>
  <c r="X484" i="2"/>
  <c r="X485" i="2" s="1"/>
  <c r="X491" i="2" s="1"/>
  <c r="K695" i="2"/>
  <c r="K696" i="2" s="1"/>
  <c r="K698" i="2" s="1"/>
  <c r="K699" i="2" s="1"/>
  <c r="X751" i="2"/>
  <c r="L570" i="2"/>
  <c r="L594" i="2" s="1"/>
  <c r="L595" i="2"/>
  <c r="L861" i="2" s="1"/>
  <c r="L884" i="2" s="1"/>
  <c r="L983" i="2" s="1"/>
  <c r="S741" i="2"/>
  <c r="S742" i="2" s="1"/>
  <c r="S743" i="2" s="1"/>
  <c r="W489" i="2"/>
  <c r="W490" i="2" s="1"/>
  <c r="W492" i="2" s="1"/>
  <c r="W493" i="2" s="1"/>
  <c r="T739" i="2"/>
  <c r="V505" i="2"/>
  <c r="V506" i="2" s="1"/>
  <c r="V508" i="2" s="1"/>
  <c r="V509" i="2" s="1"/>
  <c r="V510" i="2" s="1"/>
  <c r="V859" i="2" s="1"/>
  <c r="V882" i="2" s="1"/>
  <c r="V981" i="2" s="1"/>
  <c r="AA450" i="2"/>
  <c r="AB446" i="2" s="1"/>
  <c r="AB449" i="2" s="1"/>
  <c r="AB437" i="2" s="1"/>
  <c r="AB438" i="2" s="1"/>
  <c r="V270" i="2"/>
  <c r="V271" i="2" s="1"/>
  <c r="W266" i="2" s="1"/>
  <c r="U798" i="2"/>
  <c r="U819" i="2" s="1"/>
  <c r="Y457" i="2"/>
  <c r="Y439" i="2" s="1"/>
  <c r="S627" i="2"/>
  <c r="S628" i="2" s="1"/>
  <c r="S629" i="2" s="1"/>
  <c r="S548" i="2"/>
  <c r="S553" i="2" s="1"/>
  <c r="U579" i="2"/>
  <c r="U580" i="2" s="1"/>
  <c r="U581" i="2" s="1"/>
  <c r="U896" i="2"/>
  <c r="U906" i="2" s="1"/>
  <c r="AA462" i="2"/>
  <c r="AA463" i="2" s="1"/>
  <c r="AA464" i="2" s="1"/>
  <c r="AA858" i="2" s="1"/>
  <c r="AA881" i="2" s="1"/>
  <c r="AA980" i="2" s="1"/>
  <c r="AA456" i="2"/>
  <c r="M565" i="2"/>
  <c r="M893" i="2"/>
  <c r="T533" i="2"/>
  <c r="T535" i="2" s="1"/>
  <c r="T682" i="2" s="1"/>
  <c r="T683" i="2" s="1"/>
  <c r="T684" i="2" s="1"/>
  <c r="T685" i="2" s="1"/>
  <c r="T686" i="2" s="1"/>
  <c r="T588" i="2"/>
  <c r="T590" i="2" s="1"/>
  <c r="T591" i="2" s="1"/>
  <c r="T592" i="2" s="1"/>
  <c r="U859" i="2"/>
  <c r="U882" i="2" s="1"/>
  <c r="U981" i="2" s="1"/>
  <c r="U512" i="2"/>
  <c r="N558" i="2"/>
  <c r="N559" i="2" s="1"/>
  <c r="N560" i="2" s="1"/>
  <c r="V857" i="2"/>
  <c r="V880" i="2" s="1"/>
  <c r="V979" i="2" s="1"/>
  <c r="R544" i="2"/>
  <c r="R552" i="2" s="1"/>
  <c r="S541" i="2"/>
  <c r="S551" i="2"/>
  <c r="K773" i="2" l="1"/>
  <c r="K638" i="2"/>
  <c r="K640" i="2"/>
  <c r="W502" i="2"/>
  <c r="W507" i="2" s="1"/>
  <c r="X500" i="2"/>
  <c r="X501" i="2" s="1"/>
  <c r="K697" i="2"/>
  <c r="L603" i="2"/>
  <c r="L604" i="2" s="1"/>
  <c r="L774" i="2" s="1"/>
  <c r="Y440" i="2"/>
  <c r="Y751" i="2" s="1"/>
  <c r="L634" i="2"/>
  <c r="L635" i="2" s="1"/>
  <c r="L691" i="2"/>
  <c r="L692" i="2" s="1"/>
  <c r="M566" i="2"/>
  <c r="M567" i="2" s="1"/>
  <c r="M806" i="2" s="1"/>
  <c r="M827" i="2" s="1"/>
  <c r="X489" i="2"/>
  <c r="X490" i="2" s="1"/>
  <c r="U739" i="2"/>
  <c r="T747" i="2"/>
  <c r="T740" i="2"/>
  <c r="W505" i="2"/>
  <c r="W506" i="2" s="1"/>
  <c r="Y458" i="2"/>
  <c r="Z454" i="2" s="1"/>
  <c r="Z457" i="2" s="1"/>
  <c r="Z439" i="2" s="1"/>
  <c r="V512" i="2"/>
  <c r="N561" i="2"/>
  <c r="O556" i="2" s="1"/>
  <c r="N563" i="2"/>
  <c r="W268" i="2"/>
  <c r="W269" i="2" s="1"/>
  <c r="W270" i="2" s="1"/>
  <c r="U588" i="2"/>
  <c r="U590" i="2" s="1"/>
  <c r="U591" i="2" s="1"/>
  <c r="U592" i="2" s="1"/>
  <c r="U533" i="2"/>
  <c r="U535" i="2" s="1"/>
  <c r="U682" i="2" s="1"/>
  <c r="U683" i="2" s="1"/>
  <c r="U684" i="2" s="1"/>
  <c r="U685" i="2" s="1"/>
  <c r="U686" i="2" s="1"/>
  <c r="S797" i="2"/>
  <c r="S818" i="2" s="1"/>
  <c r="S895" i="2"/>
  <c r="S905" i="2" s="1"/>
  <c r="M903" i="2"/>
  <c r="M910" i="2" s="1"/>
  <c r="M900" i="2"/>
  <c r="M931" i="2" s="1"/>
  <c r="M939" i="2" s="1"/>
  <c r="AB450" i="2"/>
  <c r="AC446" i="2" s="1"/>
  <c r="AB462" i="2"/>
  <c r="AB463" i="2" s="1"/>
  <c r="AB464" i="2" s="1"/>
  <c r="AB858" i="2" s="1"/>
  <c r="AB881" i="2" s="1"/>
  <c r="AB980" i="2" s="1"/>
  <c r="AB456" i="2"/>
  <c r="T543" i="2"/>
  <c r="T537" i="2"/>
  <c r="T547" i="2"/>
  <c r="W857" i="2"/>
  <c r="W880" i="2" s="1"/>
  <c r="W979" i="2" s="1"/>
  <c r="R545" i="2"/>
  <c r="S540" i="2" s="1"/>
  <c r="S542" i="2" s="1"/>
  <c r="V576" i="2"/>
  <c r="V586" i="2"/>
  <c r="W508" i="2" l="1"/>
  <c r="W509" i="2" s="1"/>
  <c r="W510" i="2" s="1"/>
  <c r="W859" i="2" s="1"/>
  <c r="W882" i="2" s="1"/>
  <c r="W981" i="2" s="1"/>
  <c r="L727" i="2"/>
  <c r="L728" i="2" s="1"/>
  <c r="L729" i="2" s="1"/>
  <c r="L730" i="2" s="1"/>
  <c r="L637" i="2"/>
  <c r="L641" i="2" s="1"/>
  <c r="L642" i="2" s="1"/>
  <c r="L695" i="2"/>
  <c r="L696" i="2" s="1"/>
  <c r="L698" i="2" s="1"/>
  <c r="L862" i="2"/>
  <c r="L885" i="2" s="1"/>
  <c r="L984" i="2" s="1"/>
  <c r="L612" i="2"/>
  <c r="L773" i="2" s="1"/>
  <c r="L639" i="2"/>
  <c r="L640" i="2" s="1"/>
  <c r="Y759" i="2"/>
  <c r="Y856" i="2"/>
  <c r="Y879" i="2" s="1"/>
  <c r="Y978" i="2" s="1"/>
  <c r="Z440" i="2"/>
  <c r="Z751" i="2" s="1"/>
  <c r="Y484" i="2"/>
  <c r="Y485" i="2" s="1"/>
  <c r="Y500" i="2" s="1"/>
  <c r="M570" i="2"/>
  <c r="M594" i="2" s="1"/>
  <c r="L693" i="2"/>
  <c r="T741" i="2"/>
  <c r="T742" i="2" s="1"/>
  <c r="T743" i="2" s="1"/>
  <c r="M595" i="2"/>
  <c r="X492" i="2"/>
  <c r="X493" i="2" s="1"/>
  <c r="U747" i="2"/>
  <c r="U740" i="2"/>
  <c r="V739" i="2"/>
  <c r="V533" i="2"/>
  <c r="V535" i="2" s="1"/>
  <c r="V682" i="2" s="1"/>
  <c r="V683" i="2" s="1"/>
  <c r="V684" i="2" s="1"/>
  <c r="V685" i="2" s="1"/>
  <c r="V686" i="2" s="1"/>
  <c r="V588" i="2"/>
  <c r="V590" i="2" s="1"/>
  <c r="V591" i="2" s="1"/>
  <c r="V592" i="2" s="1"/>
  <c r="Z458" i="2"/>
  <c r="AA454" i="2" s="1"/>
  <c r="AA457" i="2" s="1"/>
  <c r="AA439" i="2" s="1"/>
  <c r="S544" i="2"/>
  <c r="S552" i="2" s="1"/>
  <c r="U543" i="2"/>
  <c r="U537" i="2"/>
  <c r="U547" i="2"/>
  <c r="AC449" i="2"/>
  <c r="AC437" i="2" s="1"/>
  <c r="AC438" i="2" s="1"/>
  <c r="W271" i="2"/>
  <c r="X266" i="2" s="1"/>
  <c r="W586" i="2"/>
  <c r="W576" i="2"/>
  <c r="T627" i="2"/>
  <c r="T628" i="2" s="1"/>
  <c r="T629" i="2" s="1"/>
  <c r="T548" i="2"/>
  <c r="T553" i="2" s="1"/>
  <c r="N893" i="2"/>
  <c r="N565" i="2"/>
  <c r="V798" i="2"/>
  <c r="V819" i="2" s="1"/>
  <c r="T551" i="2"/>
  <c r="T541" i="2"/>
  <c r="O558" i="2"/>
  <c r="O559" i="2" s="1"/>
  <c r="V896" i="2"/>
  <c r="V906" i="2" s="1"/>
  <c r="V579" i="2"/>
  <c r="V580" i="2" s="1"/>
  <c r="V581" i="2" s="1"/>
  <c r="X502" i="2"/>
  <c r="X507" i="2" s="1"/>
  <c r="Y498" i="2"/>
  <c r="Y499" i="2" s="1"/>
  <c r="W512" i="2" l="1"/>
  <c r="W588" i="2" s="1"/>
  <c r="W590" i="2" s="1"/>
  <c r="W591" i="2" s="1"/>
  <c r="W592" i="2" s="1"/>
  <c r="X505" i="2"/>
  <c r="X506" i="2" s="1"/>
  <c r="L638" i="2"/>
  <c r="L643" i="2"/>
  <c r="L644" i="2" s="1"/>
  <c r="L697" i="2"/>
  <c r="Z856" i="2"/>
  <c r="Z879" i="2" s="1"/>
  <c r="Z978" i="2" s="1"/>
  <c r="L803" i="2"/>
  <c r="L824" i="2" s="1"/>
  <c r="M603" i="2"/>
  <c r="M604" i="2" s="1"/>
  <c r="M695" i="2" s="1"/>
  <c r="M696" i="2" s="1"/>
  <c r="Y491" i="2"/>
  <c r="Z759" i="2"/>
  <c r="Z484" i="2"/>
  <c r="Z485" i="2" s="1"/>
  <c r="Z491" i="2" s="1"/>
  <c r="AA440" i="2"/>
  <c r="AA751" i="2" s="1"/>
  <c r="L699" i="2"/>
  <c r="M861" i="2"/>
  <c r="M884" i="2" s="1"/>
  <c r="M983" i="2" s="1"/>
  <c r="M691" i="2"/>
  <c r="M692" i="2" s="1"/>
  <c r="M634" i="2"/>
  <c r="U741" i="2"/>
  <c r="U742" i="2" s="1"/>
  <c r="U743" i="2" s="1"/>
  <c r="V547" i="2"/>
  <c r="V627" i="2" s="1"/>
  <c r="V628" i="2" s="1"/>
  <c r="N566" i="2"/>
  <c r="N567" i="2" s="1"/>
  <c r="N806" i="2" s="1"/>
  <c r="N827" i="2" s="1"/>
  <c r="Y489" i="2"/>
  <c r="Y490" i="2" s="1"/>
  <c r="V747" i="2"/>
  <c r="V740" i="2"/>
  <c r="Y501" i="2"/>
  <c r="Y502" i="2" s="1"/>
  <c r="Y507" i="2" s="1"/>
  <c r="V543" i="2"/>
  <c r="V537" i="2"/>
  <c r="V541" i="2" s="1"/>
  <c r="X508" i="2"/>
  <c r="X509" i="2" s="1"/>
  <c r="X510" i="2" s="1"/>
  <c r="S545" i="2"/>
  <c r="T540" i="2" s="1"/>
  <c r="T542" i="2" s="1"/>
  <c r="O560" i="2"/>
  <c r="O563" i="2" s="1"/>
  <c r="W579" i="2"/>
  <c r="W580" i="2" s="1"/>
  <c r="W581" i="2" s="1"/>
  <c r="W896" i="2"/>
  <c r="W906" i="2" s="1"/>
  <c r="W798" i="2"/>
  <c r="W819" i="2" s="1"/>
  <c r="N900" i="2"/>
  <c r="N931" i="2" s="1"/>
  <c r="N939" i="2" s="1"/>
  <c r="N903" i="2"/>
  <c r="N910" i="2" s="1"/>
  <c r="X268" i="2"/>
  <c r="X269" i="2" s="1"/>
  <c r="AC450" i="2"/>
  <c r="AD446" i="2" s="1"/>
  <c r="AA458" i="2"/>
  <c r="AB454" i="2" s="1"/>
  <c r="AC456" i="2"/>
  <c r="AC462" i="2"/>
  <c r="AC463" i="2" s="1"/>
  <c r="AC464" i="2" s="1"/>
  <c r="AC858" i="2" s="1"/>
  <c r="AC881" i="2" s="1"/>
  <c r="AC980" i="2" s="1"/>
  <c r="T797" i="2"/>
  <c r="T818" i="2" s="1"/>
  <c r="T895" i="2"/>
  <c r="T905" i="2" s="1"/>
  <c r="U627" i="2"/>
  <c r="U628" i="2" s="1"/>
  <c r="U629" i="2" s="1"/>
  <c r="U548" i="2"/>
  <c r="U553" i="2" s="1"/>
  <c r="X857" i="2"/>
  <c r="X880" i="2" s="1"/>
  <c r="X979" i="2" s="1"/>
  <c r="U541" i="2"/>
  <c r="U551" i="2"/>
  <c r="W533" i="2" l="1"/>
  <c r="W535" i="2" s="1"/>
  <c r="W682" i="2" s="1"/>
  <c r="W683" i="2" s="1"/>
  <c r="W684" i="2" s="1"/>
  <c r="W685" i="2" s="1"/>
  <c r="W686" i="2" s="1"/>
  <c r="W739" i="2"/>
  <c r="W747" i="2" s="1"/>
  <c r="M612" i="2"/>
  <c r="M803" i="2" s="1"/>
  <c r="M824" i="2" s="1"/>
  <c r="M862" i="2"/>
  <c r="M885" i="2" s="1"/>
  <c r="M984" i="2" s="1"/>
  <c r="M639" i="2"/>
  <c r="M640" i="2" s="1"/>
  <c r="M774" i="2"/>
  <c r="M727" i="2"/>
  <c r="M728" i="2" s="1"/>
  <c r="M729" i="2" s="1"/>
  <c r="M730" i="2" s="1"/>
  <c r="Z500" i="2"/>
  <c r="AA856" i="2"/>
  <c r="AA879" i="2" s="1"/>
  <c r="AA978" i="2" s="1"/>
  <c r="M637" i="2"/>
  <c r="M641" i="2" s="1"/>
  <c r="AA484" i="2"/>
  <c r="AA485" i="2" s="1"/>
  <c r="AA500" i="2" s="1"/>
  <c r="AA759" i="2"/>
  <c r="M693" i="2"/>
  <c r="M697" i="2"/>
  <c r="M698" i="2"/>
  <c r="V548" i="2"/>
  <c r="V553" i="2" s="1"/>
  <c r="M635" i="2"/>
  <c r="N595" i="2"/>
  <c r="N861" i="2" s="1"/>
  <c r="N884" i="2" s="1"/>
  <c r="N983" i="2" s="1"/>
  <c r="N570" i="2"/>
  <c r="N594" i="2" s="1"/>
  <c r="V741" i="2"/>
  <c r="V742" i="2" s="1"/>
  <c r="V743" i="2" s="1"/>
  <c r="Y492" i="2"/>
  <c r="V551" i="2"/>
  <c r="V895" i="2" s="1"/>
  <c r="V905" i="2" s="1"/>
  <c r="Z498" i="2"/>
  <c r="Z499" i="2" s="1"/>
  <c r="X859" i="2"/>
  <c r="X882" i="2" s="1"/>
  <c r="X981" i="2" s="1"/>
  <c r="X512" i="2"/>
  <c r="Y505" i="2"/>
  <c r="Y506" i="2" s="1"/>
  <c r="Y508" i="2" s="1"/>
  <c r="X270" i="2"/>
  <c r="X271" i="2" s="1"/>
  <c r="Y266" i="2" s="1"/>
  <c r="AB457" i="2"/>
  <c r="AB439" i="2" s="1"/>
  <c r="T544" i="2"/>
  <c r="T552" i="2" s="1"/>
  <c r="AD449" i="2"/>
  <c r="AD437" i="2" s="1"/>
  <c r="AD438" i="2" s="1"/>
  <c r="U895" i="2"/>
  <c r="U905" i="2" s="1"/>
  <c r="U797" i="2"/>
  <c r="U818" i="2" s="1"/>
  <c r="V629" i="2"/>
  <c r="O565" i="2"/>
  <c r="O893" i="2"/>
  <c r="O561" i="2"/>
  <c r="P556" i="2" s="1"/>
  <c r="W547" i="2" l="1"/>
  <c r="W627" i="2" s="1"/>
  <c r="W628" i="2" s="1"/>
  <c r="W629" i="2" s="1"/>
  <c r="W537" i="2"/>
  <c r="W541" i="2" s="1"/>
  <c r="W740" i="2"/>
  <c r="W741" i="2" s="1"/>
  <c r="W742" i="2" s="1"/>
  <c r="W743" i="2" s="1"/>
  <c r="W543" i="2"/>
  <c r="M643" i="2"/>
  <c r="M644" i="2" s="1"/>
  <c r="M773" i="2"/>
  <c r="Z501" i="2"/>
  <c r="AA498" i="2" s="1"/>
  <c r="AA499" i="2" s="1"/>
  <c r="AA501" i="2" s="1"/>
  <c r="AB498" i="2" s="1"/>
  <c r="AB499" i="2" s="1"/>
  <c r="M642" i="2"/>
  <c r="AA491" i="2"/>
  <c r="M638" i="2"/>
  <c r="Z489" i="2"/>
  <c r="Z490" i="2" s="1"/>
  <c r="Z492" i="2" s="1"/>
  <c r="Z493" i="2" s="1"/>
  <c r="Y493" i="2"/>
  <c r="Y857" i="2" s="1"/>
  <c r="Y880" i="2" s="1"/>
  <c r="Y979" i="2" s="1"/>
  <c r="AB440" i="2"/>
  <c r="AB751" i="2" s="1"/>
  <c r="M699" i="2"/>
  <c r="N634" i="2"/>
  <c r="N635" i="2" s="1"/>
  <c r="N691" i="2"/>
  <c r="N692" i="2" s="1"/>
  <c r="N603" i="2"/>
  <c r="N604" i="2" s="1"/>
  <c r="N727" i="2" s="1"/>
  <c r="N728" i="2" s="1"/>
  <c r="N729" i="2" s="1"/>
  <c r="N730" i="2" s="1"/>
  <c r="O566" i="2"/>
  <c r="O567" i="2" s="1"/>
  <c r="O806" i="2" s="1"/>
  <c r="O827" i="2" s="1"/>
  <c r="X739" i="2"/>
  <c r="V797" i="2"/>
  <c r="V818" i="2" s="1"/>
  <c r="X588" i="2"/>
  <c r="X533" i="2"/>
  <c r="X535" i="2" s="1"/>
  <c r="X682" i="2" s="1"/>
  <c r="X683" i="2" s="1"/>
  <c r="X684" i="2" s="1"/>
  <c r="X685" i="2" s="1"/>
  <c r="X686" i="2" s="1"/>
  <c r="T545" i="2"/>
  <c r="U540" i="2" s="1"/>
  <c r="U542" i="2" s="1"/>
  <c r="U544" i="2" s="1"/>
  <c r="U552" i="2" s="1"/>
  <c r="Y268" i="2"/>
  <c r="Y269" i="2" s="1"/>
  <c r="Y270" i="2" s="1"/>
  <c r="P558" i="2"/>
  <c r="P559" i="2" s="1"/>
  <c r="O900" i="2"/>
  <c r="O931" i="2" s="1"/>
  <c r="O939" i="2" s="1"/>
  <c r="O903" i="2"/>
  <c r="O910" i="2" s="1"/>
  <c r="AD450" i="2"/>
  <c r="AE446" i="2" s="1"/>
  <c r="AB458" i="2"/>
  <c r="AC454" i="2" s="1"/>
  <c r="AD462" i="2"/>
  <c r="AD463" i="2" s="1"/>
  <c r="AD464" i="2" s="1"/>
  <c r="AD858" i="2" s="1"/>
  <c r="AD881" i="2" s="1"/>
  <c r="AD980" i="2" s="1"/>
  <c r="AD456" i="2"/>
  <c r="Y509" i="2"/>
  <c r="Y510" i="2" s="1"/>
  <c r="Y859" i="2" s="1"/>
  <c r="Y882" i="2" s="1"/>
  <c r="Y981" i="2" s="1"/>
  <c r="Z505" i="2"/>
  <c r="Z506" i="2" s="1"/>
  <c r="X586" i="2"/>
  <c r="X576" i="2"/>
  <c r="W551" i="2" l="1"/>
  <c r="W895" i="2" s="1"/>
  <c r="W905" i="2" s="1"/>
  <c r="W548" i="2"/>
  <c r="W553" i="2" s="1"/>
  <c r="Z502" i="2"/>
  <c r="Z507" i="2" s="1"/>
  <c r="Z508" i="2" s="1"/>
  <c r="Z509" i="2" s="1"/>
  <c r="Z510" i="2" s="1"/>
  <c r="Z859" i="2" s="1"/>
  <c r="Z882" i="2" s="1"/>
  <c r="Z981" i="2" s="1"/>
  <c r="AA489" i="2"/>
  <c r="AA490" i="2" s="1"/>
  <c r="AA492" i="2" s="1"/>
  <c r="AA493" i="2" s="1"/>
  <c r="AB856" i="2"/>
  <c r="AB879" i="2" s="1"/>
  <c r="AB978" i="2" s="1"/>
  <c r="N612" i="2"/>
  <c r="N773" i="2" s="1"/>
  <c r="N637" i="2"/>
  <c r="N638" i="2" s="1"/>
  <c r="AB759" i="2"/>
  <c r="AB484" i="2"/>
  <c r="AB485" i="2" s="1"/>
  <c r="AB500" i="2" s="1"/>
  <c r="AB501" i="2" s="1"/>
  <c r="N639" i="2"/>
  <c r="N643" i="2" s="1"/>
  <c r="N644" i="2" s="1"/>
  <c r="N693" i="2"/>
  <c r="N774" i="2"/>
  <c r="N695" i="2"/>
  <c r="N696" i="2" s="1"/>
  <c r="N862" i="2"/>
  <c r="N885" i="2" s="1"/>
  <c r="N984" i="2" s="1"/>
  <c r="X547" i="2"/>
  <c r="X548" i="2" s="1"/>
  <c r="X553" i="2" s="1"/>
  <c r="O570" i="2"/>
  <c r="O594" i="2" s="1"/>
  <c r="O595" i="2"/>
  <c r="X747" i="2"/>
  <c r="X740" i="2"/>
  <c r="X537" i="2"/>
  <c r="X541" i="2" s="1"/>
  <c r="X543" i="2"/>
  <c r="AA502" i="2"/>
  <c r="AA507" i="2" s="1"/>
  <c r="U545" i="2"/>
  <c r="V540" i="2" s="1"/>
  <c r="V542" i="2" s="1"/>
  <c r="V544" i="2" s="1"/>
  <c r="V552" i="2" s="1"/>
  <c r="P560" i="2"/>
  <c r="P563" i="2" s="1"/>
  <c r="Y271" i="2"/>
  <c r="Z266" i="2" s="1"/>
  <c r="Y576" i="2"/>
  <c r="Y586" i="2"/>
  <c r="AC457" i="2"/>
  <c r="AC439" i="2" s="1"/>
  <c r="AE449" i="2"/>
  <c r="AE437" i="2" s="1"/>
  <c r="AE438" i="2" s="1"/>
  <c r="Y512" i="2"/>
  <c r="Z857" i="2"/>
  <c r="Z880" i="2" s="1"/>
  <c r="Z979" i="2" s="1"/>
  <c r="X579" i="2"/>
  <c r="X580" i="2" s="1"/>
  <c r="X581" i="2" s="1"/>
  <c r="X896" i="2"/>
  <c r="X906" i="2" s="1"/>
  <c r="X798" i="2"/>
  <c r="X819" i="2" s="1"/>
  <c r="X590" i="2"/>
  <c r="X591" i="2" s="1"/>
  <c r="X592" i="2" s="1"/>
  <c r="W797" i="2" l="1"/>
  <c r="W818" i="2" s="1"/>
  <c r="N641" i="2"/>
  <c r="N642" i="2" s="1"/>
  <c r="N803" i="2"/>
  <c r="N824" i="2" s="1"/>
  <c r="AB489" i="2"/>
  <c r="AB490" i="2" s="1"/>
  <c r="AB491" i="2"/>
  <c r="AC440" i="2"/>
  <c r="AC751" i="2" s="1"/>
  <c r="N640" i="2"/>
  <c r="N697" i="2"/>
  <c r="N698" i="2"/>
  <c r="N699" i="2" s="1"/>
  <c r="O691" i="2"/>
  <c r="O692" i="2" s="1"/>
  <c r="X627" i="2"/>
  <c r="X628" i="2" s="1"/>
  <c r="X629" i="2" s="1"/>
  <c r="O861" i="2"/>
  <c r="O884" i="2" s="1"/>
  <c r="O983" i="2" s="1"/>
  <c r="X741" i="2"/>
  <c r="X742" i="2" s="1"/>
  <c r="X743" i="2" s="1"/>
  <c r="O634" i="2"/>
  <c r="O635" i="2" s="1"/>
  <c r="O603" i="2"/>
  <c r="O604" i="2" s="1"/>
  <c r="O774" i="2" s="1"/>
  <c r="Y739" i="2"/>
  <c r="X551" i="2"/>
  <c r="X797" i="2" s="1"/>
  <c r="X818" i="2" s="1"/>
  <c r="AA505" i="2"/>
  <c r="AA506" i="2" s="1"/>
  <c r="AA508" i="2" s="1"/>
  <c r="AA509" i="2" s="1"/>
  <c r="AA510" i="2" s="1"/>
  <c r="AA859" i="2" s="1"/>
  <c r="AA882" i="2" s="1"/>
  <c r="AA981" i="2" s="1"/>
  <c r="P561" i="2"/>
  <c r="Q556" i="2" s="1"/>
  <c r="Z512" i="2"/>
  <c r="AC498" i="2"/>
  <c r="AC499" i="2" s="1"/>
  <c r="AB502" i="2"/>
  <c r="AB507" i="2" s="1"/>
  <c r="V545" i="2"/>
  <c r="W540" i="2" s="1"/>
  <c r="W542" i="2" s="1"/>
  <c r="Y798" i="2"/>
  <c r="Y819" i="2" s="1"/>
  <c r="Y896" i="2"/>
  <c r="Y906" i="2" s="1"/>
  <c r="Y579" i="2"/>
  <c r="Y580" i="2" s="1"/>
  <c r="Y581" i="2" s="1"/>
  <c r="Z268" i="2"/>
  <c r="Z269" i="2" s="1"/>
  <c r="AA857" i="2"/>
  <c r="AA880" i="2" s="1"/>
  <c r="AA979" i="2" s="1"/>
  <c r="AE450" i="2"/>
  <c r="AF446" i="2" s="1"/>
  <c r="Y588" i="2"/>
  <c r="Y590" i="2" s="1"/>
  <c r="Y591" i="2" s="1"/>
  <c r="Y592" i="2" s="1"/>
  <c r="Y533" i="2"/>
  <c r="Y535" i="2" s="1"/>
  <c r="Y682" i="2" s="1"/>
  <c r="Y683" i="2" s="1"/>
  <c r="Y684" i="2" s="1"/>
  <c r="Y685" i="2" s="1"/>
  <c r="Y686" i="2" s="1"/>
  <c r="AE462" i="2"/>
  <c r="AE463" i="2" s="1"/>
  <c r="AE464" i="2" s="1"/>
  <c r="AE858" i="2" s="1"/>
  <c r="AE881" i="2" s="1"/>
  <c r="AE980" i="2" s="1"/>
  <c r="AE456" i="2"/>
  <c r="P893" i="2"/>
  <c r="P565" i="2"/>
  <c r="AC458" i="2"/>
  <c r="AD454" i="2" s="1"/>
  <c r="AB492" i="2" l="1"/>
  <c r="AB493" i="2" s="1"/>
  <c r="AC759" i="2"/>
  <c r="AC484" i="2"/>
  <c r="AC485" i="2" s="1"/>
  <c r="AC500" i="2" s="1"/>
  <c r="AC501" i="2" s="1"/>
  <c r="AC856" i="2"/>
  <c r="AC879" i="2" s="1"/>
  <c r="AC978" i="2" s="1"/>
  <c r="O727" i="2"/>
  <c r="O728" i="2" s="1"/>
  <c r="O729" i="2" s="1"/>
  <c r="O730" i="2" s="1"/>
  <c r="O693" i="2"/>
  <c r="O695" i="2"/>
  <c r="O696" i="2" s="1"/>
  <c r="O862" i="2"/>
  <c r="O885" i="2" s="1"/>
  <c r="O984" i="2" s="1"/>
  <c r="O637" i="2"/>
  <c r="O638" i="2" s="1"/>
  <c r="O612" i="2"/>
  <c r="O803" i="2" s="1"/>
  <c r="O824" i="2" s="1"/>
  <c r="O639" i="2"/>
  <c r="O640" i="2" s="1"/>
  <c r="P566" i="2"/>
  <c r="P567" i="2" s="1"/>
  <c r="P595" i="2" s="1"/>
  <c r="Z739" i="2"/>
  <c r="Y747" i="2"/>
  <c r="Y740" i="2"/>
  <c r="Z588" i="2"/>
  <c r="X895" i="2"/>
  <c r="X905" i="2" s="1"/>
  <c r="Z533" i="2"/>
  <c r="Z535" i="2" s="1"/>
  <c r="Z682" i="2" s="1"/>
  <c r="Z683" i="2" s="1"/>
  <c r="Z684" i="2" s="1"/>
  <c r="Z685" i="2" s="1"/>
  <c r="Z686" i="2" s="1"/>
  <c r="AB505" i="2"/>
  <c r="AB506" i="2" s="1"/>
  <c r="AB508" i="2" s="1"/>
  <c r="Q558" i="2"/>
  <c r="Q559" i="2" s="1"/>
  <c r="Q560" i="2" s="1"/>
  <c r="Q563" i="2" s="1"/>
  <c r="Z270" i="2"/>
  <c r="Z271" i="2" s="1"/>
  <c r="AA266" i="2" s="1"/>
  <c r="AF449" i="2"/>
  <c r="AF437" i="2" s="1"/>
  <c r="AF438" i="2" s="1"/>
  <c r="AA512" i="2"/>
  <c r="P900" i="2"/>
  <c r="P931" i="2" s="1"/>
  <c r="P939" i="2" s="1"/>
  <c r="P903" i="2"/>
  <c r="P910" i="2" s="1"/>
  <c r="Y543" i="2"/>
  <c r="Y537" i="2"/>
  <c r="Y547" i="2"/>
  <c r="AD457" i="2"/>
  <c r="AD439" i="2" s="1"/>
  <c r="W544" i="2"/>
  <c r="W552" i="2" s="1"/>
  <c r="AC489" i="2" l="1"/>
  <c r="AC490" i="2" s="1"/>
  <c r="AC491" i="2"/>
  <c r="AD440" i="2"/>
  <c r="AD751" i="2" s="1"/>
  <c r="O641" i="2"/>
  <c r="O642" i="2" s="1"/>
  <c r="O697" i="2"/>
  <c r="O698" i="2"/>
  <c r="O699" i="2" s="1"/>
  <c r="P806" i="2"/>
  <c r="P827" i="2" s="1"/>
  <c r="P570" i="2"/>
  <c r="P594" i="2" s="1"/>
  <c r="O643" i="2"/>
  <c r="O644" i="2" s="1"/>
  <c r="O773" i="2"/>
  <c r="Y741" i="2"/>
  <c r="Y742" i="2" s="1"/>
  <c r="Y743" i="2" s="1"/>
  <c r="Z537" i="2"/>
  <c r="Z541" i="2" s="1"/>
  <c r="Z747" i="2"/>
  <c r="Z740" i="2"/>
  <c r="AA739" i="2"/>
  <c r="Z547" i="2"/>
  <c r="Z543" i="2"/>
  <c r="AB509" i="2"/>
  <c r="AB510" i="2" s="1"/>
  <c r="AB859" i="2" s="1"/>
  <c r="AB882" i="2" s="1"/>
  <c r="AB981" i="2" s="1"/>
  <c r="AC505" i="2"/>
  <c r="AC506" i="2" s="1"/>
  <c r="AF450" i="2"/>
  <c r="AG446" i="2" s="1"/>
  <c r="AG449" i="2" s="1"/>
  <c r="AG437" i="2" s="1"/>
  <c r="AG438" i="2" s="1"/>
  <c r="Q561" i="2"/>
  <c r="R556" i="2" s="1"/>
  <c r="R558" i="2" s="1"/>
  <c r="R559" i="2" s="1"/>
  <c r="W545" i="2"/>
  <c r="X540" i="2" s="1"/>
  <c r="X542" i="2" s="1"/>
  <c r="AC502" i="2"/>
  <c r="AC507" i="2" s="1"/>
  <c r="AD498" i="2"/>
  <c r="AD499" i="2" s="1"/>
  <c r="Y627" i="2"/>
  <c r="Y628" i="2" s="1"/>
  <c r="Y629" i="2" s="1"/>
  <c r="Y548" i="2"/>
  <c r="Y553" i="2" s="1"/>
  <c r="AA533" i="2"/>
  <c r="AA535" i="2" s="1"/>
  <c r="AA682" i="2" s="1"/>
  <c r="AA683" i="2" s="1"/>
  <c r="AA684" i="2" s="1"/>
  <c r="AA685" i="2" s="1"/>
  <c r="AA686" i="2" s="1"/>
  <c r="AA588" i="2"/>
  <c r="AB857" i="2"/>
  <c r="AB880" i="2" s="1"/>
  <c r="AB979" i="2" s="1"/>
  <c r="Y541" i="2"/>
  <c r="Y551" i="2"/>
  <c r="AF456" i="2"/>
  <c r="AF462" i="2"/>
  <c r="AF463" i="2" s="1"/>
  <c r="AF464" i="2" s="1"/>
  <c r="AF858" i="2" s="1"/>
  <c r="AF881" i="2" s="1"/>
  <c r="AF980" i="2" s="1"/>
  <c r="AA268" i="2"/>
  <c r="AA269" i="2" s="1"/>
  <c r="AD458" i="2"/>
  <c r="AE454" i="2" s="1"/>
  <c r="Z576" i="2"/>
  <c r="Z586" i="2"/>
  <c r="Q565" i="2"/>
  <c r="Q893" i="2"/>
  <c r="P861" i="2"/>
  <c r="P884" i="2" s="1"/>
  <c r="P983" i="2" s="1"/>
  <c r="AC492" i="2" l="1"/>
  <c r="AC493" i="2" s="1"/>
  <c r="AD856" i="2"/>
  <c r="AD879" i="2" s="1"/>
  <c r="AD978" i="2" s="1"/>
  <c r="AD759" i="2"/>
  <c r="AD484" i="2"/>
  <c r="AD485" i="2" s="1"/>
  <c r="AD500" i="2" s="1"/>
  <c r="AD501" i="2" s="1"/>
  <c r="Z551" i="2"/>
  <c r="Z895" i="2" s="1"/>
  <c r="Z905" i="2" s="1"/>
  <c r="P691" i="2"/>
  <c r="P692" i="2" s="1"/>
  <c r="P634" i="2"/>
  <c r="P635" i="2" s="1"/>
  <c r="P603" i="2"/>
  <c r="P604" i="2" s="1"/>
  <c r="P637" i="2" s="1"/>
  <c r="Z741" i="2"/>
  <c r="Z742" i="2" s="1"/>
  <c r="Z743" i="2" s="1"/>
  <c r="Z627" i="2"/>
  <c r="Z628" i="2" s="1"/>
  <c r="Z629" i="2" s="1"/>
  <c r="Q566" i="2"/>
  <c r="Q567" i="2" s="1"/>
  <c r="Q595" i="2" s="1"/>
  <c r="AA747" i="2"/>
  <c r="AA740" i="2"/>
  <c r="Z548" i="2"/>
  <c r="Z553" i="2" s="1"/>
  <c r="AC508" i="2"/>
  <c r="AD505" i="2" s="1"/>
  <c r="AD506" i="2" s="1"/>
  <c r="AB512" i="2"/>
  <c r="AA270" i="2"/>
  <c r="Q900" i="2"/>
  <c r="Q931" i="2" s="1"/>
  <c r="Q939" i="2" s="1"/>
  <c r="Q903" i="2"/>
  <c r="Q910" i="2" s="1"/>
  <c r="AA543" i="2"/>
  <c r="AA537" i="2"/>
  <c r="AA547" i="2"/>
  <c r="Z798" i="2"/>
  <c r="Z819" i="2" s="1"/>
  <c r="Z590" i="2"/>
  <c r="AG450" i="2"/>
  <c r="AH446" i="2" s="1"/>
  <c r="Z896" i="2"/>
  <c r="Z906" i="2" s="1"/>
  <c r="Z579" i="2"/>
  <c r="Z580" i="2" s="1"/>
  <c r="Z581" i="2" s="1"/>
  <c r="AG462" i="2"/>
  <c r="AG463" i="2" s="1"/>
  <c r="AG464" i="2" s="1"/>
  <c r="AG858" i="2" s="1"/>
  <c r="AG881" i="2" s="1"/>
  <c r="AG980" i="2" s="1"/>
  <c r="AG456" i="2"/>
  <c r="AE457" i="2"/>
  <c r="AE439" i="2" s="1"/>
  <c r="Y895" i="2"/>
  <c r="Y905" i="2" s="1"/>
  <c r="Y797" i="2"/>
  <c r="Y818" i="2" s="1"/>
  <c r="R560" i="2"/>
  <c r="R563" i="2" s="1"/>
  <c r="X544" i="2"/>
  <c r="X552" i="2" s="1"/>
  <c r="AD489" i="2" l="1"/>
  <c r="AD490" i="2" s="1"/>
  <c r="AD491" i="2"/>
  <c r="AE440" i="2"/>
  <c r="AE751" i="2" s="1"/>
  <c r="Z797" i="2"/>
  <c r="Z818" i="2" s="1"/>
  <c r="P612" i="2"/>
  <c r="P773" i="2" s="1"/>
  <c r="P862" i="2"/>
  <c r="P885" i="2" s="1"/>
  <c r="P984" i="2" s="1"/>
  <c r="P727" i="2"/>
  <c r="P728" i="2" s="1"/>
  <c r="P729" i="2" s="1"/>
  <c r="P730" i="2" s="1"/>
  <c r="P693" i="2"/>
  <c r="P639" i="2"/>
  <c r="P695" i="2"/>
  <c r="P696" i="2" s="1"/>
  <c r="P774" i="2"/>
  <c r="AA741" i="2"/>
  <c r="AA742" i="2" s="1"/>
  <c r="AA743" i="2" s="1"/>
  <c r="Q806" i="2"/>
  <c r="Q827" i="2" s="1"/>
  <c r="Q570" i="2"/>
  <c r="Q594" i="2" s="1"/>
  <c r="AB739" i="2"/>
  <c r="AB588" i="2"/>
  <c r="AC509" i="2"/>
  <c r="AC510" i="2" s="1"/>
  <c r="AC859" i="2" s="1"/>
  <c r="AC882" i="2" s="1"/>
  <c r="AC981" i="2" s="1"/>
  <c r="AB533" i="2"/>
  <c r="AB535" i="2" s="1"/>
  <c r="AB682" i="2" s="1"/>
  <c r="AB683" i="2" s="1"/>
  <c r="AB684" i="2" s="1"/>
  <c r="AB685" i="2" s="1"/>
  <c r="AB686" i="2" s="1"/>
  <c r="AE458" i="2"/>
  <c r="AF454" i="2" s="1"/>
  <c r="AF457" i="2" s="1"/>
  <c r="AF439" i="2" s="1"/>
  <c r="R561" i="2"/>
  <c r="S556" i="2" s="1"/>
  <c r="AA627" i="2"/>
  <c r="AA628" i="2" s="1"/>
  <c r="AA629" i="2" s="1"/>
  <c r="AA548" i="2"/>
  <c r="AA553" i="2" s="1"/>
  <c r="Q861" i="2"/>
  <c r="Q884" i="2" s="1"/>
  <c r="Q983" i="2" s="1"/>
  <c r="AA586" i="2"/>
  <c r="AA576" i="2"/>
  <c r="X545" i="2"/>
  <c r="Y540" i="2" s="1"/>
  <c r="Y542" i="2" s="1"/>
  <c r="R893" i="2"/>
  <c r="R565" i="2"/>
  <c r="AE498" i="2"/>
  <c r="AE499" i="2" s="1"/>
  <c r="AD502" i="2"/>
  <c r="AD507" i="2" s="1"/>
  <c r="AD508" i="2" s="1"/>
  <c r="P638" i="2"/>
  <c r="P641" i="2"/>
  <c r="P642" i="2" s="1"/>
  <c r="AH449" i="2"/>
  <c r="AH437" i="2" s="1"/>
  <c r="AH438" i="2" s="1"/>
  <c r="AC857" i="2"/>
  <c r="AC880" i="2" s="1"/>
  <c r="AC979" i="2" s="1"/>
  <c r="AA541" i="2"/>
  <c r="AA551" i="2"/>
  <c r="Z591" i="2"/>
  <c r="Z592" i="2" s="1"/>
  <c r="AA271" i="2"/>
  <c r="AB266" i="2" s="1"/>
  <c r="AE759" i="2" l="1"/>
  <c r="AE856" i="2"/>
  <c r="AE879" i="2" s="1"/>
  <c r="AE978" i="2" s="1"/>
  <c r="AD492" i="2"/>
  <c r="AD493" i="2" s="1"/>
  <c r="AD857" i="2" s="1"/>
  <c r="AD880" i="2" s="1"/>
  <c r="AD979" i="2" s="1"/>
  <c r="Q603" i="2"/>
  <c r="Q604" i="2" s="1"/>
  <c r="Q774" i="2" s="1"/>
  <c r="AE484" i="2"/>
  <c r="AE485" i="2" s="1"/>
  <c r="AE491" i="2" s="1"/>
  <c r="AF440" i="2"/>
  <c r="AF751" i="2" s="1"/>
  <c r="P803" i="2"/>
  <c r="P824" i="2" s="1"/>
  <c r="P697" i="2"/>
  <c r="P698" i="2"/>
  <c r="P699" i="2" s="1"/>
  <c r="P640" i="2"/>
  <c r="P643" i="2"/>
  <c r="P644" i="2" s="1"/>
  <c r="Q634" i="2"/>
  <c r="Q635" i="2" s="1"/>
  <c r="Q691" i="2"/>
  <c r="Q692" i="2" s="1"/>
  <c r="AB537" i="2"/>
  <c r="AB541" i="2" s="1"/>
  <c r="R566" i="2"/>
  <c r="R567" i="2" s="1"/>
  <c r="R570" i="2" s="1"/>
  <c r="R594" i="2" s="1"/>
  <c r="AB747" i="2"/>
  <c r="AB740" i="2"/>
  <c r="AC512" i="2"/>
  <c r="AB543" i="2"/>
  <c r="AB547" i="2"/>
  <c r="AH462" i="2"/>
  <c r="AH463" i="2" s="1"/>
  <c r="AH464" i="2" s="1"/>
  <c r="AH858" i="2" s="1"/>
  <c r="AH881" i="2" s="1"/>
  <c r="AH980" i="2" s="1"/>
  <c r="AH456" i="2"/>
  <c r="AE505" i="2"/>
  <c r="AE506" i="2" s="1"/>
  <c r="AD509" i="2"/>
  <c r="AD510" i="2" s="1"/>
  <c r="AD859" i="2" s="1"/>
  <c r="AD882" i="2" s="1"/>
  <c r="AD981" i="2" s="1"/>
  <c r="AA895" i="2"/>
  <c r="AA905" i="2" s="1"/>
  <c r="AA797" i="2"/>
  <c r="AA818" i="2" s="1"/>
  <c r="AF458" i="2"/>
  <c r="AG454" i="2" s="1"/>
  <c r="R900" i="2"/>
  <c r="R931" i="2" s="1"/>
  <c r="R939" i="2" s="1"/>
  <c r="R903" i="2"/>
  <c r="R910" i="2" s="1"/>
  <c r="Y544" i="2"/>
  <c r="Y552" i="2" s="1"/>
  <c r="AB551" i="2"/>
  <c r="AA579" i="2"/>
  <c r="AA580" i="2" s="1"/>
  <c r="AA581" i="2" s="1"/>
  <c r="AA896" i="2"/>
  <c r="AA906" i="2" s="1"/>
  <c r="S558" i="2"/>
  <c r="S559" i="2" s="1"/>
  <c r="AB268" i="2"/>
  <c r="AB269" i="2" s="1"/>
  <c r="AB270" i="2" s="1"/>
  <c r="AH450" i="2"/>
  <c r="AI446" i="2" s="1"/>
  <c r="AA798" i="2"/>
  <c r="AA819" i="2" s="1"/>
  <c r="AA590" i="2"/>
  <c r="AE489" i="2" l="1"/>
  <c r="AE490" i="2" s="1"/>
  <c r="Q637" i="2"/>
  <c r="Q638" i="2" s="1"/>
  <c r="Q862" i="2"/>
  <c r="Q885" i="2" s="1"/>
  <c r="Q984" i="2" s="1"/>
  <c r="Q612" i="2"/>
  <c r="Q773" i="2" s="1"/>
  <c r="Q639" i="2"/>
  <c r="Q640" i="2" s="1"/>
  <c r="Q727" i="2"/>
  <c r="Q728" i="2" s="1"/>
  <c r="Q729" i="2" s="1"/>
  <c r="Q730" i="2" s="1"/>
  <c r="Q695" i="2"/>
  <c r="Q696" i="2" s="1"/>
  <c r="Q698" i="2" s="1"/>
  <c r="AE500" i="2"/>
  <c r="AE501" i="2" s="1"/>
  <c r="AF498" i="2" s="1"/>
  <c r="AF499" i="2" s="1"/>
  <c r="AF856" i="2"/>
  <c r="AF879" i="2" s="1"/>
  <c r="AF978" i="2" s="1"/>
  <c r="AF484" i="2"/>
  <c r="AF485" i="2" s="1"/>
  <c r="AF491" i="2" s="1"/>
  <c r="AF759" i="2"/>
  <c r="Q693" i="2"/>
  <c r="R806" i="2"/>
  <c r="R827" i="2" s="1"/>
  <c r="R595" i="2"/>
  <c r="AB741" i="2"/>
  <c r="AB742" i="2" s="1"/>
  <c r="AB743" i="2" s="1"/>
  <c r="AC739" i="2"/>
  <c r="AC588" i="2"/>
  <c r="AC533" i="2"/>
  <c r="AC535" i="2" s="1"/>
  <c r="AC682" i="2" s="1"/>
  <c r="AC683" i="2" s="1"/>
  <c r="AC684" i="2" s="1"/>
  <c r="AC685" i="2" s="1"/>
  <c r="AC686" i="2" s="1"/>
  <c r="AB548" i="2"/>
  <c r="AB553" i="2" s="1"/>
  <c r="AB627" i="2"/>
  <c r="AB628" i="2" s="1"/>
  <c r="AB629" i="2" s="1"/>
  <c r="AD512" i="2"/>
  <c r="AB271" i="2"/>
  <c r="AC266" i="2" s="1"/>
  <c r="AB576" i="2"/>
  <c r="AB586" i="2"/>
  <c r="S560" i="2"/>
  <c r="S563" i="2" s="1"/>
  <c r="AA591" i="2"/>
  <c r="AA592" i="2" s="1"/>
  <c r="AB895" i="2"/>
  <c r="AB905" i="2" s="1"/>
  <c r="AB797" i="2"/>
  <c r="AB818" i="2" s="1"/>
  <c r="AG457" i="2"/>
  <c r="AG439" i="2" s="1"/>
  <c r="AI449" i="2"/>
  <c r="AI437" i="2" s="1"/>
  <c r="AI438" i="2" s="1"/>
  <c r="Y545" i="2"/>
  <c r="Z540" i="2" s="1"/>
  <c r="Z542" i="2" s="1"/>
  <c r="R603" i="2"/>
  <c r="R604" i="2" s="1"/>
  <c r="AE492" i="2" l="1"/>
  <c r="AE493" i="2" s="1"/>
  <c r="AE857" i="2" s="1"/>
  <c r="AE880" i="2" s="1"/>
  <c r="AE979" i="2" s="1"/>
  <c r="Q641" i="2"/>
  <c r="Q642" i="2" s="1"/>
  <c r="Q643" i="2"/>
  <c r="Q644" i="2" s="1"/>
  <c r="Q803" i="2"/>
  <c r="Q824" i="2" s="1"/>
  <c r="AE502" i="2"/>
  <c r="AE507" i="2" s="1"/>
  <c r="AE508" i="2" s="1"/>
  <c r="AF505" i="2" s="1"/>
  <c r="AF506" i="2" s="1"/>
  <c r="AF500" i="2"/>
  <c r="AF501" i="2" s="1"/>
  <c r="Q697" i="2"/>
  <c r="AG440" i="2"/>
  <c r="AG751" i="2" s="1"/>
  <c r="Q699" i="2"/>
  <c r="R727" i="2"/>
  <c r="R728" i="2" s="1"/>
  <c r="R729" i="2" s="1"/>
  <c r="R730" i="2" s="1"/>
  <c r="R634" i="2"/>
  <c r="R635" i="2" s="1"/>
  <c r="R695" i="2"/>
  <c r="R696" i="2" s="1"/>
  <c r="R691" i="2"/>
  <c r="R692" i="2" s="1"/>
  <c r="R861" i="2"/>
  <c r="R884" i="2" s="1"/>
  <c r="R983" i="2" s="1"/>
  <c r="AC537" i="2"/>
  <c r="AC541" i="2" s="1"/>
  <c r="AD739" i="2"/>
  <c r="AC747" i="2"/>
  <c r="AC740" i="2"/>
  <c r="R774" i="2"/>
  <c r="AD533" i="2"/>
  <c r="AD535" i="2" s="1"/>
  <c r="AD682" i="2" s="1"/>
  <c r="AD683" i="2" s="1"/>
  <c r="AD684" i="2" s="1"/>
  <c r="AD685" i="2" s="1"/>
  <c r="AD686" i="2" s="1"/>
  <c r="AC543" i="2"/>
  <c r="AC547" i="2"/>
  <c r="AD588" i="2"/>
  <c r="AI450" i="2"/>
  <c r="AJ446" i="2" s="1"/>
  <c r="AJ449" i="2" s="1"/>
  <c r="AJ437" i="2" s="1"/>
  <c r="AJ438" i="2" s="1"/>
  <c r="S561" i="2"/>
  <c r="T556" i="2" s="1"/>
  <c r="T558" i="2" s="1"/>
  <c r="T559" i="2" s="1"/>
  <c r="R639" i="2"/>
  <c r="R643" i="2" s="1"/>
  <c r="AI462" i="2"/>
  <c r="AI463" i="2" s="1"/>
  <c r="AI464" i="2" s="1"/>
  <c r="AI858" i="2" s="1"/>
  <c r="AI881" i="2" s="1"/>
  <c r="AI980" i="2" s="1"/>
  <c r="AI456" i="2"/>
  <c r="AB798" i="2"/>
  <c r="AB819" i="2" s="1"/>
  <c r="AB590" i="2"/>
  <c r="R612" i="2"/>
  <c r="R862" i="2"/>
  <c r="R885" i="2" s="1"/>
  <c r="R984" i="2" s="1"/>
  <c r="AG458" i="2"/>
  <c r="AH454" i="2" s="1"/>
  <c r="R637" i="2"/>
  <c r="AB896" i="2"/>
  <c r="AB906" i="2" s="1"/>
  <c r="AB579" i="2"/>
  <c r="AB580" i="2" s="1"/>
  <c r="AB581" i="2" s="1"/>
  <c r="AC268" i="2"/>
  <c r="AC269" i="2" s="1"/>
  <c r="Z544" i="2"/>
  <c r="Z552" i="2" s="1"/>
  <c r="S565" i="2"/>
  <c r="S893" i="2"/>
  <c r="AF489" i="2" l="1"/>
  <c r="AF490" i="2" s="1"/>
  <c r="AE509" i="2"/>
  <c r="AE510" i="2" s="1"/>
  <c r="AE859" i="2" s="1"/>
  <c r="AE882" i="2" s="1"/>
  <c r="AE981" i="2" s="1"/>
  <c r="AC551" i="2"/>
  <c r="AC895" i="2" s="1"/>
  <c r="AC905" i="2" s="1"/>
  <c r="AG759" i="2"/>
  <c r="AG484" i="2"/>
  <c r="AG485" i="2" s="1"/>
  <c r="AG491" i="2" s="1"/>
  <c r="AG856" i="2"/>
  <c r="AG879" i="2" s="1"/>
  <c r="AG978" i="2" s="1"/>
  <c r="R693" i="2"/>
  <c r="R697" i="2"/>
  <c r="R698" i="2"/>
  <c r="AC741" i="2"/>
  <c r="AC742" i="2" s="1"/>
  <c r="AC743" i="2" s="1"/>
  <c r="AD547" i="2"/>
  <c r="AD548" i="2" s="1"/>
  <c r="AD553" i="2" s="1"/>
  <c r="S566" i="2"/>
  <c r="S567" i="2" s="1"/>
  <c r="S570" i="2" s="1"/>
  <c r="S594" i="2" s="1"/>
  <c r="AD747" i="2"/>
  <c r="AD740" i="2"/>
  <c r="R773" i="2"/>
  <c r="AC548" i="2"/>
  <c r="AC553" i="2" s="1"/>
  <c r="AC627" i="2"/>
  <c r="AC628" i="2" s="1"/>
  <c r="AC629" i="2" s="1"/>
  <c r="AD543" i="2"/>
  <c r="AD537" i="2"/>
  <c r="AD541" i="2" s="1"/>
  <c r="R803" i="2"/>
  <c r="R824" i="2" s="1"/>
  <c r="R640" i="2"/>
  <c r="Z545" i="2"/>
  <c r="AA540" i="2" s="1"/>
  <c r="AA542" i="2" s="1"/>
  <c r="AA544" i="2" s="1"/>
  <c r="AA552" i="2" s="1"/>
  <c r="T560" i="2"/>
  <c r="T563" i="2" s="1"/>
  <c r="AC270" i="2"/>
  <c r="AC271" i="2" s="1"/>
  <c r="AD266" i="2" s="1"/>
  <c r="AB591" i="2"/>
  <c r="AB592" i="2" s="1"/>
  <c r="AJ450" i="2"/>
  <c r="AK446" i="2" s="1"/>
  <c r="AJ462" i="2"/>
  <c r="AJ463" i="2" s="1"/>
  <c r="AJ464" i="2" s="1"/>
  <c r="AJ858" i="2" s="1"/>
  <c r="AJ881" i="2" s="1"/>
  <c r="AJ980" i="2" s="1"/>
  <c r="AJ456" i="2"/>
  <c r="R638" i="2"/>
  <c r="R641" i="2"/>
  <c r="R642" i="2" s="1"/>
  <c r="AH457" i="2"/>
  <c r="AH439" i="2" s="1"/>
  <c r="R644" i="2"/>
  <c r="AF502" i="2"/>
  <c r="AF507" i="2" s="1"/>
  <c r="AF508" i="2" s="1"/>
  <c r="AG498" i="2"/>
  <c r="AG499" i="2" s="1"/>
  <c r="S900" i="2"/>
  <c r="S931" i="2" s="1"/>
  <c r="S939" i="2" s="1"/>
  <c r="S903" i="2"/>
  <c r="S910" i="2" s="1"/>
  <c r="AE512" i="2" l="1"/>
  <c r="AE739" i="2" s="1"/>
  <c r="AF492" i="2"/>
  <c r="AF493" i="2" s="1"/>
  <c r="AF857" i="2" s="1"/>
  <c r="AF880" i="2" s="1"/>
  <c r="AF979" i="2" s="1"/>
  <c r="AG500" i="2"/>
  <c r="AG501" i="2" s="1"/>
  <c r="AH498" i="2" s="1"/>
  <c r="AH499" i="2" s="1"/>
  <c r="AC797" i="2"/>
  <c r="AC818" i="2" s="1"/>
  <c r="AH440" i="2"/>
  <c r="AH751" i="2" s="1"/>
  <c r="R699" i="2"/>
  <c r="AD627" i="2"/>
  <c r="AD628" i="2" s="1"/>
  <c r="AD629" i="2" s="1"/>
  <c r="S806" i="2"/>
  <c r="S827" i="2" s="1"/>
  <c r="AD741" i="2"/>
  <c r="AD742" i="2" s="1"/>
  <c r="AD743" i="2" s="1"/>
  <c r="S595" i="2"/>
  <c r="AD551" i="2"/>
  <c r="AD797" i="2" s="1"/>
  <c r="AD818" i="2" s="1"/>
  <c r="AA545" i="2"/>
  <c r="AB540" i="2" s="1"/>
  <c r="AB542" i="2" s="1"/>
  <c r="AB544" i="2" s="1"/>
  <c r="AB552" i="2" s="1"/>
  <c r="AH458" i="2"/>
  <c r="AI454" i="2" s="1"/>
  <c r="AI457" i="2" s="1"/>
  <c r="AI439" i="2" s="1"/>
  <c r="AD268" i="2"/>
  <c r="AD269" i="2" s="1"/>
  <c r="AD270" i="2" s="1"/>
  <c r="AK449" i="2"/>
  <c r="AK437" i="2" s="1"/>
  <c r="AK438" i="2" s="1"/>
  <c r="S603" i="2"/>
  <c r="S604" i="2" s="1"/>
  <c r="AF509" i="2"/>
  <c r="AF510" i="2" s="1"/>
  <c r="AF859" i="2" s="1"/>
  <c r="AF882" i="2" s="1"/>
  <c r="AF981" i="2" s="1"/>
  <c r="AG505" i="2"/>
  <c r="AG506" i="2" s="1"/>
  <c r="AC586" i="2"/>
  <c r="AC576" i="2"/>
  <c r="T561" i="2"/>
  <c r="U556" i="2" s="1"/>
  <c r="U558" i="2" s="1"/>
  <c r="U559" i="2" s="1"/>
  <c r="T893" i="2"/>
  <c r="T565" i="2"/>
  <c r="AE588" i="2" l="1"/>
  <c r="AE533" i="2"/>
  <c r="AE535" i="2" s="1"/>
  <c r="AE682" i="2" s="1"/>
  <c r="AE683" i="2" s="1"/>
  <c r="AE684" i="2" s="1"/>
  <c r="AE685" i="2" s="1"/>
  <c r="AE686" i="2" s="1"/>
  <c r="AG489" i="2"/>
  <c r="AG490" i="2" s="1"/>
  <c r="AH759" i="2"/>
  <c r="AH856" i="2"/>
  <c r="AH879" i="2" s="1"/>
  <c r="AH978" i="2" s="1"/>
  <c r="AI440" i="2"/>
  <c r="AI751" i="2" s="1"/>
  <c r="AH484" i="2"/>
  <c r="AH485" i="2" s="1"/>
  <c r="AH500" i="2" s="1"/>
  <c r="S727" i="2"/>
  <c r="S728" i="2" s="1"/>
  <c r="S729" i="2" s="1"/>
  <c r="S730" i="2" s="1"/>
  <c r="S695" i="2"/>
  <c r="S696" i="2" s="1"/>
  <c r="S634" i="2"/>
  <c r="S635" i="2" s="1"/>
  <c r="S691" i="2"/>
  <c r="S692" i="2" s="1"/>
  <c r="S861" i="2"/>
  <c r="S884" i="2" s="1"/>
  <c r="S983" i="2" s="1"/>
  <c r="T566" i="2"/>
  <c r="T567" i="2" s="1"/>
  <c r="T806" i="2" s="1"/>
  <c r="T827" i="2" s="1"/>
  <c r="AE747" i="2"/>
  <c r="AE740" i="2"/>
  <c r="S774" i="2"/>
  <c r="AD895" i="2"/>
  <c r="AD905" i="2" s="1"/>
  <c r="AG502" i="2"/>
  <c r="AG507" i="2" s="1"/>
  <c r="AG508" i="2" s="1"/>
  <c r="AG509" i="2" s="1"/>
  <c r="AG510" i="2" s="1"/>
  <c r="AF512" i="2"/>
  <c r="S637" i="2"/>
  <c r="S639" i="2"/>
  <c r="AK450" i="2"/>
  <c r="AL446" i="2" s="1"/>
  <c r="AL449" i="2" s="1"/>
  <c r="AL437" i="2" s="1"/>
  <c r="AL438" i="2" s="1"/>
  <c r="AD271" i="2"/>
  <c r="AE266" i="2" s="1"/>
  <c r="AD576" i="2"/>
  <c r="AD586" i="2"/>
  <c r="AE543" i="2"/>
  <c r="T900" i="2"/>
  <c r="T931" i="2" s="1"/>
  <c r="T939" i="2" s="1"/>
  <c r="T903" i="2"/>
  <c r="T910" i="2" s="1"/>
  <c r="S612" i="2"/>
  <c r="S862" i="2"/>
  <c r="S885" i="2" s="1"/>
  <c r="S984" i="2" s="1"/>
  <c r="AI458" i="2"/>
  <c r="AJ454" i="2" s="1"/>
  <c r="U560" i="2"/>
  <c r="U563" i="2" s="1"/>
  <c r="AC896" i="2"/>
  <c r="AC906" i="2" s="1"/>
  <c r="AC579" i="2"/>
  <c r="AC580" i="2" s="1"/>
  <c r="AC581" i="2" s="1"/>
  <c r="AK462" i="2"/>
  <c r="AK463" i="2" s="1"/>
  <c r="AK464" i="2" s="1"/>
  <c r="AK858" i="2" s="1"/>
  <c r="AK881" i="2" s="1"/>
  <c r="AK980" i="2" s="1"/>
  <c r="AK456" i="2"/>
  <c r="AC798" i="2"/>
  <c r="AC819" i="2" s="1"/>
  <c r="AC590" i="2"/>
  <c r="AB545" i="2"/>
  <c r="AC540" i="2" s="1"/>
  <c r="AC542" i="2" s="1"/>
  <c r="AE547" i="2" l="1"/>
  <c r="AE537" i="2"/>
  <c r="AG492" i="2"/>
  <c r="AH489" i="2" s="1"/>
  <c r="AH490" i="2" s="1"/>
  <c r="AH491" i="2"/>
  <c r="AI759" i="2"/>
  <c r="AI856" i="2"/>
  <c r="AI879" i="2" s="1"/>
  <c r="AI978" i="2" s="1"/>
  <c r="AI484" i="2"/>
  <c r="AI485" i="2" s="1"/>
  <c r="AI491" i="2" s="1"/>
  <c r="S638" i="2"/>
  <c r="S693" i="2"/>
  <c r="S697" i="2"/>
  <c r="S698" i="2"/>
  <c r="S640" i="2"/>
  <c r="T595" i="2"/>
  <c r="T570" i="2"/>
  <c r="T594" i="2" s="1"/>
  <c r="AE741" i="2"/>
  <c r="AE742" i="2" s="1"/>
  <c r="AE743" i="2" s="1"/>
  <c r="AF739" i="2"/>
  <c r="S773" i="2"/>
  <c r="AF588" i="2"/>
  <c r="S803" i="2"/>
  <c r="S824" i="2" s="1"/>
  <c r="AF533" i="2"/>
  <c r="AF535" i="2" s="1"/>
  <c r="AF682" i="2" s="1"/>
  <c r="AF683" i="2" s="1"/>
  <c r="AF684" i="2" s="1"/>
  <c r="AF685" i="2" s="1"/>
  <c r="AF686" i="2" s="1"/>
  <c r="S641" i="2"/>
  <c r="S642" i="2" s="1"/>
  <c r="AH505" i="2"/>
  <c r="AH506" i="2" s="1"/>
  <c r="AG859" i="2"/>
  <c r="AG882" i="2" s="1"/>
  <c r="AG981" i="2" s="1"/>
  <c r="S643" i="2"/>
  <c r="S644" i="2" s="1"/>
  <c r="AH501" i="2"/>
  <c r="AE541" i="2"/>
  <c r="AE551" i="2"/>
  <c r="AC544" i="2"/>
  <c r="AC552" i="2" s="1"/>
  <c r="U561" i="2"/>
  <c r="V556" i="2" s="1"/>
  <c r="AC591" i="2"/>
  <c r="AC592" i="2" s="1"/>
  <c r="U565" i="2"/>
  <c r="U893" i="2"/>
  <c r="AJ457" i="2"/>
  <c r="AJ439" i="2" s="1"/>
  <c r="AD590" i="2"/>
  <c r="AD591" i="2" s="1"/>
  <c r="AD592" i="2" s="1"/>
  <c r="AD798" i="2"/>
  <c r="AD819" i="2" s="1"/>
  <c r="AL450" i="2"/>
  <c r="AM446" i="2" s="1"/>
  <c r="AD896" i="2"/>
  <c r="AD906" i="2" s="1"/>
  <c r="AD579" i="2"/>
  <c r="AD580" i="2" s="1"/>
  <c r="AD581" i="2" s="1"/>
  <c r="AL456" i="2"/>
  <c r="AL462" i="2"/>
  <c r="AL463" i="2" s="1"/>
  <c r="AL464" i="2" s="1"/>
  <c r="AL858" i="2" s="1"/>
  <c r="AL881" i="2" s="1"/>
  <c r="AL980" i="2" s="1"/>
  <c r="AE627" i="2"/>
  <c r="AE628" i="2" s="1"/>
  <c r="AE629" i="2" s="1"/>
  <c r="AE548" i="2"/>
  <c r="AE553" i="2" s="1"/>
  <c r="AE268" i="2"/>
  <c r="AE269" i="2" s="1"/>
  <c r="AG493" i="2" l="1"/>
  <c r="AG857" i="2" s="1"/>
  <c r="AG880" i="2" s="1"/>
  <c r="AG979" i="2" s="1"/>
  <c r="AI500" i="2"/>
  <c r="AJ440" i="2"/>
  <c r="AJ751" i="2" s="1"/>
  <c r="S699" i="2"/>
  <c r="T603" i="2"/>
  <c r="T604" i="2" s="1"/>
  <c r="T727" i="2" s="1"/>
  <c r="T728" i="2" s="1"/>
  <c r="T729" i="2" s="1"/>
  <c r="T730" i="2" s="1"/>
  <c r="T861" i="2"/>
  <c r="T884" i="2" s="1"/>
  <c r="T983" i="2" s="1"/>
  <c r="T691" i="2"/>
  <c r="T692" i="2" s="1"/>
  <c r="T634" i="2"/>
  <c r="T635" i="2" s="1"/>
  <c r="AF537" i="2"/>
  <c r="AF541" i="2" s="1"/>
  <c r="U566" i="2"/>
  <c r="U567" i="2" s="1"/>
  <c r="U806" i="2" s="1"/>
  <c r="U827" i="2" s="1"/>
  <c r="AF747" i="2"/>
  <c r="AF740" i="2"/>
  <c r="AH492" i="2"/>
  <c r="AF543" i="2"/>
  <c r="AF547" i="2"/>
  <c r="AC545" i="2"/>
  <c r="AD540" i="2" s="1"/>
  <c r="AD542" i="2" s="1"/>
  <c r="AD544" i="2" s="1"/>
  <c r="AD552" i="2" s="1"/>
  <c r="AJ458" i="2"/>
  <c r="AK454" i="2" s="1"/>
  <c r="AE895" i="2"/>
  <c r="AE905" i="2" s="1"/>
  <c r="AE797" i="2"/>
  <c r="AE818" i="2" s="1"/>
  <c r="AM449" i="2"/>
  <c r="AM437" i="2" s="1"/>
  <c r="AM438" i="2" s="1"/>
  <c r="AH502" i="2"/>
  <c r="AH507" i="2" s="1"/>
  <c r="AH508" i="2" s="1"/>
  <c r="AI498" i="2"/>
  <c r="AI499" i="2" s="1"/>
  <c r="AE270" i="2"/>
  <c r="AE271" i="2" s="1"/>
  <c r="AF266" i="2" s="1"/>
  <c r="V558" i="2"/>
  <c r="V559" i="2" s="1"/>
  <c r="U900" i="2"/>
  <c r="U931" i="2" s="1"/>
  <c r="U939" i="2" s="1"/>
  <c r="U903" i="2"/>
  <c r="U910" i="2" s="1"/>
  <c r="AJ484" i="2" l="1"/>
  <c r="AJ485" i="2" s="1"/>
  <c r="AJ491" i="2" s="1"/>
  <c r="AG512" i="2"/>
  <c r="AG588" i="2" s="1"/>
  <c r="AJ759" i="2"/>
  <c r="AJ856" i="2"/>
  <c r="AJ879" i="2" s="1"/>
  <c r="AJ978" i="2" s="1"/>
  <c r="T774" i="2"/>
  <c r="AI501" i="2"/>
  <c r="AJ498" i="2" s="1"/>
  <c r="AJ499" i="2" s="1"/>
  <c r="T612" i="2"/>
  <c r="T773" i="2" s="1"/>
  <c r="AH493" i="2"/>
  <c r="AH857" i="2" s="1"/>
  <c r="AH880" i="2" s="1"/>
  <c r="AH979" i="2" s="1"/>
  <c r="T862" i="2"/>
  <c r="T885" i="2" s="1"/>
  <c r="T984" i="2" s="1"/>
  <c r="T639" i="2"/>
  <c r="T640" i="2" s="1"/>
  <c r="T637" i="2"/>
  <c r="T641" i="2" s="1"/>
  <c r="T642" i="2" s="1"/>
  <c r="T695" i="2"/>
  <c r="T696" i="2" s="1"/>
  <c r="T697" i="2" s="1"/>
  <c r="T693" i="2"/>
  <c r="AF551" i="2"/>
  <c r="AF895" i="2" s="1"/>
  <c r="AF905" i="2" s="1"/>
  <c r="U595" i="2"/>
  <c r="U861" i="2" s="1"/>
  <c r="U884" i="2" s="1"/>
  <c r="U983" i="2" s="1"/>
  <c r="AF741" i="2"/>
  <c r="AF742" i="2" s="1"/>
  <c r="AF743" i="2" s="1"/>
  <c r="U570" i="2"/>
  <c r="U594" i="2" s="1"/>
  <c r="AI489" i="2"/>
  <c r="AI490" i="2" s="1"/>
  <c r="AF548" i="2"/>
  <c r="AF553" i="2" s="1"/>
  <c r="AF627" i="2"/>
  <c r="AF628" i="2" s="1"/>
  <c r="AF629" i="2" s="1"/>
  <c r="AD545" i="2"/>
  <c r="AE540" i="2" s="1"/>
  <c r="AE542" i="2" s="1"/>
  <c r="AE544" i="2" s="1"/>
  <c r="AE552" i="2" s="1"/>
  <c r="AM450" i="2"/>
  <c r="AN446" i="2" s="1"/>
  <c r="AN449" i="2" s="1"/>
  <c r="AN437" i="2" s="1"/>
  <c r="AN438" i="2" s="1"/>
  <c r="V560" i="2"/>
  <c r="V563" i="2" s="1"/>
  <c r="AH509" i="2"/>
  <c r="AH510" i="2" s="1"/>
  <c r="AI505" i="2"/>
  <c r="AI506" i="2" s="1"/>
  <c r="AK457" i="2"/>
  <c r="AK439" i="2" s="1"/>
  <c r="AM456" i="2"/>
  <c r="AM462" i="2"/>
  <c r="AM463" i="2" s="1"/>
  <c r="AM464" i="2" s="1"/>
  <c r="AM858" i="2" s="1"/>
  <c r="AM881" i="2" s="1"/>
  <c r="AM980" i="2" s="1"/>
  <c r="AF268" i="2"/>
  <c r="AF269" i="2" s="1"/>
  <c r="AE576" i="2"/>
  <c r="AE586" i="2"/>
  <c r="AJ500" i="2" l="1"/>
  <c r="AJ501" i="2" s="1"/>
  <c r="AJ502" i="2" s="1"/>
  <c r="AJ507" i="2" s="1"/>
  <c r="AG739" i="2"/>
  <c r="AG740" i="2" s="1"/>
  <c r="AG741" i="2" s="1"/>
  <c r="AG742" i="2" s="1"/>
  <c r="AG743" i="2" s="1"/>
  <c r="AG533" i="2"/>
  <c r="AG535" i="2" s="1"/>
  <c r="AG682" i="2" s="1"/>
  <c r="AG683" i="2" s="1"/>
  <c r="AG684" i="2" s="1"/>
  <c r="AG685" i="2" s="1"/>
  <c r="AG686" i="2" s="1"/>
  <c r="T803" i="2"/>
  <c r="T824" i="2" s="1"/>
  <c r="AI502" i="2"/>
  <c r="AI507" i="2" s="1"/>
  <c r="AI508" i="2" s="1"/>
  <c r="AK440" i="2"/>
  <c r="AK751" i="2" s="1"/>
  <c r="T638" i="2"/>
  <c r="T698" i="2"/>
  <c r="T699" i="2" s="1"/>
  <c r="T643" i="2"/>
  <c r="T644" i="2" s="1"/>
  <c r="AF797" i="2"/>
  <c r="AF818" i="2" s="1"/>
  <c r="U634" i="2"/>
  <c r="U635" i="2" s="1"/>
  <c r="U691" i="2"/>
  <c r="U692" i="2" s="1"/>
  <c r="U603" i="2"/>
  <c r="U604" i="2" s="1"/>
  <c r="U774" i="2" s="1"/>
  <c r="AI492" i="2"/>
  <c r="AK458" i="2"/>
  <c r="AL454" i="2" s="1"/>
  <c r="AL457" i="2" s="1"/>
  <c r="AL439" i="2" s="1"/>
  <c r="V561" i="2"/>
  <c r="W556" i="2" s="1"/>
  <c r="W558" i="2" s="1"/>
  <c r="W559" i="2" s="1"/>
  <c r="AE545" i="2"/>
  <c r="AF540" i="2" s="1"/>
  <c r="AF542" i="2" s="1"/>
  <c r="AF544" i="2" s="1"/>
  <c r="AF552" i="2" s="1"/>
  <c r="AF270" i="2"/>
  <c r="AF271" i="2" s="1"/>
  <c r="AG266" i="2" s="1"/>
  <c r="AE590" i="2"/>
  <c r="AE798" i="2"/>
  <c r="AE819" i="2" s="1"/>
  <c r="AE579" i="2"/>
  <c r="AE580" i="2" s="1"/>
  <c r="AE581" i="2" s="1"/>
  <c r="AE896" i="2"/>
  <c r="AE906" i="2" s="1"/>
  <c r="AN450" i="2"/>
  <c r="AO446" i="2" s="1"/>
  <c r="AN462" i="2"/>
  <c r="AN463" i="2" s="1"/>
  <c r="AN464" i="2" s="1"/>
  <c r="AN858" i="2" s="1"/>
  <c r="AN881" i="2" s="1"/>
  <c r="AN980" i="2" s="1"/>
  <c r="AN456" i="2"/>
  <c r="AH859" i="2"/>
  <c r="AH882" i="2" s="1"/>
  <c r="AH981" i="2" s="1"/>
  <c r="AH512" i="2"/>
  <c r="V893" i="2"/>
  <c r="V565" i="2"/>
  <c r="AG547" i="2" l="1"/>
  <c r="AG627" i="2" s="1"/>
  <c r="AG628" i="2" s="1"/>
  <c r="AG629" i="2" s="1"/>
  <c r="AG543" i="2"/>
  <c r="AG537" i="2"/>
  <c r="AG747" i="2"/>
  <c r="AK856" i="2"/>
  <c r="AK879" i="2" s="1"/>
  <c r="AK978" i="2" s="1"/>
  <c r="AK759" i="2"/>
  <c r="AK484" i="2"/>
  <c r="AK485" i="2" s="1"/>
  <c r="AK500" i="2" s="1"/>
  <c r="AL440" i="2"/>
  <c r="AL751" i="2" s="1"/>
  <c r="AI493" i="2"/>
  <c r="AI857" i="2" s="1"/>
  <c r="AI880" i="2" s="1"/>
  <c r="AI979" i="2" s="1"/>
  <c r="U727" i="2"/>
  <c r="U728" i="2" s="1"/>
  <c r="U729" i="2" s="1"/>
  <c r="U730" i="2" s="1"/>
  <c r="U693" i="2"/>
  <c r="U695" i="2"/>
  <c r="U696" i="2" s="1"/>
  <c r="U612" i="2"/>
  <c r="U803" i="2" s="1"/>
  <c r="U824" i="2" s="1"/>
  <c r="U862" i="2"/>
  <c r="U885" i="2" s="1"/>
  <c r="U984" i="2" s="1"/>
  <c r="U639" i="2"/>
  <c r="U640" i="2" s="1"/>
  <c r="U637" i="2"/>
  <c r="U641" i="2" s="1"/>
  <c r="U642" i="2" s="1"/>
  <c r="V566" i="2"/>
  <c r="V567" i="2" s="1"/>
  <c r="V806" i="2" s="1"/>
  <c r="V827" i="2" s="1"/>
  <c r="AH739" i="2"/>
  <c r="AJ489" i="2"/>
  <c r="AJ490" i="2" s="1"/>
  <c r="AK498" i="2"/>
  <c r="AK499" i="2" s="1"/>
  <c r="W560" i="2"/>
  <c r="W563" i="2" s="1"/>
  <c r="AG268" i="2"/>
  <c r="AG269" i="2" s="1"/>
  <c r="AI509" i="2"/>
  <c r="AI510" i="2" s="1"/>
  <c r="AJ505" i="2"/>
  <c r="AJ506" i="2" s="1"/>
  <c r="AJ508" i="2" s="1"/>
  <c r="AH588" i="2"/>
  <c r="AH533" i="2"/>
  <c r="AH535" i="2" s="1"/>
  <c r="AH682" i="2" s="1"/>
  <c r="AH683" i="2" s="1"/>
  <c r="AH684" i="2" s="1"/>
  <c r="AH685" i="2" s="1"/>
  <c r="AH686" i="2" s="1"/>
  <c r="AF545" i="2"/>
  <c r="AG540" i="2" s="1"/>
  <c r="AE591" i="2"/>
  <c r="AE592" i="2" s="1"/>
  <c r="V900" i="2"/>
  <c r="V931" i="2" s="1"/>
  <c r="V939" i="2" s="1"/>
  <c r="V903" i="2"/>
  <c r="V910" i="2" s="1"/>
  <c r="AO449" i="2"/>
  <c r="AO437" i="2" s="1"/>
  <c r="AO438" i="2" s="1"/>
  <c r="AL458" i="2"/>
  <c r="AM454" i="2" s="1"/>
  <c r="AF586" i="2"/>
  <c r="AF576" i="2"/>
  <c r="AG548" i="2" l="1"/>
  <c r="AG553" i="2" s="1"/>
  <c r="AG541" i="2"/>
  <c r="AG542" i="2" s="1"/>
  <c r="AG544" i="2" s="1"/>
  <c r="AG552" i="2" s="1"/>
  <c r="AG551" i="2"/>
  <c r="AK491" i="2"/>
  <c r="U773" i="2"/>
  <c r="AL856" i="2"/>
  <c r="AL879" i="2" s="1"/>
  <c r="AL978" i="2" s="1"/>
  <c r="AL759" i="2"/>
  <c r="AL484" i="2"/>
  <c r="AL485" i="2" s="1"/>
  <c r="AL491" i="2" s="1"/>
  <c r="U643" i="2"/>
  <c r="U644" i="2" s="1"/>
  <c r="U697" i="2"/>
  <c r="U698" i="2"/>
  <c r="U699" i="2" s="1"/>
  <c r="U638" i="2"/>
  <c r="V595" i="2"/>
  <c r="V570" i="2"/>
  <c r="V594" i="2" s="1"/>
  <c r="AH747" i="2"/>
  <c r="AH740" i="2"/>
  <c r="AJ492" i="2"/>
  <c r="AK501" i="2"/>
  <c r="AK502" i="2" s="1"/>
  <c r="AK507" i="2" s="1"/>
  <c r="AO450" i="2"/>
  <c r="AP446" i="2" s="1"/>
  <c r="AP449" i="2" s="1"/>
  <c r="AP437" i="2" s="1"/>
  <c r="AP438" i="2" s="1"/>
  <c r="AG270" i="2"/>
  <c r="AG271" i="2" s="1"/>
  <c r="AH266" i="2" s="1"/>
  <c r="AO462" i="2"/>
  <c r="AO463" i="2" s="1"/>
  <c r="AO464" i="2" s="1"/>
  <c r="AO858" i="2" s="1"/>
  <c r="AO881" i="2" s="1"/>
  <c r="AO980" i="2" s="1"/>
  <c r="AO456" i="2"/>
  <c r="AJ509" i="2"/>
  <c r="AJ510" i="2" s="1"/>
  <c r="AJ859" i="2" s="1"/>
  <c r="AJ882" i="2" s="1"/>
  <c r="AJ981" i="2" s="1"/>
  <c r="AK505" i="2"/>
  <c r="AK506" i="2" s="1"/>
  <c r="AI859" i="2"/>
  <c r="AI882" i="2" s="1"/>
  <c r="AI981" i="2" s="1"/>
  <c r="AI512" i="2"/>
  <c r="AH543" i="2"/>
  <c r="AH537" i="2"/>
  <c r="AH547" i="2"/>
  <c r="AF896" i="2"/>
  <c r="AF906" i="2" s="1"/>
  <c r="AF579" i="2"/>
  <c r="AF580" i="2" s="1"/>
  <c r="AF581" i="2" s="1"/>
  <c r="AF590" i="2"/>
  <c r="AF798" i="2"/>
  <c r="AF819" i="2" s="1"/>
  <c r="W561" i="2"/>
  <c r="X556" i="2" s="1"/>
  <c r="AM457" i="2"/>
  <c r="AM439" i="2" s="1"/>
  <c r="W565" i="2"/>
  <c r="W893" i="2"/>
  <c r="AG797" i="2" l="1"/>
  <c r="AG818" i="2" s="1"/>
  <c r="AG895" i="2"/>
  <c r="AG905" i="2" s="1"/>
  <c r="AL500" i="2"/>
  <c r="AM440" i="2"/>
  <c r="AM751" i="2" s="1"/>
  <c r="AJ493" i="2"/>
  <c r="AJ857" i="2" s="1"/>
  <c r="AJ880" i="2" s="1"/>
  <c r="AJ979" i="2" s="1"/>
  <c r="V634" i="2"/>
  <c r="V635" i="2" s="1"/>
  <c r="V861" i="2"/>
  <c r="V884" i="2" s="1"/>
  <c r="V983" i="2" s="1"/>
  <c r="V603" i="2"/>
  <c r="V604" i="2" s="1"/>
  <c r="V774" i="2" s="1"/>
  <c r="V691" i="2"/>
  <c r="V692" i="2" s="1"/>
  <c r="AH741" i="2"/>
  <c r="AH742" i="2" s="1"/>
  <c r="AH743" i="2" s="1"/>
  <c r="W566" i="2"/>
  <c r="W567" i="2" s="1"/>
  <c r="W570" i="2" s="1"/>
  <c r="W594" i="2" s="1"/>
  <c r="AI739" i="2"/>
  <c r="AK489" i="2"/>
  <c r="AK490" i="2" s="1"/>
  <c r="AK492" i="2" s="1"/>
  <c r="AK493" i="2" s="1"/>
  <c r="AL498" i="2"/>
  <c r="AL499" i="2" s="1"/>
  <c r="AK508" i="2"/>
  <c r="AL505" i="2" s="1"/>
  <c r="AL506" i="2" s="1"/>
  <c r="X558" i="2"/>
  <c r="X559" i="2" s="1"/>
  <c r="AF591" i="2"/>
  <c r="AF592" i="2" s="1"/>
  <c r="AP450" i="2"/>
  <c r="AQ446" i="2" s="1"/>
  <c r="AH627" i="2"/>
  <c r="AH628" i="2" s="1"/>
  <c r="AH629" i="2" s="1"/>
  <c r="AH548" i="2"/>
  <c r="AH553" i="2" s="1"/>
  <c r="AI588" i="2"/>
  <c r="AI533" i="2"/>
  <c r="AI535" i="2" s="1"/>
  <c r="AI682" i="2" s="1"/>
  <c r="AI683" i="2" s="1"/>
  <c r="AI684" i="2" s="1"/>
  <c r="AI685" i="2" s="1"/>
  <c r="AI686" i="2" s="1"/>
  <c r="AP462" i="2"/>
  <c r="AP463" i="2" s="1"/>
  <c r="AP464" i="2" s="1"/>
  <c r="AP858" i="2" s="1"/>
  <c r="AP881" i="2" s="1"/>
  <c r="AP980" i="2" s="1"/>
  <c r="AP456" i="2"/>
  <c r="AH541" i="2"/>
  <c r="AH551" i="2"/>
  <c r="AH268" i="2"/>
  <c r="AH269" i="2" s="1"/>
  <c r="W900" i="2"/>
  <c r="W931" i="2" s="1"/>
  <c r="W939" i="2" s="1"/>
  <c r="W903" i="2"/>
  <c r="W910" i="2" s="1"/>
  <c r="AM458" i="2"/>
  <c r="AN454" i="2" s="1"/>
  <c r="AN457" i="2" s="1"/>
  <c r="AG545" i="2"/>
  <c r="AH540" i="2" s="1"/>
  <c r="AG586" i="2"/>
  <c r="AG576" i="2"/>
  <c r="AM856" i="2" l="1"/>
  <c r="AM879" i="2" s="1"/>
  <c r="AM978" i="2" s="1"/>
  <c r="AM484" i="2"/>
  <c r="AM485" i="2" s="1"/>
  <c r="AM500" i="2" s="1"/>
  <c r="AL501" i="2"/>
  <c r="AM498" i="2" s="1"/>
  <c r="AM499" i="2" s="1"/>
  <c r="AM759" i="2"/>
  <c r="V637" i="2"/>
  <c r="V638" i="2" s="1"/>
  <c r="AJ512" i="2"/>
  <c r="AJ588" i="2" s="1"/>
  <c r="V727" i="2"/>
  <c r="V728" i="2" s="1"/>
  <c r="V729" i="2" s="1"/>
  <c r="V730" i="2" s="1"/>
  <c r="V639" i="2"/>
  <c r="V643" i="2" s="1"/>
  <c r="V644" i="2" s="1"/>
  <c r="V862" i="2"/>
  <c r="V885" i="2" s="1"/>
  <c r="V984" i="2" s="1"/>
  <c r="V612" i="2"/>
  <c r="V773" i="2" s="1"/>
  <c r="V693" i="2"/>
  <c r="V695" i="2"/>
  <c r="V696" i="2" s="1"/>
  <c r="W806" i="2"/>
  <c r="W827" i="2" s="1"/>
  <c r="W595" i="2"/>
  <c r="AI747" i="2"/>
  <c r="AI740" i="2"/>
  <c r="AK857" i="2"/>
  <c r="AK880" i="2" s="1"/>
  <c r="AK979" i="2" s="1"/>
  <c r="AL489" i="2"/>
  <c r="AK509" i="2"/>
  <c r="AK510" i="2" s="1"/>
  <c r="AK859" i="2" s="1"/>
  <c r="AK882" i="2" s="1"/>
  <c r="AK981" i="2" s="1"/>
  <c r="AH542" i="2"/>
  <c r="AH544" i="2" s="1"/>
  <c r="AH552" i="2" s="1"/>
  <c r="X560" i="2"/>
  <c r="X563" i="2" s="1"/>
  <c r="AH270" i="2"/>
  <c r="AH271" i="2" s="1"/>
  <c r="AI266" i="2" s="1"/>
  <c r="AG896" i="2"/>
  <c r="AG906" i="2" s="1"/>
  <c r="AG579" i="2"/>
  <c r="AG580" i="2" s="1"/>
  <c r="AG581" i="2" s="1"/>
  <c r="AG590" i="2"/>
  <c r="AG798" i="2"/>
  <c r="AG819" i="2" s="1"/>
  <c r="AH797" i="2"/>
  <c r="AH818" i="2" s="1"/>
  <c r="AH895" i="2"/>
  <c r="AH905" i="2" s="1"/>
  <c r="AI543" i="2"/>
  <c r="AI537" i="2"/>
  <c r="AI547" i="2"/>
  <c r="AQ449" i="2"/>
  <c r="AQ437" i="2" s="1"/>
  <c r="AQ438" i="2" s="1"/>
  <c r="AN458" i="2"/>
  <c r="AO454" i="2" s="1"/>
  <c r="AN439" i="2"/>
  <c r="W603" i="2"/>
  <c r="W604" i="2" s="1"/>
  <c r="AL502" i="2" l="1"/>
  <c r="AL507" i="2" s="1"/>
  <c r="AL508" i="2" s="1"/>
  <c r="AL509" i="2" s="1"/>
  <c r="AL510" i="2" s="1"/>
  <c r="AL859" i="2" s="1"/>
  <c r="AL882" i="2" s="1"/>
  <c r="AL981" i="2" s="1"/>
  <c r="V641" i="2"/>
  <c r="V642" i="2" s="1"/>
  <c r="AM501" i="2"/>
  <c r="AM502" i="2" s="1"/>
  <c r="AM507" i="2" s="1"/>
  <c r="AM491" i="2"/>
  <c r="AJ739" i="2"/>
  <c r="AJ747" i="2" s="1"/>
  <c r="AJ533" i="2"/>
  <c r="AJ535" i="2" s="1"/>
  <c r="AJ682" i="2" s="1"/>
  <c r="AJ683" i="2" s="1"/>
  <c r="AJ684" i="2" s="1"/>
  <c r="AJ685" i="2" s="1"/>
  <c r="AJ686" i="2" s="1"/>
  <c r="AN440" i="2"/>
  <c r="AN751" i="2" s="1"/>
  <c r="V640" i="2"/>
  <c r="V803" i="2"/>
  <c r="V824" i="2" s="1"/>
  <c r="W695" i="2"/>
  <c r="W696" i="2" s="1"/>
  <c r="V697" i="2"/>
  <c r="V698" i="2"/>
  <c r="V699" i="2" s="1"/>
  <c r="W861" i="2"/>
  <c r="W884" i="2" s="1"/>
  <c r="W983" i="2" s="1"/>
  <c r="W634" i="2"/>
  <c r="W635" i="2" s="1"/>
  <c r="W727" i="2"/>
  <c r="W728" i="2" s="1"/>
  <c r="W729" i="2" s="1"/>
  <c r="W730" i="2" s="1"/>
  <c r="W691" i="2"/>
  <c r="W692" i="2" s="1"/>
  <c r="AI741" i="2"/>
  <c r="AI742" i="2" s="1"/>
  <c r="AI743" i="2" s="1"/>
  <c r="W774" i="2"/>
  <c r="AL490" i="2"/>
  <c r="AL492" i="2" s="1"/>
  <c r="AL493" i="2" s="1"/>
  <c r="AK512" i="2"/>
  <c r="AH545" i="2"/>
  <c r="AI540" i="2" s="1"/>
  <c r="W639" i="2"/>
  <c r="AQ450" i="2"/>
  <c r="AR446" i="2" s="1"/>
  <c r="AR449" i="2" s="1"/>
  <c r="AR437" i="2" s="1"/>
  <c r="AR438" i="2" s="1"/>
  <c r="X561" i="2"/>
  <c r="Y556" i="2" s="1"/>
  <c r="Y558" i="2" s="1"/>
  <c r="Y559" i="2" s="1"/>
  <c r="AI268" i="2"/>
  <c r="AI269" i="2" s="1"/>
  <c r="AG591" i="2"/>
  <c r="AG592" i="2" s="1"/>
  <c r="AI627" i="2"/>
  <c r="AI628" i="2" s="1"/>
  <c r="AI629" i="2" s="1"/>
  <c r="AI548" i="2"/>
  <c r="AI553" i="2" s="1"/>
  <c r="AH586" i="2"/>
  <c r="AH576" i="2"/>
  <c r="AI551" i="2"/>
  <c r="AI541" i="2"/>
  <c r="W612" i="2"/>
  <c r="W862" i="2"/>
  <c r="W885" i="2" s="1"/>
  <c r="W984" i="2" s="1"/>
  <c r="W637" i="2"/>
  <c r="AQ462" i="2"/>
  <c r="AQ463" i="2" s="1"/>
  <c r="AQ464" i="2" s="1"/>
  <c r="AQ858" i="2" s="1"/>
  <c r="AQ881" i="2" s="1"/>
  <c r="AQ980" i="2" s="1"/>
  <c r="AQ456" i="2"/>
  <c r="AO457" i="2"/>
  <c r="AO439" i="2" s="1"/>
  <c r="X893" i="2"/>
  <c r="X565" i="2"/>
  <c r="AN498" i="2" l="1"/>
  <c r="AN499" i="2" s="1"/>
  <c r="AM505" i="2"/>
  <c r="AM506" i="2" s="1"/>
  <c r="AJ543" i="2"/>
  <c r="AJ740" i="2"/>
  <c r="AJ741" i="2" s="1"/>
  <c r="AJ742" i="2" s="1"/>
  <c r="AJ743" i="2" s="1"/>
  <c r="AJ537" i="2"/>
  <c r="AJ541" i="2" s="1"/>
  <c r="AJ547" i="2"/>
  <c r="AJ548" i="2" s="1"/>
  <c r="AJ553" i="2" s="1"/>
  <c r="AN484" i="2"/>
  <c r="AN485" i="2" s="1"/>
  <c r="AN500" i="2" s="1"/>
  <c r="AN856" i="2"/>
  <c r="AN879" i="2" s="1"/>
  <c r="AN978" i="2" s="1"/>
  <c r="AO440" i="2"/>
  <c r="AO751" i="2" s="1"/>
  <c r="AN759" i="2"/>
  <c r="W693" i="2"/>
  <c r="W697" i="2"/>
  <c r="W698" i="2"/>
  <c r="W640" i="2"/>
  <c r="X566" i="2"/>
  <c r="X567" i="2" s="1"/>
  <c r="X595" i="2" s="1"/>
  <c r="AK739" i="2"/>
  <c r="W773" i="2"/>
  <c r="AM489" i="2"/>
  <c r="W803" i="2"/>
  <c r="W824" i="2" s="1"/>
  <c r="AI542" i="2"/>
  <c r="AI544" i="2" s="1"/>
  <c r="AI552" i="2" s="1"/>
  <c r="AK588" i="2"/>
  <c r="AK533" i="2"/>
  <c r="AK535" i="2" s="1"/>
  <c r="AK682" i="2" s="1"/>
  <c r="AK683" i="2" s="1"/>
  <c r="AK684" i="2" s="1"/>
  <c r="AK685" i="2" s="1"/>
  <c r="AK686" i="2" s="1"/>
  <c r="AM508" i="2"/>
  <c r="AN505" i="2" s="1"/>
  <c r="AN506" i="2" s="1"/>
  <c r="W643" i="2"/>
  <c r="W644" i="2" s="1"/>
  <c r="Y560" i="2"/>
  <c r="Y563" i="2" s="1"/>
  <c r="AI270" i="2"/>
  <c r="AI271" i="2" s="1"/>
  <c r="AJ266" i="2" s="1"/>
  <c r="W638" i="2"/>
  <c r="W641" i="2"/>
  <c r="W642" i="2" s="1"/>
  <c r="AO458" i="2"/>
  <c r="AP454" i="2" s="1"/>
  <c r="AR450" i="2"/>
  <c r="AS446" i="2" s="1"/>
  <c r="AH896" i="2"/>
  <c r="AH906" i="2" s="1"/>
  <c r="AH579" i="2"/>
  <c r="AH580" i="2" s="1"/>
  <c r="AH581" i="2" s="1"/>
  <c r="AR456" i="2"/>
  <c r="AR462" i="2"/>
  <c r="AR463" i="2" s="1"/>
  <c r="AR464" i="2" s="1"/>
  <c r="AR858" i="2" s="1"/>
  <c r="AR881" i="2" s="1"/>
  <c r="AR980" i="2" s="1"/>
  <c r="AI895" i="2"/>
  <c r="AI905" i="2" s="1"/>
  <c r="AI797" i="2"/>
  <c r="AI818" i="2" s="1"/>
  <c r="AH590" i="2"/>
  <c r="AH798" i="2"/>
  <c r="AH819" i="2" s="1"/>
  <c r="X900" i="2"/>
  <c r="X931" i="2" s="1"/>
  <c r="X939" i="2" s="1"/>
  <c r="X903" i="2"/>
  <c r="X910" i="2" s="1"/>
  <c r="AJ627" i="2" l="1"/>
  <c r="AJ628" i="2" s="1"/>
  <c r="AJ629" i="2" s="1"/>
  <c r="AJ551" i="2"/>
  <c r="AJ797" i="2" s="1"/>
  <c r="AJ818" i="2" s="1"/>
  <c r="AN491" i="2"/>
  <c r="AO856" i="2"/>
  <c r="AO879" i="2" s="1"/>
  <c r="AO978" i="2" s="1"/>
  <c r="AO759" i="2"/>
  <c r="AO484" i="2"/>
  <c r="AO485" i="2" s="1"/>
  <c r="AO491" i="2" s="1"/>
  <c r="W699" i="2"/>
  <c r="X570" i="2"/>
  <c r="X594" i="2" s="1"/>
  <c r="X806" i="2"/>
  <c r="X827" i="2" s="1"/>
  <c r="AK747" i="2"/>
  <c r="AK740" i="2"/>
  <c r="AM490" i="2"/>
  <c r="AM492" i="2" s="1"/>
  <c r="AM493" i="2" s="1"/>
  <c r="AL857" i="2"/>
  <c r="AL880" i="2" s="1"/>
  <c r="AL979" i="2" s="1"/>
  <c r="AL512" i="2"/>
  <c r="AK543" i="2"/>
  <c r="AK547" i="2"/>
  <c r="AK537" i="2"/>
  <c r="AM509" i="2"/>
  <c r="AM510" i="2" s="1"/>
  <c r="AM859" i="2" s="1"/>
  <c r="AM882" i="2" s="1"/>
  <c r="AM981" i="2" s="1"/>
  <c r="Y561" i="2"/>
  <c r="Z556" i="2" s="1"/>
  <c r="Z558" i="2" s="1"/>
  <c r="Z559" i="2" s="1"/>
  <c r="AJ268" i="2"/>
  <c r="AJ269" i="2" s="1"/>
  <c r="AN501" i="2"/>
  <c r="AH591" i="2"/>
  <c r="AH592" i="2" s="1"/>
  <c r="AP457" i="2"/>
  <c r="AP439" i="2" s="1"/>
  <c r="AI545" i="2"/>
  <c r="AJ540" i="2" s="1"/>
  <c r="AJ542" i="2" s="1"/>
  <c r="AI586" i="2"/>
  <c r="AI576" i="2"/>
  <c r="AS449" i="2"/>
  <c r="AS437" i="2" s="1"/>
  <c r="Y565" i="2"/>
  <c r="Y893" i="2"/>
  <c r="X861" i="2"/>
  <c r="X884" i="2" s="1"/>
  <c r="X983" i="2" s="1"/>
  <c r="AJ895" i="2" l="1"/>
  <c r="AJ905" i="2" s="1"/>
  <c r="AO500" i="2"/>
  <c r="AP440" i="2"/>
  <c r="AP751" i="2" s="1"/>
  <c r="X634" i="2"/>
  <c r="X635" i="2" s="1"/>
  <c r="X691" i="2"/>
  <c r="X692" i="2" s="1"/>
  <c r="AK741" i="2"/>
  <c r="AK742" i="2" s="1"/>
  <c r="AK743" i="2" s="1"/>
  <c r="X603" i="2"/>
  <c r="X604" i="2" s="1"/>
  <c r="X695" i="2" s="1"/>
  <c r="X696" i="2" s="1"/>
  <c r="Y566" i="2"/>
  <c r="Y567" i="2" s="1"/>
  <c r="Y806" i="2" s="1"/>
  <c r="Y827" i="2" s="1"/>
  <c r="AL739" i="2"/>
  <c r="AM857" i="2"/>
  <c r="AM880" i="2" s="1"/>
  <c r="AM979" i="2" s="1"/>
  <c r="AN489" i="2"/>
  <c r="AL533" i="2"/>
  <c r="AL535" i="2" s="1"/>
  <c r="AL682" i="2" s="1"/>
  <c r="AL683" i="2" s="1"/>
  <c r="AL684" i="2" s="1"/>
  <c r="AL685" i="2" s="1"/>
  <c r="AL686" i="2" s="1"/>
  <c r="AL588" i="2"/>
  <c r="AK541" i="2"/>
  <c r="AK551" i="2"/>
  <c r="AK627" i="2"/>
  <c r="AK628" i="2" s="1"/>
  <c r="AK629" i="2" s="1"/>
  <c r="AK548" i="2"/>
  <c r="AK553" i="2" s="1"/>
  <c r="AS450" i="2"/>
  <c r="AT446" i="2" s="1"/>
  <c r="AT449" i="2" s="1"/>
  <c r="AT437" i="2" s="1"/>
  <c r="AT438" i="2" s="1"/>
  <c r="Z560" i="2"/>
  <c r="Z563" i="2" s="1"/>
  <c r="AJ270" i="2"/>
  <c r="AJ271" i="2" s="1"/>
  <c r="AK266" i="2" s="1"/>
  <c r="AI590" i="2"/>
  <c r="AI798" i="2"/>
  <c r="AI819" i="2" s="1"/>
  <c r="AN502" i="2"/>
  <c r="AN507" i="2" s="1"/>
  <c r="AN508" i="2" s="1"/>
  <c r="AO498" i="2"/>
  <c r="AO499" i="2" s="1"/>
  <c r="AJ544" i="2"/>
  <c r="AJ552" i="2" s="1"/>
  <c r="Y900" i="2"/>
  <c r="Y931" i="2" s="1"/>
  <c r="Y939" i="2" s="1"/>
  <c r="Y903" i="2"/>
  <c r="Y910" i="2" s="1"/>
  <c r="AP458" i="2"/>
  <c r="AQ454" i="2" s="1"/>
  <c r="AS438" i="2"/>
  <c r="AI896" i="2"/>
  <c r="AI906" i="2" s="1"/>
  <c r="AI579" i="2"/>
  <c r="AI580" i="2" s="1"/>
  <c r="AI581" i="2" s="1"/>
  <c r="AO501" i="2" l="1"/>
  <c r="AP498" i="2" s="1"/>
  <c r="AP499" i="2" s="1"/>
  <c r="AP856" i="2"/>
  <c r="AP879" i="2" s="1"/>
  <c r="AP978" i="2" s="1"/>
  <c r="AP484" i="2"/>
  <c r="AP485" i="2" s="1"/>
  <c r="AP491" i="2" s="1"/>
  <c r="AP759" i="2"/>
  <c r="X693" i="2"/>
  <c r="X697" i="2"/>
  <c r="X698" i="2"/>
  <c r="X774" i="2"/>
  <c r="Y595" i="2"/>
  <c r="Y861" i="2" s="1"/>
  <c r="Y884" i="2" s="1"/>
  <c r="Y983" i="2" s="1"/>
  <c r="Y570" i="2"/>
  <c r="Y594" i="2" s="1"/>
  <c r="X639" i="2"/>
  <c r="X643" i="2" s="1"/>
  <c r="X644" i="2" s="1"/>
  <c r="X727" i="2"/>
  <c r="X728" i="2" s="1"/>
  <c r="X729" i="2" s="1"/>
  <c r="X730" i="2" s="1"/>
  <c r="X612" i="2"/>
  <c r="X803" i="2" s="1"/>
  <c r="X824" i="2" s="1"/>
  <c r="X862" i="2"/>
  <c r="X885" i="2" s="1"/>
  <c r="X984" i="2" s="1"/>
  <c r="X637" i="2"/>
  <c r="X638" i="2" s="1"/>
  <c r="AL747" i="2"/>
  <c r="AL740" i="2"/>
  <c r="AM512" i="2"/>
  <c r="AL543" i="2"/>
  <c r="AL537" i="2"/>
  <c r="AL547" i="2"/>
  <c r="AN490" i="2"/>
  <c r="AN492" i="2" s="1"/>
  <c r="AN493" i="2" s="1"/>
  <c r="AK797" i="2"/>
  <c r="AK818" i="2" s="1"/>
  <c r="AK895" i="2"/>
  <c r="AK905" i="2" s="1"/>
  <c r="AK268" i="2"/>
  <c r="AK269" i="2" s="1"/>
  <c r="AQ457" i="2"/>
  <c r="AQ439" i="2" s="1"/>
  <c r="AI591" i="2"/>
  <c r="AI592" i="2" s="1"/>
  <c r="AJ545" i="2"/>
  <c r="AK540" i="2" s="1"/>
  <c r="AK542" i="2" s="1"/>
  <c r="AJ586" i="2"/>
  <c r="AJ576" i="2"/>
  <c r="AS456" i="2"/>
  <c r="AS462" i="2"/>
  <c r="AS463" i="2" s="1"/>
  <c r="AS464" i="2" s="1"/>
  <c r="AS858" i="2" s="1"/>
  <c r="AT450" i="2"/>
  <c r="AU446" i="2" s="1"/>
  <c r="Z561" i="2"/>
  <c r="AA556" i="2" s="1"/>
  <c r="AT462" i="2"/>
  <c r="AT463" i="2" s="1"/>
  <c r="AT464" i="2" s="1"/>
  <c r="AT858" i="2" s="1"/>
  <c r="AT881" i="2" s="1"/>
  <c r="AT980" i="2" s="1"/>
  <c r="AT456" i="2"/>
  <c r="AN509" i="2"/>
  <c r="AN510" i="2" s="1"/>
  <c r="AO505" i="2"/>
  <c r="AO506" i="2" s="1"/>
  <c r="Z565" i="2"/>
  <c r="Z893" i="2"/>
  <c r="AO502" i="2" l="1"/>
  <c r="AO507" i="2" s="1"/>
  <c r="AO508" i="2" s="1"/>
  <c r="AP505" i="2" s="1"/>
  <c r="AP506" i="2" s="1"/>
  <c r="AP500" i="2"/>
  <c r="AP501" i="2" s="1"/>
  <c r="AQ498" i="2" s="1"/>
  <c r="AQ440" i="2"/>
  <c r="AQ751" i="2" s="1"/>
  <c r="X699" i="2"/>
  <c r="Y634" i="2"/>
  <c r="Y635" i="2" s="1"/>
  <c r="Y603" i="2"/>
  <c r="Y604" i="2" s="1"/>
  <c r="Y774" i="2" s="1"/>
  <c r="X640" i="2"/>
  <c r="X773" i="2"/>
  <c r="Y691" i="2"/>
  <c r="Y692" i="2" s="1"/>
  <c r="AL741" i="2"/>
  <c r="AL742" i="2" s="1"/>
  <c r="AL743" i="2" s="1"/>
  <c r="X641" i="2"/>
  <c r="X642" i="2" s="1"/>
  <c r="Z566" i="2"/>
  <c r="Z567" i="2" s="1"/>
  <c r="Z570" i="2" s="1"/>
  <c r="Z594" i="2" s="1"/>
  <c r="AM739" i="2"/>
  <c r="AM588" i="2"/>
  <c r="AM533" i="2"/>
  <c r="AM535" i="2" s="1"/>
  <c r="AM682" i="2" s="1"/>
  <c r="AM683" i="2" s="1"/>
  <c r="AM684" i="2" s="1"/>
  <c r="AM685" i="2" s="1"/>
  <c r="AM686" i="2" s="1"/>
  <c r="AN857" i="2"/>
  <c r="AN880" i="2" s="1"/>
  <c r="AN979" i="2" s="1"/>
  <c r="AO489" i="2"/>
  <c r="AL548" i="2"/>
  <c r="AL553" i="2" s="1"/>
  <c r="AL627" i="2"/>
  <c r="AL628" i="2" s="1"/>
  <c r="AL629" i="2" s="1"/>
  <c r="AL551" i="2"/>
  <c r="AL541" i="2"/>
  <c r="AK270" i="2"/>
  <c r="AK271" i="2" s="1"/>
  <c r="AL266" i="2" s="1"/>
  <c r="AN859" i="2"/>
  <c r="AN882" i="2" s="1"/>
  <c r="AN981" i="2" s="1"/>
  <c r="AU449" i="2"/>
  <c r="AU437" i="2" s="1"/>
  <c r="AA558" i="2"/>
  <c r="AA559" i="2" s="1"/>
  <c r="AS881" i="2"/>
  <c r="Z900" i="2"/>
  <c r="Z931" i="2" s="1"/>
  <c r="Z939" i="2" s="1"/>
  <c r="Z903" i="2"/>
  <c r="Z910" i="2" s="1"/>
  <c r="AJ896" i="2"/>
  <c r="AJ906" i="2" s="1"/>
  <c r="AJ579" i="2"/>
  <c r="AJ580" i="2" s="1"/>
  <c r="AJ581" i="2" s="1"/>
  <c r="AJ590" i="2"/>
  <c r="AJ798" i="2"/>
  <c r="AJ819" i="2" s="1"/>
  <c r="AK544" i="2"/>
  <c r="AK552" i="2" s="1"/>
  <c r="AQ458" i="2"/>
  <c r="AR454" i="2" s="1"/>
  <c r="AR457" i="2" s="1"/>
  <c r="AQ759" i="2" l="1"/>
  <c r="AQ856" i="2"/>
  <c r="AQ879" i="2" s="1"/>
  <c r="AQ978" i="2" s="1"/>
  <c r="AQ484" i="2"/>
  <c r="AQ485" i="2" s="1"/>
  <c r="AQ500" i="2" s="1"/>
  <c r="Z595" i="2"/>
  <c r="Z691" i="2" s="1"/>
  <c r="Z692" i="2" s="1"/>
  <c r="Z806" i="2"/>
  <c r="Z827" i="2" s="1"/>
  <c r="Y637" i="2"/>
  <c r="Y641" i="2" s="1"/>
  <c r="Y642" i="2" s="1"/>
  <c r="Y639" i="2"/>
  <c r="Y640" i="2" s="1"/>
  <c r="Y862" i="2"/>
  <c r="Y885" i="2" s="1"/>
  <c r="Y984" i="2" s="1"/>
  <c r="Y727" i="2"/>
  <c r="Y728" i="2" s="1"/>
  <c r="Y729" i="2" s="1"/>
  <c r="Y730" i="2" s="1"/>
  <c r="Y612" i="2"/>
  <c r="Y803" i="2" s="1"/>
  <c r="Y824" i="2" s="1"/>
  <c r="Y695" i="2"/>
  <c r="Y696" i="2" s="1"/>
  <c r="Y698" i="2" s="1"/>
  <c r="Y693" i="2"/>
  <c r="AM543" i="2"/>
  <c r="AM747" i="2"/>
  <c r="AM740" i="2"/>
  <c r="AM537" i="2"/>
  <c r="AM551" i="2" s="1"/>
  <c r="AM547" i="2"/>
  <c r="AP502" i="2"/>
  <c r="AP507" i="2" s="1"/>
  <c r="AP508" i="2" s="1"/>
  <c r="AN512" i="2"/>
  <c r="AL895" i="2"/>
  <c r="AL905" i="2" s="1"/>
  <c r="AL797" i="2"/>
  <c r="AL818" i="2" s="1"/>
  <c r="AO490" i="2"/>
  <c r="AO492" i="2" s="1"/>
  <c r="AO493" i="2" s="1"/>
  <c r="AO509" i="2"/>
  <c r="AO510" i="2" s="1"/>
  <c r="AU450" i="2"/>
  <c r="AV446" i="2" s="1"/>
  <c r="AV449" i="2" s="1"/>
  <c r="AV437" i="2" s="1"/>
  <c r="AV438" i="2" s="1"/>
  <c r="AK545" i="2"/>
  <c r="AL540" i="2" s="1"/>
  <c r="AL542" i="2" s="1"/>
  <c r="AL544" i="2" s="1"/>
  <c r="AL552" i="2" s="1"/>
  <c r="AA560" i="2"/>
  <c r="AA563" i="2" s="1"/>
  <c r="AL268" i="2"/>
  <c r="AL269" i="2" s="1"/>
  <c r="AR458" i="2"/>
  <c r="AS454" i="2" s="1"/>
  <c r="AS457" i="2" s="1"/>
  <c r="AR439" i="2"/>
  <c r="AR440" i="2" s="1"/>
  <c r="AJ591" i="2"/>
  <c r="AJ592" i="2" s="1"/>
  <c r="AQ499" i="2"/>
  <c r="AU438" i="2"/>
  <c r="AS980" i="2"/>
  <c r="Z603" i="2"/>
  <c r="Z604" i="2" s="1"/>
  <c r="Z774" i="2" s="1"/>
  <c r="AK576" i="2"/>
  <c r="AK586" i="2"/>
  <c r="AQ491" i="2" l="1"/>
  <c r="Y773" i="2"/>
  <c r="Y638" i="2"/>
  <c r="Z861" i="2"/>
  <c r="Z884" i="2" s="1"/>
  <c r="Z983" i="2" s="1"/>
  <c r="Z634" i="2"/>
  <c r="Z635" i="2" s="1"/>
  <c r="Y643" i="2"/>
  <c r="Y644" i="2" s="1"/>
  <c r="Y697" i="2"/>
  <c r="Y699" i="2"/>
  <c r="Z695" i="2"/>
  <c r="Z696" i="2" s="1"/>
  <c r="Z693" i="2"/>
  <c r="AM741" i="2"/>
  <c r="AM742" i="2" s="1"/>
  <c r="AM743" i="2" s="1"/>
  <c r="AN739" i="2"/>
  <c r="AN588" i="2"/>
  <c r="AN533" i="2"/>
  <c r="AN535" i="2" s="1"/>
  <c r="AN682" i="2" s="1"/>
  <c r="AN683" i="2" s="1"/>
  <c r="AN684" i="2" s="1"/>
  <c r="AN685" i="2" s="1"/>
  <c r="AN686" i="2" s="1"/>
  <c r="AM541" i="2"/>
  <c r="AM627" i="2"/>
  <c r="AM628" i="2" s="1"/>
  <c r="AM629" i="2" s="1"/>
  <c r="AM548" i="2"/>
  <c r="AM553" i="2" s="1"/>
  <c r="AO857" i="2"/>
  <c r="AO880" i="2" s="1"/>
  <c r="AO979" i="2" s="1"/>
  <c r="AP489" i="2"/>
  <c r="AM895" i="2"/>
  <c r="AM905" i="2" s="1"/>
  <c r="AM797" i="2"/>
  <c r="AM818" i="2" s="1"/>
  <c r="AO859" i="2"/>
  <c r="AO882" i="2" s="1"/>
  <c r="AO981" i="2" s="1"/>
  <c r="Z612" i="2"/>
  <c r="Z862" i="2"/>
  <c r="Z885" i="2" s="1"/>
  <c r="Z984" i="2" s="1"/>
  <c r="AR751" i="2"/>
  <c r="Z727" i="2"/>
  <c r="Z728" i="2" s="1"/>
  <c r="Z729" i="2" s="1"/>
  <c r="Z730" i="2" s="1"/>
  <c r="AS458" i="2"/>
  <c r="AT454" i="2" s="1"/>
  <c r="AT457" i="2" s="1"/>
  <c r="AS439" i="2"/>
  <c r="AL545" i="2"/>
  <c r="AM540" i="2" s="1"/>
  <c r="Z637" i="2"/>
  <c r="AV450" i="2"/>
  <c r="AW446" i="2" s="1"/>
  <c r="AL270" i="2"/>
  <c r="AL271" i="2" s="1"/>
  <c r="AM266" i="2" s="1"/>
  <c r="AU462" i="2"/>
  <c r="AU463" i="2" s="1"/>
  <c r="AU464" i="2" s="1"/>
  <c r="AU858" i="2" s="1"/>
  <c r="AU456" i="2"/>
  <c r="AV456" i="2"/>
  <c r="AV462" i="2"/>
  <c r="AV463" i="2" s="1"/>
  <c r="AV464" i="2" s="1"/>
  <c r="AV858" i="2" s="1"/>
  <c r="AV881" i="2" s="1"/>
  <c r="AV980" i="2" s="1"/>
  <c r="AK579" i="2"/>
  <c r="AK580" i="2" s="1"/>
  <c r="AK581" i="2" s="1"/>
  <c r="AK896" i="2"/>
  <c r="AK906" i="2" s="1"/>
  <c r="AQ505" i="2"/>
  <c r="AQ506" i="2" s="1"/>
  <c r="AP509" i="2"/>
  <c r="AP510" i="2" s="1"/>
  <c r="AQ501" i="2"/>
  <c r="AA561" i="2"/>
  <c r="AB556" i="2" s="1"/>
  <c r="AK590" i="2"/>
  <c r="AK798" i="2"/>
  <c r="AK819" i="2" s="1"/>
  <c r="Z639" i="2"/>
  <c r="AA565" i="2"/>
  <c r="AA893" i="2"/>
  <c r="AS440" i="2" l="1"/>
  <c r="AS751" i="2" s="1"/>
  <c r="Z697" i="2"/>
  <c r="Z698" i="2"/>
  <c r="Z699" i="2" s="1"/>
  <c r="AN537" i="2"/>
  <c r="AN541" i="2" s="1"/>
  <c r="AA566" i="2"/>
  <c r="AA567" i="2" s="1"/>
  <c r="AA806" i="2" s="1"/>
  <c r="AA827" i="2" s="1"/>
  <c r="AR484" i="2"/>
  <c r="AR759" i="2"/>
  <c r="AN747" i="2"/>
  <c r="AN740" i="2"/>
  <c r="Z773" i="2"/>
  <c r="AN543" i="2"/>
  <c r="AN547" i="2"/>
  <c r="AM542" i="2"/>
  <c r="AM544" i="2" s="1"/>
  <c r="AM552" i="2" s="1"/>
  <c r="AO512" i="2"/>
  <c r="AP490" i="2"/>
  <c r="AP492" i="2" s="1"/>
  <c r="AP493" i="2" s="1"/>
  <c r="Z803" i="2"/>
  <c r="Z824" i="2" s="1"/>
  <c r="AM268" i="2"/>
  <c r="AM269" i="2" s="1"/>
  <c r="AR856" i="2"/>
  <c r="AA900" i="2"/>
  <c r="AA931" i="2" s="1"/>
  <c r="AA939" i="2" s="1"/>
  <c r="AA903" i="2"/>
  <c r="AA910" i="2" s="1"/>
  <c r="AL586" i="2"/>
  <c r="AL576" i="2"/>
  <c r="AQ502" i="2"/>
  <c r="AQ507" i="2" s="1"/>
  <c r="AQ508" i="2" s="1"/>
  <c r="AR498" i="2"/>
  <c r="AW449" i="2"/>
  <c r="AW437" i="2" s="1"/>
  <c r="Z638" i="2"/>
  <c r="Z641" i="2"/>
  <c r="Z642" i="2" s="1"/>
  <c r="Z640" i="2"/>
  <c r="Z643" i="2"/>
  <c r="Z644" i="2" s="1"/>
  <c r="AP859" i="2"/>
  <c r="AP882" i="2" s="1"/>
  <c r="AP981" i="2" s="1"/>
  <c r="AK591" i="2"/>
  <c r="AK592" i="2" s="1"/>
  <c r="AT458" i="2"/>
  <c r="AU454" i="2" s="1"/>
  <c r="AT439" i="2"/>
  <c r="AB558" i="2"/>
  <c r="AB559" i="2" s="1"/>
  <c r="AU881" i="2"/>
  <c r="AS759" i="2" l="1"/>
  <c r="AS856" i="2"/>
  <c r="AS879" i="2" s="1"/>
  <c r="AS978" i="2" s="1"/>
  <c r="AT440" i="2"/>
  <c r="AT751" i="2" s="1"/>
  <c r="AS484" i="2"/>
  <c r="AS485" i="2" s="1"/>
  <c r="AS500" i="2" s="1"/>
  <c r="AN551" i="2"/>
  <c r="AN895" i="2" s="1"/>
  <c r="AN905" i="2" s="1"/>
  <c r="AN741" i="2"/>
  <c r="AN742" i="2" s="1"/>
  <c r="AN743" i="2" s="1"/>
  <c r="AA595" i="2"/>
  <c r="AA570" i="2"/>
  <c r="AA594" i="2" s="1"/>
  <c r="AO739" i="2"/>
  <c r="AO533" i="2"/>
  <c r="AO535" i="2" s="1"/>
  <c r="AO682" i="2" s="1"/>
  <c r="AO683" i="2" s="1"/>
  <c r="AO684" i="2" s="1"/>
  <c r="AO685" i="2" s="1"/>
  <c r="AO686" i="2" s="1"/>
  <c r="AN548" i="2"/>
  <c r="AN553" i="2" s="1"/>
  <c r="AN627" i="2"/>
  <c r="AN628" i="2" s="1"/>
  <c r="AN629" i="2" s="1"/>
  <c r="AQ489" i="2"/>
  <c r="AO588" i="2"/>
  <c r="AM270" i="2"/>
  <c r="AM271" i="2" s="1"/>
  <c r="AN266" i="2" s="1"/>
  <c r="AB560" i="2"/>
  <c r="AB563" i="2" s="1"/>
  <c r="AR485" i="2"/>
  <c r="AQ509" i="2"/>
  <c r="AQ510" i="2" s="1"/>
  <c r="AQ859" i="2" s="1"/>
  <c r="AQ882" i="2" s="1"/>
  <c r="AQ981" i="2" s="1"/>
  <c r="AR505" i="2"/>
  <c r="AR879" i="2"/>
  <c r="AL896" i="2"/>
  <c r="AL906" i="2" s="1"/>
  <c r="AL579" i="2"/>
  <c r="AL580" i="2" s="1"/>
  <c r="AL581" i="2" s="1"/>
  <c r="AU457" i="2"/>
  <c r="AU439" i="2" s="1"/>
  <c r="AU440" i="2" s="1"/>
  <c r="AM545" i="2"/>
  <c r="AN540" i="2" s="1"/>
  <c r="AN542" i="2" s="1"/>
  <c r="AW450" i="2"/>
  <c r="AX446" i="2" s="1"/>
  <c r="AL590" i="2"/>
  <c r="AL798" i="2"/>
  <c r="AL819" i="2" s="1"/>
  <c r="AW438" i="2"/>
  <c r="AR499" i="2"/>
  <c r="AU980" i="2"/>
  <c r="AT856" i="2" l="1"/>
  <c r="AT879" i="2" s="1"/>
  <c r="AT978" i="2" s="1"/>
  <c r="AS491" i="2"/>
  <c r="AT484" i="2"/>
  <c r="AT485" i="2" s="1"/>
  <c r="AT491" i="2" s="1"/>
  <c r="AT759" i="2"/>
  <c r="AN797" i="2"/>
  <c r="AN818" i="2" s="1"/>
  <c r="AA603" i="2"/>
  <c r="AA604" i="2" s="1"/>
  <c r="AA774" i="2" s="1"/>
  <c r="AA691" i="2"/>
  <c r="AA692" i="2" s="1"/>
  <c r="AO537" i="2"/>
  <c r="AO541" i="2" s="1"/>
  <c r="AA634" i="2"/>
  <c r="AA635" i="2" s="1"/>
  <c r="AA861" i="2"/>
  <c r="AA884" i="2" s="1"/>
  <c r="AA983" i="2" s="1"/>
  <c r="AO747" i="2"/>
  <c r="AO740" i="2"/>
  <c r="AO547" i="2"/>
  <c r="AO543" i="2"/>
  <c r="AQ490" i="2"/>
  <c r="AQ492" i="2" s="1"/>
  <c r="AQ493" i="2" s="1"/>
  <c r="AP857" i="2"/>
  <c r="AP880" i="2" s="1"/>
  <c r="AP979" i="2" s="1"/>
  <c r="AP512" i="2"/>
  <c r="AN268" i="2"/>
  <c r="AN269" i="2" s="1"/>
  <c r="AL591" i="2"/>
  <c r="AL592" i="2" s="1"/>
  <c r="AX449" i="2"/>
  <c r="AX437" i="2" s="1"/>
  <c r="AN544" i="2"/>
  <c r="AN552" i="2" s="1"/>
  <c r="AU751" i="2"/>
  <c r="AR506" i="2"/>
  <c r="AB561" i="2"/>
  <c r="AC556" i="2" s="1"/>
  <c r="AB565" i="2"/>
  <c r="AB893" i="2"/>
  <c r="AW462" i="2"/>
  <c r="AW463" i="2" s="1"/>
  <c r="AW464" i="2" s="1"/>
  <c r="AW858" i="2" s="1"/>
  <c r="AW456" i="2"/>
  <c r="AU458" i="2"/>
  <c r="AV454" i="2" s="1"/>
  <c r="AR978" i="2"/>
  <c r="AR491" i="2"/>
  <c r="AR500" i="2"/>
  <c r="AM576" i="2"/>
  <c r="AM586" i="2"/>
  <c r="AO551" i="2" l="1"/>
  <c r="AO797" i="2" s="1"/>
  <c r="AO818" i="2" s="1"/>
  <c r="AT500" i="2"/>
  <c r="AA637" i="2"/>
  <c r="AA641" i="2" s="1"/>
  <c r="AA642" i="2" s="1"/>
  <c r="AA727" i="2"/>
  <c r="AA728" i="2" s="1"/>
  <c r="AA729" i="2" s="1"/>
  <c r="AA730" i="2" s="1"/>
  <c r="AA612" i="2"/>
  <c r="AA773" i="2" s="1"/>
  <c r="AA862" i="2"/>
  <c r="AA885" i="2" s="1"/>
  <c r="AA984" i="2" s="1"/>
  <c r="AA639" i="2"/>
  <c r="AA640" i="2" s="1"/>
  <c r="AA693" i="2"/>
  <c r="AA695" i="2"/>
  <c r="AA696" i="2" s="1"/>
  <c r="AO741" i="2"/>
  <c r="AO742" i="2" s="1"/>
  <c r="AO743" i="2" s="1"/>
  <c r="AB566" i="2"/>
  <c r="AB567" i="2" s="1"/>
  <c r="AB570" i="2" s="1"/>
  <c r="AB594" i="2" s="1"/>
  <c r="AU484" i="2"/>
  <c r="AU759" i="2"/>
  <c r="AP739" i="2"/>
  <c r="AO548" i="2"/>
  <c r="AO553" i="2" s="1"/>
  <c r="AO627" i="2"/>
  <c r="AO628" i="2" s="1"/>
  <c r="AO629" i="2" s="1"/>
  <c r="AP588" i="2"/>
  <c r="AP533" i="2"/>
  <c r="AP535" i="2" s="1"/>
  <c r="AP682" i="2" s="1"/>
  <c r="AP683" i="2" s="1"/>
  <c r="AP684" i="2" s="1"/>
  <c r="AP685" i="2" s="1"/>
  <c r="AP686" i="2" s="1"/>
  <c r="AR489" i="2"/>
  <c r="AR490" i="2" s="1"/>
  <c r="AN270" i="2"/>
  <c r="AN271" i="2" s="1"/>
  <c r="AO266" i="2" s="1"/>
  <c r="AM896" i="2"/>
  <c r="AM906" i="2" s="1"/>
  <c r="AM579" i="2"/>
  <c r="AM580" i="2" s="1"/>
  <c r="AM581" i="2" s="1"/>
  <c r="AN545" i="2"/>
  <c r="AO540" i="2" s="1"/>
  <c r="AO542" i="2" s="1"/>
  <c r="AX438" i="2"/>
  <c r="AR501" i="2"/>
  <c r="AW881" i="2"/>
  <c r="AC558" i="2"/>
  <c r="AC559" i="2" s="1"/>
  <c r="AB900" i="2"/>
  <c r="AB931" i="2" s="1"/>
  <c r="AB939" i="2" s="1"/>
  <c r="AB903" i="2"/>
  <c r="AB910" i="2" s="1"/>
  <c r="AV457" i="2"/>
  <c r="AV439" i="2" s="1"/>
  <c r="AV440" i="2" s="1"/>
  <c r="AU856" i="2"/>
  <c r="AM590" i="2"/>
  <c r="AM591" i="2" s="1"/>
  <c r="AM592" i="2" s="1"/>
  <c r="AM798" i="2"/>
  <c r="AM819" i="2" s="1"/>
  <c r="AX450" i="2"/>
  <c r="AY446" i="2" s="1"/>
  <c r="AA803" i="2" l="1"/>
  <c r="AA824" i="2" s="1"/>
  <c r="AO895" i="2"/>
  <c r="AO905" i="2" s="1"/>
  <c r="AA643" i="2"/>
  <c r="AA644" i="2" s="1"/>
  <c r="AA638" i="2"/>
  <c r="AA697" i="2"/>
  <c r="AA698" i="2"/>
  <c r="AA699" i="2" s="1"/>
  <c r="AB806" i="2"/>
  <c r="AB827" i="2" s="1"/>
  <c r="AB595" i="2"/>
  <c r="AB634" i="2" s="1"/>
  <c r="AP747" i="2"/>
  <c r="AP740" i="2"/>
  <c r="AR492" i="2"/>
  <c r="AQ857" i="2"/>
  <c r="AQ880" i="2" s="1"/>
  <c r="AQ979" i="2" s="1"/>
  <c r="AQ512" i="2"/>
  <c r="AP547" i="2"/>
  <c r="AP543" i="2"/>
  <c r="AP537" i="2"/>
  <c r="AO268" i="2"/>
  <c r="AO269" i="2" s="1"/>
  <c r="AO270" i="2" s="1"/>
  <c r="AW980" i="2"/>
  <c r="AO544" i="2"/>
  <c r="AO552" i="2" s="1"/>
  <c r="AU879" i="2"/>
  <c r="AU485" i="2"/>
  <c r="AR502" i="2"/>
  <c r="AS498" i="2"/>
  <c r="AB603" i="2"/>
  <c r="AB604" i="2" s="1"/>
  <c r="AB774" i="2" s="1"/>
  <c r="AC560" i="2"/>
  <c r="AC563" i="2" s="1"/>
  <c r="AV751" i="2"/>
  <c r="AN576" i="2"/>
  <c r="AN586" i="2"/>
  <c r="AY449" i="2"/>
  <c r="AY437" i="2" s="1"/>
  <c r="AV458" i="2"/>
  <c r="AW454" i="2" s="1"/>
  <c r="AX462" i="2"/>
  <c r="AX463" i="2" s="1"/>
  <c r="AX464" i="2" s="1"/>
  <c r="AX858" i="2" s="1"/>
  <c r="AX456" i="2"/>
  <c r="AS489" i="2" l="1"/>
  <c r="AS490" i="2" s="1"/>
  <c r="AS492" i="2" s="1"/>
  <c r="AS493" i="2" s="1"/>
  <c r="AR493" i="2"/>
  <c r="AR857" i="2" s="1"/>
  <c r="AR880" i="2" s="1"/>
  <c r="AR979" i="2" s="1"/>
  <c r="AB695" i="2"/>
  <c r="AB696" i="2" s="1"/>
  <c r="AB861" i="2"/>
  <c r="AB884" i="2" s="1"/>
  <c r="AB983" i="2" s="1"/>
  <c r="AB691" i="2"/>
  <c r="AB692" i="2" s="1"/>
  <c r="AP741" i="2"/>
  <c r="AP742" i="2" s="1"/>
  <c r="AP743" i="2" s="1"/>
  <c r="AV484" i="2"/>
  <c r="AV759" i="2"/>
  <c r="AQ739" i="2"/>
  <c r="AP551" i="2"/>
  <c r="AP541" i="2"/>
  <c r="AP548" i="2"/>
  <c r="AP553" i="2" s="1"/>
  <c r="AP627" i="2"/>
  <c r="AP628" i="2" s="1"/>
  <c r="AP629" i="2" s="1"/>
  <c r="AQ533" i="2"/>
  <c r="AQ535" i="2" s="1"/>
  <c r="AQ682" i="2" s="1"/>
  <c r="AQ683" i="2" s="1"/>
  <c r="AQ684" i="2" s="1"/>
  <c r="AQ685" i="2" s="1"/>
  <c r="AQ686" i="2" s="1"/>
  <c r="AQ588" i="2"/>
  <c r="AC561" i="2"/>
  <c r="AD556" i="2" s="1"/>
  <c r="AD558" i="2" s="1"/>
  <c r="AD559" i="2" s="1"/>
  <c r="AO545" i="2"/>
  <c r="AP540" i="2" s="1"/>
  <c r="AY450" i="2"/>
  <c r="AZ446" i="2" s="1"/>
  <c r="AZ449" i="2" s="1"/>
  <c r="AZ437" i="2" s="1"/>
  <c r="AZ438" i="2" s="1"/>
  <c r="AV856" i="2"/>
  <c r="AS499" i="2"/>
  <c r="AU978" i="2"/>
  <c r="AX881" i="2"/>
  <c r="AB612" i="2"/>
  <c r="AB862" i="2"/>
  <c r="AB885" i="2" s="1"/>
  <c r="AB984" i="2" s="1"/>
  <c r="AR507" i="2"/>
  <c r="AB635" i="2"/>
  <c r="AB727" i="2"/>
  <c r="AB728" i="2" s="1"/>
  <c r="AB729" i="2" s="1"/>
  <c r="AB730" i="2" s="1"/>
  <c r="AY438" i="2"/>
  <c r="AW457" i="2"/>
  <c r="AW439" i="2" s="1"/>
  <c r="AW440" i="2" s="1"/>
  <c r="AN590" i="2"/>
  <c r="AN591" i="2" s="1"/>
  <c r="AN592" i="2" s="1"/>
  <c r="AN798" i="2"/>
  <c r="AN819" i="2" s="1"/>
  <c r="AC893" i="2"/>
  <c r="AC565" i="2"/>
  <c r="AB637" i="2"/>
  <c r="AN896" i="2"/>
  <c r="AN906" i="2" s="1"/>
  <c r="AN579" i="2"/>
  <c r="AN580" i="2" s="1"/>
  <c r="AN581" i="2" s="1"/>
  <c r="AB639" i="2"/>
  <c r="AU491" i="2"/>
  <c r="AU500" i="2"/>
  <c r="AO586" i="2"/>
  <c r="AO590" i="2" s="1"/>
  <c r="AO576" i="2"/>
  <c r="AO271" i="2"/>
  <c r="AP266" i="2" s="1"/>
  <c r="AP268" i="2" s="1"/>
  <c r="AT489" i="2" l="1"/>
  <c r="AT490" i="2" s="1"/>
  <c r="AT492" i="2" s="1"/>
  <c r="AT493" i="2" s="1"/>
  <c r="AB698" i="2"/>
  <c r="AB693" i="2"/>
  <c r="AB697" i="2"/>
  <c r="AC566" i="2"/>
  <c r="AC567" i="2" s="1"/>
  <c r="AC595" i="2" s="1"/>
  <c r="AQ747" i="2"/>
  <c r="AQ740" i="2"/>
  <c r="AB773" i="2"/>
  <c r="AP542" i="2"/>
  <c r="AP544" i="2" s="1"/>
  <c r="AP552" i="2" s="1"/>
  <c r="AQ547" i="2"/>
  <c r="AQ537" i="2"/>
  <c r="AQ543" i="2"/>
  <c r="AP895" i="2"/>
  <c r="AP905" i="2" s="1"/>
  <c r="AP797" i="2"/>
  <c r="AP818" i="2" s="1"/>
  <c r="AB803" i="2"/>
  <c r="AB824" i="2" s="1"/>
  <c r="AZ450" i="2"/>
  <c r="BA446" i="2" s="1"/>
  <c r="BA449" i="2" s="1"/>
  <c r="BA437" i="2" s="1"/>
  <c r="BA438" i="2" s="1"/>
  <c r="AW458" i="2"/>
  <c r="AX454" i="2" s="1"/>
  <c r="AX457" i="2" s="1"/>
  <c r="AX439" i="2" s="1"/>
  <c r="AW751" i="2"/>
  <c r="AR508" i="2"/>
  <c r="AZ462" i="2"/>
  <c r="AZ463" i="2" s="1"/>
  <c r="AZ464" i="2" s="1"/>
  <c r="AZ858" i="2" s="1"/>
  <c r="AZ881" i="2" s="1"/>
  <c r="AZ980" i="2" s="1"/>
  <c r="AZ456" i="2"/>
  <c r="AS501" i="2"/>
  <c r="AB638" i="2"/>
  <c r="AB641" i="2"/>
  <c r="AB642" i="2" s="1"/>
  <c r="AD560" i="2"/>
  <c r="AD563" i="2" s="1"/>
  <c r="AS857" i="2"/>
  <c r="AS880" i="2" s="1"/>
  <c r="AS979" i="2" s="1"/>
  <c r="AV879" i="2"/>
  <c r="AC900" i="2"/>
  <c r="AC931" i="2" s="1"/>
  <c r="AC939" i="2" s="1"/>
  <c r="AC903" i="2"/>
  <c r="AC910" i="2" s="1"/>
  <c r="AV485" i="2"/>
  <c r="AB640" i="2"/>
  <c r="AB643" i="2"/>
  <c r="AB644" i="2" s="1"/>
  <c r="AY456" i="2"/>
  <c r="AY462" i="2"/>
  <c r="AY463" i="2" s="1"/>
  <c r="AY464" i="2" s="1"/>
  <c r="AY858" i="2" s="1"/>
  <c r="AX980" i="2"/>
  <c r="AO896" i="2"/>
  <c r="AO906" i="2" s="1"/>
  <c r="AO579" i="2"/>
  <c r="AO580" i="2" s="1"/>
  <c r="AO581" i="2" s="1"/>
  <c r="AO798" i="2"/>
  <c r="AO591" i="2"/>
  <c r="AO592" i="2" s="1"/>
  <c r="AP269" i="2"/>
  <c r="AU489" i="2" l="1"/>
  <c r="AU490" i="2" s="1"/>
  <c r="AU492" i="2" s="1"/>
  <c r="AU493" i="2" s="1"/>
  <c r="AX440" i="2"/>
  <c r="AX751" i="2" s="1"/>
  <c r="AB699" i="2"/>
  <c r="AQ741" i="2"/>
  <c r="AQ742" i="2" s="1"/>
  <c r="AQ743" i="2" s="1"/>
  <c r="AC806" i="2"/>
  <c r="AC827" i="2" s="1"/>
  <c r="AC570" i="2"/>
  <c r="AC594" i="2" s="1"/>
  <c r="AW484" i="2"/>
  <c r="AW759" i="2"/>
  <c r="AP545" i="2"/>
  <c r="AQ540" i="2" s="1"/>
  <c r="AQ551" i="2"/>
  <c r="AQ541" i="2"/>
  <c r="AQ548" i="2"/>
  <c r="AQ553" i="2" s="1"/>
  <c r="AQ627" i="2"/>
  <c r="AQ628" i="2" s="1"/>
  <c r="AQ629" i="2" s="1"/>
  <c r="AD561" i="2"/>
  <c r="AE556" i="2" s="1"/>
  <c r="AE558" i="2" s="1"/>
  <c r="AE559" i="2" s="1"/>
  <c r="BA450" i="2"/>
  <c r="BB446" i="2" s="1"/>
  <c r="BB449" i="2" s="1"/>
  <c r="BB437" i="2" s="1"/>
  <c r="BB438" i="2" s="1"/>
  <c r="AX458" i="2"/>
  <c r="AY454" i="2" s="1"/>
  <c r="AY457" i="2" s="1"/>
  <c r="AY458" i="2" s="1"/>
  <c r="AZ454" i="2" s="1"/>
  <c r="AZ457" i="2" s="1"/>
  <c r="AZ439" i="2" s="1"/>
  <c r="BA462" i="2"/>
  <c r="BA463" i="2" s="1"/>
  <c r="BA464" i="2" s="1"/>
  <c r="BA858" i="2" s="1"/>
  <c r="BA881" i="2" s="1"/>
  <c r="BA980" i="2" s="1"/>
  <c r="BA456" i="2"/>
  <c r="AR509" i="2"/>
  <c r="AS505" i="2"/>
  <c r="AV978" i="2"/>
  <c r="AS502" i="2"/>
  <c r="AT498" i="2"/>
  <c r="AV491" i="2"/>
  <c r="AV500" i="2"/>
  <c r="AY881" i="2"/>
  <c r="AC861" i="2"/>
  <c r="AC884" i="2" s="1"/>
  <c r="AC983" i="2" s="1"/>
  <c r="AD565" i="2"/>
  <c r="AD893" i="2"/>
  <c r="AT857" i="2"/>
  <c r="AT880" i="2" s="1"/>
  <c r="AT979" i="2" s="1"/>
  <c r="AW856" i="2"/>
  <c r="AP270" i="2"/>
  <c r="AP271" i="2" s="1"/>
  <c r="AQ266" i="2" s="1"/>
  <c r="AQ268" i="2" s="1"/>
  <c r="AO819" i="2"/>
  <c r="AV489" i="2" l="1"/>
  <c r="AV490" i="2" s="1"/>
  <c r="AX484" i="2"/>
  <c r="AX485" i="2" s="1"/>
  <c r="AX500" i="2" s="1"/>
  <c r="AX856" i="2"/>
  <c r="AX879" i="2" s="1"/>
  <c r="AX978" i="2" s="1"/>
  <c r="AX759" i="2"/>
  <c r="AZ440" i="2"/>
  <c r="AZ751" i="2" s="1"/>
  <c r="AC634" i="2"/>
  <c r="AC635" i="2" s="1"/>
  <c r="AC691" i="2"/>
  <c r="AC692" i="2" s="1"/>
  <c r="AC603" i="2"/>
  <c r="AC604" i="2" s="1"/>
  <c r="AC695" i="2" s="1"/>
  <c r="AC696" i="2" s="1"/>
  <c r="AD566" i="2"/>
  <c r="AD567" i="2" s="1"/>
  <c r="AD570" i="2" s="1"/>
  <c r="AD594" i="2" s="1"/>
  <c r="AQ542" i="2"/>
  <c r="AQ544" i="2" s="1"/>
  <c r="AQ552" i="2" s="1"/>
  <c r="AQ797" i="2"/>
  <c r="AQ818" i="2" s="1"/>
  <c r="AQ895" i="2"/>
  <c r="AQ905" i="2" s="1"/>
  <c r="AY439" i="2"/>
  <c r="AY440" i="2" s="1"/>
  <c r="AE560" i="2"/>
  <c r="AE563" i="2" s="1"/>
  <c r="AS507" i="2"/>
  <c r="AY980" i="2"/>
  <c r="AD900" i="2"/>
  <c r="AD931" i="2" s="1"/>
  <c r="AD939" i="2" s="1"/>
  <c r="AD903" i="2"/>
  <c r="AD910" i="2" s="1"/>
  <c r="AU857" i="2"/>
  <c r="AU880" i="2" s="1"/>
  <c r="AU979" i="2" s="1"/>
  <c r="BB450" i="2"/>
  <c r="BC446" i="2" s="1"/>
  <c r="AS506" i="2"/>
  <c r="BB462" i="2"/>
  <c r="BB463" i="2" s="1"/>
  <c r="BB464" i="2" s="1"/>
  <c r="BB858" i="2" s="1"/>
  <c r="BB881" i="2" s="1"/>
  <c r="BB980" i="2" s="1"/>
  <c r="BB456" i="2"/>
  <c r="AR510" i="2"/>
  <c r="AW485" i="2"/>
  <c r="AW879" i="2"/>
  <c r="AT499" i="2"/>
  <c r="AZ458" i="2"/>
  <c r="BA454" i="2" s="1"/>
  <c r="AP586" i="2"/>
  <c r="AP590" i="2" s="1"/>
  <c r="AP576" i="2"/>
  <c r="AQ269" i="2"/>
  <c r="AV492" i="2" l="1"/>
  <c r="AV493" i="2" s="1"/>
  <c r="AV857" i="2" s="1"/>
  <c r="AV880" i="2" s="1"/>
  <c r="AV979" i="2" s="1"/>
  <c r="AX491" i="2"/>
  <c r="AZ856" i="2"/>
  <c r="AZ879" i="2" s="1"/>
  <c r="AZ978" i="2" s="1"/>
  <c r="AC727" i="2"/>
  <c r="AC728" i="2" s="1"/>
  <c r="AC729" i="2" s="1"/>
  <c r="AC730" i="2" s="1"/>
  <c r="AZ759" i="2"/>
  <c r="AZ484" i="2"/>
  <c r="AZ485" i="2" s="1"/>
  <c r="AZ491" i="2" s="1"/>
  <c r="AC862" i="2"/>
  <c r="AC885" i="2" s="1"/>
  <c r="AC984" i="2" s="1"/>
  <c r="AC693" i="2"/>
  <c r="AC697" i="2"/>
  <c r="AC698" i="2"/>
  <c r="AC774" i="2"/>
  <c r="AC637" i="2"/>
  <c r="AC638" i="2" s="1"/>
  <c r="AC639" i="2"/>
  <c r="AC640" i="2" s="1"/>
  <c r="AC612" i="2"/>
  <c r="AC773" i="2" s="1"/>
  <c r="AD806" i="2"/>
  <c r="AD827" i="2" s="1"/>
  <c r="AD595" i="2"/>
  <c r="AY759" i="2"/>
  <c r="AY751" i="2"/>
  <c r="AQ545" i="2"/>
  <c r="AR540" i="2" s="1"/>
  <c r="AY856" i="2"/>
  <c r="AY879" i="2" s="1"/>
  <c r="AY978" i="2" s="1"/>
  <c r="AY484" i="2"/>
  <c r="AY485" i="2" s="1"/>
  <c r="AY500" i="2" s="1"/>
  <c r="AW491" i="2"/>
  <c r="AW500" i="2"/>
  <c r="AS508" i="2"/>
  <c r="AD603" i="2"/>
  <c r="AD604" i="2" s="1"/>
  <c r="AD774" i="2" s="1"/>
  <c r="AW978" i="2"/>
  <c r="AT501" i="2"/>
  <c r="AR859" i="2"/>
  <c r="AR512" i="2"/>
  <c r="AE561" i="2"/>
  <c r="AF556" i="2" s="1"/>
  <c r="AF558" i="2" s="1"/>
  <c r="AF559" i="2" s="1"/>
  <c r="BA457" i="2"/>
  <c r="BA439" i="2" s="1"/>
  <c r="BC449" i="2"/>
  <c r="BC437" i="2" s="1"/>
  <c r="BC438" i="2" s="1"/>
  <c r="AE565" i="2"/>
  <c r="AE893" i="2"/>
  <c r="AQ270" i="2"/>
  <c r="AP896" i="2"/>
  <c r="AP906" i="2" s="1"/>
  <c r="AP579" i="2"/>
  <c r="AP580" i="2" s="1"/>
  <c r="AP581" i="2" s="1"/>
  <c r="AP798" i="2"/>
  <c r="AP591" i="2"/>
  <c r="AP592" i="2" s="1"/>
  <c r="AW489" i="2" l="1"/>
  <c r="AW490" i="2" s="1"/>
  <c r="AZ500" i="2"/>
  <c r="BA440" i="2"/>
  <c r="BA751" i="2" s="1"/>
  <c r="AC699" i="2"/>
  <c r="AC641" i="2"/>
  <c r="AC642" i="2" s="1"/>
  <c r="AD695" i="2"/>
  <c r="AD696" i="2" s="1"/>
  <c r="AD634" i="2"/>
  <c r="AD635" i="2" s="1"/>
  <c r="AD861" i="2"/>
  <c r="AD884" i="2" s="1"/>
  <c r="AD983" i="2" s="1"/>
  <c r="AC803" i="2"/>
  <c r="AC824" i="2" s="1"/>
  <c r="AC643" i="2"/>
  <c r="AC644" i="2" s="1"/>
  <c r="AD691" i="2"/>
  <c r="AD692" i="2" s="1"/>
  <c r="AE566" i="2"/>
  <c r="AE567" i="2" s="1"/>
  <c r="AE570" i="2" s="1"/>
  <c r="AE594" i="2" s="1"/>
  <c r="AR739" i="2"/>
  <c r="AY491" i="2"/>
  <c r="AD727" i="2"/>
  <c r="AD728" i="2" s="1"/>
  <c r="AD729" i="2" s="1"/>
  <c r="AD730" i="2" s="1"/>
  <c r="AD637" i="2"/>
  <c r="AD641" i="2" s="1"/>
  <c r="BC450" i="2"/>
  <c r="BD446" i="2" s="1"/>
  <c r="BD449" i="2" s="1"/>
  <c r="BD437" i="2" s="1"/>
  <c r="BA458" i="2"/>
  <c r="BB454" i="2" s="1"/>
  <c r="AS509" i="2"/>
  <c r="AT505" i="2"/>
  <c r="AE900" i="2"/>
  <c r="AE931" i="2" s="1"/>
  <c r="AE939" i="2" s="1"/>
  <c r="AE903" i="2"/>
  <c r="AE910" i="2" s="1"/>
  <c r="AF560" i="2"/>
  <c r="AF563" i="2" s="1"/>
  <c r="AR588" i="2"/>
  <c r="AR533" i="2"/>
  <c r="AR535" i="2" s="1"/>
  <c r="AR682" i="2" s="1"/>
  <c r="AR683" i="2" s="1"/>
  <c r="AR684" i="2" s="1"/>
  <c r="AR685" i="2" s="1"/>
  <c r="AR686" i="2" s="1"/>
  <c r="AD639" i="2"/>
  <c r="AR882" i="2"/>
  <c r="AD862" i="2"/>
  <c r="AD885" i="2" s="1"/>
  <c r="AD984" i="2" s="1"/>
  <c r="AD612" i="2"/>
  <c r="BC456" i="2"/>
  <c r="BC462" i="2"/>
  <c r="BC463" i="2" s="1"/>
  <c r="BC464" i="2" s="1"/>
  <c r="BC858" i="2" s="1"/>
  <c r="BC881" i="2" s="1"/>
  <c r="BC980" i="2" s="1"/>
  <c r="AT502" i="2"/>
  <c r="AU498" i="2"/>
  <c r="AP819" i="2"/>
  <c r="AQ576" i="2"/>
  <c r="AQ586" i="2"/>
  <c r="AQ590" i="2" s="1"/>
  <c r="AQ271" i="2"/>
  <c r="AR266" i="2" s="1"/>
  <c r="AR268" i="2" s="1"/>
  <c r="AW492" i="2" l="1"/>
  <c r="AW493" i="2" s="1"/>
  <c r="AW857" i="2" s="1"/>
  <c r="AW880" i="2" s="1"/>
  <c r="AW979" i="2" s="1"/>
  <c r="BA759" i="2"/>
  <c r="BA856" i="2"/>
  <c r="BA879" i="2" s="1"/>
  <c r="BA978" i="2" s="1"/>
  <c r="BA484" i="2"/>
  <c r="BA485" i="2" s="1"/>
  <c r="BA491" i="2" s="1"/>
  <c r="AE595" i="2"/>
  <c r="AE861" i="2" s="1"/>
  <c r="AE884" i="2" s="1"/>
  <c r="AE983" i="2" s="1"/>
  <c r="AD693" i="2"/>
  <c r="AD697" i="2"/>
  <c r="AD698" i="2"/>
  <c r="AE806" i="2"/>
  <c r="AE827" i="2" s="1"/>
  <c r="AR747" i="2"/>
  <c r="AR740" i="2"/>
  <c r="AD773" i="2"/>
  <c r="AD803" i="2"/>
  <c r="AD824" i="2" s="1"/>
  <c r="AD638" i="2"/>
  <c r="AD642" i="2"/>
  <c r="AR981" i="2"/>
  <c r="AE603" i="2"/>
  <c r="AE604" i="2" s="1"/>
  <c r="AT506" i="2"/>
  <c r="AS510" i="2"/>
  <c r="BB457" i="2"/>
  <c r="BB439" i="2" s="1"/>
  <c r="AU499" i="2"/>
  <c r="AU501" i="2" s="1"/>
  <c r="BD450" i="2"/>
  <c r="AF561" i="2"/>
  <c r="AG556" i="2" s="1"/>
  <c r="AT507" i="2"/>
  <c r="BD438" i="2"/>
  <c r="C437" i="2"/>
  <c r="AD640" i="2"/>
  <c r="AD643" i="2"/>
  <c r="AD644" i="2" s="1"/>
  <c r="AF565" i="2"/>
  <c r="AF893" i="2"/>
  <c r="AR543" i="2"/>
  <c r="AR537" i="2"/>
  <c r="AR547" i="2"/>
  <c r="AR269" i="2"/>
  <c r="AQ896" i="2"/>
  <c r="AQ906" i="2" s="1"/>
  <c r="AQ579" i="2"/>
  <c r="AQ580" i="2" s="1"/>
  <c r="AQ581" i="2" s="1"/>
  <c r="AQ798" i="2"/>
  <c r="AQ591" i="2"/>
  <c r="AQ592" i="2" s="1"/>
  <c r="AX489" i="2" l="1"/>
  <c r="AX490" i="2" s="1"/>
  <c r="AX492" i="2" s="1"/>
  <c r="AX493" i="2" s="1"/>
  <c r="AX857" i="2" s="1"/>
  <c r="AX880" i="2" s="1"/>
  <c r="AE727" i="2"/>
  <c r="AE728" i="2" s="1"/>
  <c r="AE729" i="2" s="1"/>
  <c r="AE730" i="2" s="1"/>
  <c r="BA500" i="2"/>
  <c r="AE691" i="2"/>
  <c r="AE692" i="2" s="1"/>
  <c r="AE693" i="2" s="1"/>
  <c r="AE634" i="2"/>
  <c r="AE635" i="2" s="1"/>
  <c r="BB440" i="2"/>
  <c r="BB751" i="2" s="1"/>
  <c r="AD699" i="2"/>
  <c r="AE695" i="2"/>
  <c r="AE696" i="2" s="1"/>
  <c r="AE698" i="2" s="1"/>
  <c r="AR741" i="2"/>
  <c r="AR742" i="2" s="1"/>
  <c r="AR743" i="2" s="1"/>
  <c r="AF566" i="2"/>
  <c r="AF567" i="2" s="1"/>
  <c r="AF806" i="2" s="1"/>
  <c r="AF827" i="2" s="1"/>
  <c r="AE774" i="2"/>
  <c r="AE639" i="2"/>
  <c r="AE637" i="2"/>
  <c r="BB458" i="2"/>
  <c r="BC454" i="2" s="1"/>
  <c r="BC457" i="2" s="1"/>
  <c r="BC439" i="2" s="1"/>
  <c r="AR627" i="2"/>
  <c r="AR628" i="2" s="1"/>
  <c r="AR629" i="2" s="1"/>
  <c r="AR548" i="2"/>
  <c r="AR553" i="2" s="1"/>
  <c r="AG558" i="2"/>
  <c r="AG559" i="2" s="1"/>
  <c r="AR541" i="2"/>
  <c r="AR542" i="2" s="1"/>
  <c r="AR551" i="2"/>
  <c r="AS859" i="2"/>
  <c r="AS512" i="2"/>
  <c r="AU502" i="2"/>
  <c r="AV498" i="2"/>
  <c r="AV499" i="2" s="1"/>
  <c r="AV501" i="2" s="1"/>
  <c r="AE862" i="2"/>
  <c r="AE885" i="2" s="1"/>
  <c r="AE984" i="2" s="1"/>
  <c r="AE612" i="2"/>
  <c r="BD462" i="2"/>
  <c r="BD463" i="2" s="1"/>
  <c r="BD464" i="2" s="1"/>
  <c r="BD858" i="2" s="1"/>
  <c r="BD456" i="2"/>
  <c r="C438" i="2"/>
  <c r="AF900" i="2"/>
  <c r="AF931" i="2" s="1"/>
  <c r="AF939" i="2" s="1"/>
  <c r="AF903" i="2"/>
  <c r="AF910" i="2" s="1"/>
  <c r="AT508" i="2"/>
  <c r="AQ819" i="2"/>
  <c r="AR270" i="2"/>
  <c r="AY489" i="2" l="1"/>
  <c r="AY490" i="2" s="1"/>
  <c r="AY492" i="2" s="1"/>
  <c r="AY493" i="2" s="1"/>
  <c r="AY857" i="2" s="1"/>
  <c r="BB856" i="2"/>
  <c r="BB879" i="2" s="1"/>
  <c r="BB978" i="2" s="1"/>
  <c r="BB759" i="2"/>
  <c r="BB484" i="2"/>
  <c r="BB485" i="2" s="1"/>
  <c r="BB500" i="2" s="1"/>
  <c r="AE638" i="2"/>
  <c r="BC440" i="2"/>
  <c r="BC751" i="2" s="1"/>
  <c r="AE699" i="2"/>
  <c r="AE697" i="2"/>
  <c r="AF570" i="2"/>
  <c r="AF594" i="2" s="1"/>
  <c r="AF595" i="2"/>
  <c r="AF861" i="2" s="1"/>
  <c r="AF884" i="2" s="1"/>
  <c r="AF983" i="2" s="1"/>
  <c r="AS739" i="2"/>
  <c r="AE773" i="2"/>
  <c r="AE803" i="2"/>
  <c r="AE824" i="2" s="1"/>
  <c r="AE641" i="2"/>
  <c r="AE642" i="2" s="1"/>
  <c r="AE640" i="2"/>
  <c r="AE643" i="2"/>
  <c r="AE644" i="2" s="1"/>
  <c r="AS882" i="2"/>
  <c r="BD881" i="2"/>
  <c r="C858" i="2"/>
  <c r="AR895" i="2"/>
  <c r="AR905" i="2" s="1"/>
  <c r="AR797" i="2"/>
  <c r="AR818" i="2" s="1"/>
  <c r="BC458" i="2"/>
  <c r="BD454" i="2" s="1"/>
  <c r="AR544" i="2"/>
  <c r="AR552" i="2" s="1"/>
  <c r="AG560" i="2"/>
  <c r="AG563" i="2" s="1"/>
  <c r="AV502" i="2"/>
  <c r="AV507" i="2" s="1"/>
  <c r="AW498" i="2"/>
  <c r="AW499" i="2" s="1"/>
  <c r="AW501" i="2" s="1"/>
  <c r="AU507" i="2"/>
  <c r="AT509" i="2"/>
  <c r="AU505" i="2"/>
  <c r="AS533" i="2"/>
  <c r="AS535" i="2" s="1"/>
  <c r="AS682" i="2" s="1"/>
  <c r="AS683" i="2" s="1"/>
  <c r="AS684" i="2" s="1"/>
  <c r="AS685" i="2" s="1"/>
  <c r="AS686" i="2" s="1"/>
  <c r="AS588" i="2"/>
  <c r="AR586" i="2"/>
  <c r="AR590" i="2" s="1"/>
  <c r="AR576" i="2"/>
  <c r="AR271" i="2"/>
  <c r="AS266" i="2" s="1"/>
  <c r="AS268" i="2" s="1"/>
  <c r="AX979" i="2"/>
  <c r="AZ489" i="2" l="1"/>
  <c r="AZ490" i="2" s="1"/>
  <c r="AZ492" i="2" s="1"/>
  <c r="AZ493" i="2" s="1"/>
  <c r="BB491" i="2"/>
  <c r="AF603" i="2"/>
  <c r="AF604" i="2" s="1"/>
  <c r="AF639" i="2" s="1"/>
  <c r="AF643" i="2" s="1"/>
  <c r="BC484" i="2"/>
  <c r="BC485" i="2" s="1"/>
  <c r="BC491" i="2" s="1"/>
  <c r="BC856" i="2"/>
  <c r="BC879" i="2" s="1"/>
  <c r="BC978" i="2" s="1"/>
  <c r="BC759" i="2"/>
  <c r="AF634" i="2"/>
  <c r="AF691" i="2"/>
  <c r="AF692" i="2" s="1"/>
  <c r="AF693" i="2" s="1"/>
  <c r="AS747" i="2"/>
  <c r="AS740" i="2"/>
  <c r="AR545" i="2"/>
  <c r="AS540" i="2" s="1"/>
  <c r="AX498" i="2"/>
  <c r="AX499" i="2" s="1"/>
  <c r="AX501" i="2" s="1"/>
  <c r="AW502" i="2"/>
  <c r="AW507" i="2" s="1"/>
  <c r="AS981" i="2"/>
  <c r="BD457" i="2"/>
  <c r="BD439" i="2" s="1"/>
  <c r="BD440" i="2" s="1"/>
  <c r="AU506" i="2"/>
  <c r="AG561" i="2"/>
  <c r="AH556" i="2" s="1"/>
  <c r="AT510" i="2"/>
  <c r="AG893" i="2"/>
  <c r="AG565" i="2"/>
  <c r="AS543" i="2"/>
  <c r="AS537" i="2"/>
  <c r="AS547" i="2"/>
  <c r="BD980" i="2"/>
  <c r="C980" i="2" s="1"/>
  <c r="F1004" i="2" s="1"/>
  <c r="C881" i="2"/>
  <c r="AS269" i="2"/>
  <c r="AY880" i="2"/>
  <c r="AR896" i="2"/>
  <c r="AR906" i="2" s="1"/>
  <c r="AR579" i="2"/>
  <c r="AR580" i="2" s="1"/>
  <c r="AR581" i="2" s="1"/>
  <c r="AR798" i="2"/>
  <c r="AR591" i="2"/>
  <c r="AR592" i="2" s="1"/>
  <c r="BA489" i="2" l="1"/>
  <c r="BA490" i="2" s="1"/>
  <c r="BA492" i="2" s="1"/>
  <c r="BA493" i="2" s="1"/>
  <c r="AF862" i="2"/>
  <c r="AF885" i="2" s="1"/>
  <c r="AF984" i="2" s="1"/>
  <c r="AF612" i="2"/>
  <c r="AF803" i="2" s="1"/>
  <c r="AF824" i="2" s="1"/>
  <c r="AF695" i="2"/>
  <c r="AF696" i="2" s="1"/>
  <c r="AF698" i="2" s="1"/>
  <c r="AF699" i="2" s="1"/>
  <c r="AF637" i="2"/>
  <c r="AF641" i="2" s="1"/>
  <c r="AF640" i="2"/>
  <c r="AF727" i="2"/>
  <c r="AF728" i="2" s="1"/>
  <c r="AF729" i="2" s="1"/>
  <c r="AF730" i="2" s="1"/>
  <c r="AF774" i="2"/>
  <c r="BC500" i="2"/>
  <c r="AF635" i="2"/>
  <c r="AS741" i="2"/>
  <c r="AS742" i="2" s="1"/>
  <c r="AS743" i="2" s="1"/>
  <c r="AG566" i="2"/>
  <c r="AG567" i="2" s="1"/>
  <c r="AG595" i="2" s="1"/>
  <c r="AH558" i="2"/>
  <c r="AH559" i="2" s="1"/>
  <c r="BD458" i="2"/>
  <c r="AG900" i="2"/>
  <c r="AG931" i="2" s="1"/>
  <c r="AG939" i="2" s="1"/>
  <c r="AG903" i="2"/>
  <c r="AG910" i="2" s="1"/>
  <c r="AU508" i="2"/>
  <c r="BD751" i="2"/>
  <c r="C439" i="2"/>
  <c r="AX502" i="2"/>
  <c r="AX507" i="2" s="1"/>
  <c r="AY498" i="2"/>
  <c r="AY499" i="2" s="1"/>
  <c r="AY501" i="2" s="1"/>
  <c r="AS627" i="2"/>
  <c r="AS628" i="2" s="1"/>
  <c r="AS629" i="2" s="1"/>
  <c r="AS548" i="2"/>
  <c r="AS553" i="2" s="1"/>
  <c r="AT859" i="2"/>
  <c r="AT512" i="2"/>
  <c r="C208" i="18"/>
  <c r="AS541" i="2"/>
  <c r="AS542" i="2" s="1"/>
  <c r="AS551" i="2"/>
  <c r="AS270" i="2"/>
  <c r="AY979" i="2"/>
  <c r="AZ857" i="2"/>
  <c r="AR819" i="2"/>
  <c r="AF773" i="2" l="1"/>
  <c r="AF638" i="2"/>
  <c r="AF697" i="2"/>
  <c r="AF642" i="2"/>
  <c r="AF644" i="2"/>
  <c r="AG806" i="2"/>
  <c r="AG827" i="2" s="1"/>
  <c r="AG570" i="2"/>
  <c r="AG594" i="2" s="1"/>
  <c r="BD484" i="2"/>
  <c r="BD759" i="2"/>
  <c r="AT739" i="2"/>
  <c r="AH560" i="2"/>
  <c r="AH563" i="2" s="1"/>
  <c r="AZ498" i="2"/>
  <c r="AZ499" i="2" s="1"/>
  <c r="AZ501" i="2" s="1"/>
  <c r="AY502" i="2"/>
  <c r="AY507" i="2" s="1"/>
  <c r="BD856" i="2"/>
  <c r="C440" i="2"/>
  <c r="AG861" i="2"/>
  <c r="AG884" i="2" s="1"/>
  <c r="AG983" i="2" s="1"/>
  <c r="AS895" i="2"/>
  <c r="AS905" i="2" s="1"/>
  <c r="AS797" i="2"/>
  <c r="AS818" i="2" s="1"/>
  <c r="AT533" i="2"/>
  <c r="AT535" i="2" s="1"/>
  <c r="AT682" i="2" s="1"/>
  <c r="AT683" i="2" s="1"/>
  <c r="AT684" i="2" s="1"/>
  <c r="AT685" i="2" s="1"/>
  <c r="AT686" i="2" s="1"/>
  <c r="AT588" i="2"/>
  <c r="AS544" i="2"/>
  <c r="AS552" i="2" s="1"/>
  <c r="AT882" i="2"/>
  <c r="AV505" i="2"/>
  <c r="AU509" i="2"/>
  <c r="BB489" i="2"/>
  <c r="AZ880" i="2"/>
  <c r="AS586" i="2"/>
  <c r="AS590" i="2" s="1"/>
  <c r="AS576" i="2"/>
  <c r="AS271" i="2"/>
  <c r="AT266" i="2" s="1"/>
  <c r="AT268" i="2" s="1"/>
  <c r="AG634" i="2" l="1"/>
  <c r="AG635" i="2" s="1"/>
  <c r="AG691" i="2"/>
  <c r="AG692" i="2" s="1"/>
  <c r="AG603" i="2"/>
  <c r="AG604" i="2" s="1"/>
  <c r="AG695" i="2" s="1"/>
  <c r="AG696" i="2" s="1"/>
  <c r="AT747" i="2"/>
  <c r="AT740" i="2"/>
  <c r="AS545" i="2"/>
  <c r="AT540" i="2" s="1"/>
  <c r="AT981" i="2"/>
  <c r="AT543" i="2"/>
  <c r="AT537" i="2"/>
  <c r="AT547" i="2"/>
  <c r="BD879" i="2"/>
  <c r="C856" i="2"/>
  <c r="AZ502" i="2"/>
  <c r="AZ507" i="2" s="1"/>
  <c r="BA498" i="2"/>
  <c r="BA499" i="2" s="1"/>
  <c r="BA501" i="2" s="1"/>
  <c r="AU510" i="2"/>
  <c r="BD485" i="2"/>
  <c r="C484" i="2"/>
  <c r="AH561" i="2"/>
  <c r="AI556" i="2" s="1"/>
  <c r="AV506" i="2"/>
  <c r="AV508" i="2" s="1"/>
  <c r="AH565" i="2"/>
  <c r="AH893" i="2"/>
  <c r="AS896" i="2"/>
  <c r="AS906" i="2" s="1"/>
  <c r="AS579" i="2"/>
  <c r="AS580" i="2" s="1"/>
  <c r="AS581" i="2" s="1"/>
  <c r="AS798" i="2"/>
  <c r="AS591" i="2"/>
  <c r="AS592" i="2" s="1"/>
  <c r="AT269" i="2"/>
  <c r="AZ979" i="2"/>
  <c r="BA857" i="2"/>
  <c r="BB490" i="2"/>
  <c r="BB492" i="2" s="1"/>
  <c r="BB493" i="2" s="1"/>
  <c r="AG727" i="2" l="1"/>
  <c r="AG728" i="2" s="1"/>
  <c r="AG729" i="2" s="1"/>
  <c r="AG730" i="2" s="1"/>
  <c r="AG693" i="2"/>
  <c r="AG697" i="2"/>
  <c r="AG698" i="2"/>
  <c r="AG774" i="2"/>
  <c r="AG862" i="2"/>
  <c r="AG885" i="2" s="1"/>
  <c r="AG984" i="2" s="1"/>
  <c r="AG612" i="2"/>
  <c r="AG773" i="2" s="1"/>
  <c r="AG639" i="2"/>
  <c r="AG640" i="2" s="1"/>
  <c r="AG637" i="2"/>
  <c r="AG638" i="2" s="1"/>
  <c r="AT741" i="2"/>
  <c r="AT742" i="2" s="1"/>
  <c r="AT743" i="2" s="1"/>
  <c r="AH566" i="2"/>
  <c r="AH567" i="2" s="1"/>
  <c r="AH806" i="2" s="1"/>
  <c r="AH827" i="2" s="1"/>
  <c r="BD491" i="2"/>
  <c r="BD500" i="2"/>
  <c r="C485" i="2"/>
  <c r="AH900" i="2"/>
  <c r="AH931" i="2" s="1"/>
  <c r="AH939" i="2" s="1"/>
  <c r="AH903" i="2"/>
  <c r="AH910" i="2" s="1"/>
  <c r="AU859" i="2"/>
  <c r="AU512" i="2"/>
  <c r="AT627" i="2"/>
  <c r="AT628" i="2" s="1"/>
  <c r="AT629" i="2" s="1"/>
  <c r="AT548" i="2"/>
  <c r="AT553" i="2" s="1"/>
  <c r="BB498" i="2"/>
  <c r="BB499" i="2" s="1"/>
  <c r="BB501" i="2" s="1"/>
  <c r="BA502" i="2"/>
  <c r="BA507" i="2" s="1"/>
  <c r="AW505" i="2"/>
  <c r="AW506" i="2" s="1"/>
  <c r="AW508" i="2" s="1"/>
  <c r="AV509" i="2"/>
  <c r="AI558" i="2"/>
  <c r="AI559" i="2" s="1"/>
  <c r="AT551" i="2"/>
  <c r="AT541" i="2"/>
  <c r="AT542" i="2" s="1"/>
  <c r="BD978" i="2"/>
  <c r="C978" i="2" s="1"/>
  <c r="F1002" i="2" s="1"/>
  <c r="C879" i="2"/>
  <c r="AT270" i="2"/>
  <c r="BC489" i="2"/>
  <c r="BA880" i="2"/>
  <c r="AS819" i="2"/>
  <c r="AG699" i="2" l="1"/>
  <c r="AG643" i="2"/>
  <c r="AG644" i="2" s="1"/>
  <c r="AG803" i="2"/>
  <c r="AG824" i="2" s="1"/>
  <c r="AG641" i="2"/>
  <c r="AG642" i="2" s="1"/>
  <c r="AH570" i="2"/>
  <c r="AH594" i="2" s="1"/>
  <c r="AH595" i="2"/>
  <c r="AU739" i="2"/>
  <c r="C491" i="2"/>
  <c r="AX505" i="2"/>
  <c r="AX506" i="2" s="1"/>
  <c r="AX508" i="2" s="1"/>
  <c r="AW509" i="2"/>
  <c r="AW510" i="2" s="1"/>
  <c r="AT544" i="2"/>
  <c r="AT552" i="2" s="1"/>
  <c r="BC498" i="2"/>
  <c r="BC499" i="2" s="1"/>
  <c r="BC501" i="2" s="1"/>
  <c r="BB502" i="2"/>
  <c r="BB507" i="2" s="1"/>
  <c r="AT895" i="2"/>
  <c r="AT905" i="2" s="1"/>
  <c r="AT797" i="2"/>
  <c r="AT818" i="2" s="1"/>
  <c r="C206" i="18"/>
  <c r="AU588" i="2"/>
  <c r="AU533" i="2"/>
  <c r="AU535" i="2" s="1"/>
  <c r="AU682" i="2" s="1"/>
  <c r="AU683" i="2" s="1"/>
  <c r="AU684" i="2" s="1"/>
  <c r="AU685" i="2" s="1"/>
  <c r="AU686" i="2" s="1"/>
  <c r="C500" i="2"/>
  <c r="AI560" i="2"/>
  <c r="AI563" i="2" s="1"/>
  <c r="AV510" i="2"/>
  <c r="AU882" i="2"/>
  <c r="BC490" i="2"/>
  <c r="BC492" i="2" s="1"/>
  <c r="BC493" i="2" s="1"/>
  <c r="BB857" i="2"/>
  <c r="AT576" i="2"/>
  <c r="AT586" i="2"/>
  <c r="AT590" i="2" s="1"/>
  <c r="BA979" i="2"/>
  <c r="AT271" i="2"/>
  <c r="AU266" i="2" s="1"/>
  <c r="AU268" i="2" s="1"/>
  <c r="AH634" i="2" l="1"/>
  <c r="AH635" i="2" s="1"/>
  <c r="AH691" i="2"/>
  <c r="AH692" i="2" s="1"/>
  <c r="AH603" i="2"/>
  <c r="AH604" i="2" s="1"/>
  <c r="AH774" i="2" s="1"/>
  <c r="AH861" i="2"/>
  <c r="AH884" i="2" s="1"/>
  <c r="AH983" i="2" s="1"/>
  <c r="AU747" i="2"/>
  <c r="AU740" i="2"/>
  <c r="BC502" i="2"/>
  <c r="BC507" i="2" s="1"/>
  <c r="BD498" i="2"/>
  <c r="AU537" i="2"/>
  <c r="AU543" i="2"/>
  <c r="AU547" i="2"/>
  <c r="AT545" i="2"/>
  <c r="AU540" i="2" s="1"/>
  <c r="AU981" i="2"/>
  <c r="AV859" i="2"/>
  <c r="AV512" i="2"/>
  <c r="AI561" i="2"/>
  <c r="AJ556" i="2" s="1"/>
  <c r="AW859" i="2"/>
  <c r="AW882" i="2" s="1"/>
  <c r="AW981" i="2" s="1"/>
  <c r="AW512" i="2"/>
  <c r="AI565" i="2"/>
  <c r="AI893" i="2"/>
  <c r="AX509" i="2"/>
  <c r="AX510" i="2" s="1"/>
  <c r="AY505" i="2"/>
  <c r="AY506" i="2" s="1"/>
  <c r="AY508" i="2" s="1"/>
  <c r="BD489" i="2"/>
  <c r="AU269" i="2"/>
  <c r="AT798" i="2"/>
  <c r="AT591" i="2"/>
  <c r="AT592" i="2" s="1"/>
  <c r="AT896" i="2"/>
  <c r="AT906" i="2" s="1"/>
  <c r="AT579" i="2"/>
  <c r="AT580" i="2" s="1"/>
  <c r="AT581" i="2" s="1"/>
  <c r="BB880" i="2"/>
  <c r="AH727" i="2" l="1"/>
  <c r="AH728" i="2" s="1"/>
  <c r="AH729" i="2" s="1"/>
  <c r="AH730" i="2" s="1"/>
  <c r="AH639" i="2"/>
  <c r="AH643" i="2" s="1"/>
  <c r="AH644" i="2" s="1"/>
  <c r="AH693" i="2"/>
  <c r="AH695" i="2"/>
  <c r="AH696" i="2" s="1"/>
  <c r="AH637" i="2"/>
  <c r="AH638" i="2" s="1"/>
  <c r="AH862" i="2"/>
  <c r="AH885" i="2" s="1"/>
  <c r="AH984" i="2" s="1"/>
  <c r="AH612" i="2"/>
  <c r="AH773" i="2" s="1"/>
  <c r="AU741" i="2"/>
  <c r="AU742" i="2" s="1"/>
  <c r="AU743" i="2" s="1"/>
  <c r="AI566" i="2"/>
  <c r="AI567" i="2" s="1"/>
  <c r="AI570" i="2" s="1"/>
  <c r="AI594" i="2" s="1"/>
  <c r="AV739" i="2"/>
  <c r="AW739" i="2"/>
  <c r="AY509" i="2"/>
  <c r="AY510" i="2" s="1"/>
  <c r="AZ505" i="2"/>
  <c r="AZ506" i="2" s="1"/>
  <c r="AZ508" i="2" s="1"/>
  <c r="AU627" i="2"/>
  <c r="AU628" i="2" s="1"/>
  <c r="AU629" i="2" s="1"/>
  <c r="AU548" i="2"/>
  <c r="AU553" i="2" s="1"/>
  <c r="AX859" i="2"/>
  <c r="AX882" i="2" s="1"/>
  <c r="AX981" i="2" s="1"/>
  <c r="AX512" i="2"/>
  <c r="AI900" i="2"/>
  <c r="AI931" i="2" s="1"/>
  <c r="AI939" i="2" s="1"/>
  <c r="AI903" i="2"/>
  <c r="AI910" i="2" s="1"/>
  <c r="AV588" i="2"/>
  <c r="AV533" i="2"/>
  <c r="AV535" i="2" s="1"/>
  <c r="AV682" i="2" s="1"/>
  <c r="AV683" i="2" s="1"/>
  <c r="AV684" i="2" s="1"/>
  <c r="AV685" i="2" s="1"/>
  <c r="AV686" i="2" s="1"/>
  <c r="AW533" i="2"/>
  <c r="AW535" i="2" s="1"/>
  <c r="AW682" i="2" s="1"/>
  <c r="AW683" i="2" s="1"/>
  <c r="AW588" i="2"/>
  <c r="AV882" i="2"/>
  <c r="AU551" i="2"/>
  <c r="AU541" i="2"/>
  <c r="AU542" i="2" s="1"/>
  <c r="BD499" i="2"/>
  <c r="C498" i="2"/>
  <c r="AJ558" i="2"/>
  <c r="AJ559" i="2" s="1"/>
  <c r="AT819" i="2"/>
  <c r="AU270" i="2"/>
  <c r="BB979" i="2"/>
  <c r="BC857" i="2"/>
  <c r="BD490" i="2"/>
  <c r="C490" i="2" s="1"/>
  <c r="C489" i="2"/>
  <c r="AH640" i="2" l="1"/>
  <c r="AH641" i="2"/>
  <c r="AH642" i="2" s="1"/>
  <c r="AH697" i="2"/>
  <c r="AH698" i="2"/>
  <c r="AH699" i="2" s="1"/>
  <c r="AH803" i="2"/>
  <c r="AH824" i="2" s="1"/>
  <c r="AW684" i="2"/>
  <c r="AW685" i="2" s="1"/>
  <c r="AW686" i="2" s="1"/>
  <c r="AI806" i="2"/>
  <c r="AI827" i="2" s="1"/>
  <c r="AI595" i="2"/>
  <c r="AX739" i="2"/>
  <c r="AW747" i="2"/>
  <c r="AW740" i="2"/>
  <c r="AV747" i="2"/>
  <c r="AV740" i="2"/>
  <c r="AU544" i="2"/>
  <c r="AU552" i="2" s="1"/>
  <c r="AU797" i="2"/>
  <c r="AU818" i="2" s="1"/>
  <c r="AU895" i="2"/>
  <c r="AU905" i="2" s="1"/>
  <c r="AW543" i="2"/>
  <c r="AW537" i="2"/>
  <c r="AX588" i="2"/>
  <c r="AX533" i="2"/>
  <c r="AX535" i="2" s="1"/>
  <c r="AX682" i="2" s="1"/>
  <c r="AX683" i="2" s="1"/>
  <c r="AX684" i="2" s="1"/>
  <c r="AX685" i="2" s="1"/>
  <c r="AV543" i="2"/>
  <c r="AV537" i="2"/>
  <c r="AW547" i="2"/>
  <c r="AV547" i="2"/>
  <c r="AJ560" i="2"/>
  <c r="AJ563" i="2" s="1"/>
  <c r="AI603" i="2"/>
  <c r="AI604" i="2" s="1"/>
  <c r="AI639" i="2" s="1"/>
  <c r="AZ509" i="2"/>
  <c r="AZ510" i="2" s="1"/>
  <c r="BA505" i="2"/>
  <c r="BA506" i="2" s="1"/>
  <c r="BA508" i="2" s="1"/>
  <c r="BD501" i="2"/>
  <c r="C499" i="2"/>
  <c r="AV981" i="2"/>
  <c r="AY859" i="2"/>
  <c r="AY882" i="2" s="1"/>
  <c r="AY981" i="2" s="1"/>
  <c r="AY512" i="2"/>
  <c r="AU586" i="2"/>
  <c r="AU590" i="2" s="1"/>
  <c r="AU576" i="2"/>
  <c r="AU271" i="2"/>
  <c r="AV266" i="2" s="1"/>
  <c r="AV268" i="2" s="1"/>
  <c r="BD492" i="2"/>
  <c r="BD493" i="2" s="1"/>
  <c r="BC880" i="2"/>
  <c r="AX686" i="2" l="1"/>
  <c r="AI695" i="2"/>
  <c r="AI696" i="2" s="1"/>
  <c r="AI691" i="2"/>
  <c r="AI692" i="2" s="1"/>
  <c r="AI861" i="2"/>
  <c r="AI884" i="2" s="1"/>
  <c r="AI983" i="2" s="1"/>
  <c r="AI634" i="2"/>
  <c r="AI635" i="2" s="1"/>
  <c r="AV741" i="2"/>
  <c r="AV742" i="2" s="1"/>
  <c r="AV743" i="2" s="1"/>
  <c r="AW741" i="2"/>
  <c r="AW742" i="2" s="1"/>
  <c r="AY739" i="2"/>
  <c r="AX747" i="2"/>
  <c r="AX740" i="2"/>
  <c r="AI774" i="2"/>
  <c r="AI643" i="2"/>
  <c r="AX543" i="2"/>
  <c r="AX537" i="2"/>
  <c r="AV627" i="2"/>
  <c r="AV628" i="2" s="1"/>
  <c r="AV629" i="2" s="1"/>
  <c r="AV548" i="2"/>
  <c r="AV553" i="2" s="1"/>
  <c r="AX547" i="2"/>
  <c r="AW551" i="2"/>
  <c r="AW541" i="2"/>
  <c r="BD502" i="2"/>
  <c r="C501" i="2"/>
  <c r="BA509" i="2"/>
  <c r="BA510" i="2" s="1"/>
  <c r="BB505" i="2"/>
  <c r="BB506" i="2" s="1"/>
  <c r="BB508" i="2" s="1"/>
  <c r="AW627" i="2"/>
  <c r="AW628" i="2" s="1"/>
  <c r="AW548" i="2"/>
  <c r="AW553" i="2" s="1"/>
  <c r="AZ859" i="2"/>
  <c r="AZ882" i="2" s="1"/>
  <c r="AZ981" i="2" s="1"/>
  <c r="AZ512" i="2"/>
  <c r="AI637" i="2"/>
  <c r="AI862" i="2"/>
  <c r="AI885" i="2" s="1"/>
  <c r="AI984" i="2" s="1"/>
  <c r="AI612" i="2"/>
  <c r="AY588" i="2"/>
  <c r="AY533" i="2"/>
  <c r="AY535" i="2" s="1"/>
  <c r="AY682" i="2" s="1"/>
  <c r="AY683" i="2" s="1"/>
  <c r="AY684" i="2" s="1"/>
  <c r="AY685" i="2" s="1"/>
  <c r="AY686" i="2" s="1"/>
  <c r="AJ561" i="2"/>
  <c r="AK556" i="2" s="1"/>
  <c r="AV541" i="2"/>
  <c r="AV551" i="2"/>
  <c r="AU545" i="2"/>
  <c r="AV540" i="2" s="1"/>
  <c r="AI727" i="2"/>
  <c r="AI728" i="2" s="1"/>
  <c r="AI729" i="2" s="1"/>
  <c r="AI730" i="2" s="1"/>
  <c r="AJ893" i="2"/>
  <c r="AJ565" i="2"/>
  <c r="C492" i="2"/>
  <c r="AV269" i="2"/>
  <c r="AU896" i="2"/>
  <c r="AU906" i="2" s="1"/>
  <c r="AU579" i="2"/>
  <c r="AU580" i="2" s="1"/>
  <c r="AU581" i="2" s="1"/>
  <c r="BC979" i="2"/>
  <c r="AU798" i="2"/>
  <c r="AU591" i="2"/>
  <c r="AU592" i="2" s="1"/>
  <c r="AI693" i="2" l="1"/>
  <c r="AI697" i="2"/>
  <c r="AI698" i="2"/>
  <c r="AW743" i="2"/>
  <c r="AI640" i="2"/>
  <c r="AX741" i="2"/>
  <c r="AX742" i="2" s="1"/>
  <c r="AX743" i="2" s="1"/>
  <c r="AJ566" i="2"/>
  <c r="AJ567" i="2" s="1"/>
  <c r="AJ570" i="2" s="1"/>
  <c r="AJ594" i="2" s="1"/>
  <c r="AY747" i="2"/>
  <c r="AY740" i="2"/>
  <c r="AZ739" i="2"/>
  <c r="AI773" i="2"/>
  <c r="AI803" i="2"/>
  <c r="AI824" i="2" s="1"/>
  <c r="AW629" i="2"/>
  <c r="AK558" i="2"/>
  <c r="AK559" i="2" s="1"/>
  <c r="AZ588" i="2"/>
  <c r="AZ533" i="2"/>
  <c r="AZ535" i="2" s="1"/>
  <c r="AZ682" i="2" s="1"/>
  <c r="AZ683" i="2" s="1"/>
  <c r="AZ684" i="2" s="1"/>
  <c r="AZ685" i="2" s="1"/>
  <c r="AZ686" i="2" s="1"/>
  <c r="BA859" i="2"/>
  <c r="BA882" i="2" s="1"/>
  <c r="BA981" i="2" s="1"/>
  <c r="BA512" i="2"/>
  <c r="AY547" i="2"/>
  <c r="AY543" i="2"/>
  <c r="AY537" i="2"/>
  <c r="AX551" i="2"/>
  <c r="AX541" i="2"/>
  <c r="AJ900" i="2"/>
  <c r="AJ931" i="2" s="1"/>
  <c r="AJ939" i="2" s="1"/>
  <c r="AJ903" i="2"/>
  <c r="AJ910" i="2" s="1"/>
  <c r="C502" i="2"/>
  <c r="BD507" i="2"/>
  <c r="C507" i="2" s="1"/>
  <c r="AV542" i="2"/>
  <c r="AW797" i="2"/>
  <c r="AW818" i="2" s="1"/>
  <c r="AW895" i="2"/>
  <c r="AW905" i="2" s="1"/>
  <c r="AI644" i="2"/>
  <c r="AV797" i="2"/>
  <c r="AV818" i="2" s="1"/>
  <c r="AV895" i="2"/>
  <c r="AV905" i="2" s="1"/>
  <c r="AX627" i="2"/>
  <c r="AX628" i="2" s="1"/>
  <c r="AX629" i="2" s="1"/>
  <c r="AX548" i="2"/>
  <c r="AX553" i="2" s="1"/>
  <c r="AI638" i="2"/>
  <c r="AI641" i="2"/>
  <c r="AI642" i="2" s="1"/>
  <c r="BC505" i="2"/>
  <c r="BC506" i="2" s="1"/>
  <c r="BC508" i="2" s="1"/>
  <c r="BB509" i="2"/>
  <c r="BB510" i="2" s="1"/>
  <c r="AV270" i="2"/>
  <c r="BD857" i="2"/>
  <c r="C493" i="2"/>
  <c r="AU819" i="2"/>
  <c r="AI699" i="2" l="1"/>
  <c r="AJ595" i="2"/>
  <c r="AJ634" i="2" s="1"/>
  <c r="AJ806" i="2"/>
  <c r="AJ827" i="2" s="1"/>
  <c r="AY741" i="2"/>
  <c r="AY742" i="2" s="1"/>
  <c r="AY743" i="2" s="1"/>
  <c r="AZ547" i="2"/>
  <c r="AZ627" i="2" s="1"/>
  <c r="AZ628" i="2" s="1"/>
  <c r="BA739" i="2"/>
  <c r="AZ747" i="2"/>
  <c r="AZ740" i="2"/>
  <c r="AY627" i="2"/>
  <c r="AY628" i="2" s="1"/>
  <c r="AY629" i="2" s="1"/>
  <c r="AY548" i="2"/>
  <c r="AY553" i="2" s="1"/>
  <c r="AV544" i="2"/>
  <c r="AV552" i="2" s="1"/>
  <c r="AX895" i="2"/>
  <c r="AX905" i="2" s="1"/>
  <c r="AX797" i="2"/>
  <c r="AX818" i="2" s="1"/>
  <c r="BA533" i="2"/>
  <c r="BA535" i="2" s="1"/>
  <c r="BA682" i="2" s="1"/>
  <c r="BA683" i="2" s="1"/>
  <c r="BA684" i="2" s="1"/>
  <c r="BA685" i="2" s="1"/>
  <c r="BA686" i="2" s="1"/>
  <c r="BA588" i="2"/>
  <c r="AY551" i="2"/>
  <c r="AY541" i="2"/>
  <c r="AZ543" i="2"/>
  <c r="AZ537" i="2"/>
  <c r="BB859" i="2"/>
  <c r="BB882" i="2" s="1"/>
  <c r="BB981" i="2" s="1"/>
  <c r="BB512" i="2"/>
  <c r="BD505" i="2"/>
  <c r="BC509" i="2"/>
  <c r="BC510" i="2" s="1"/>
  <c r="AK560" i="2"/>
  <c r="AK563" i="2" s="1"/>
  <c r="AJ603" i="2"/>
  <c r="AJ604" i="2" s="1"/>
  <c r="AJ774" i="2" s="1"/>
  <c r="AV586" i="2"/>
  <c r="AV590" i="2" s="1"/>
  <c r="AV576" i="2"/>
  <c r="AV271" i="2"/>
  <c r="AW266" i="2" s="1"/>
  <c r="AW268" i="2" s="1"/>
  <c r="BD880" i="2"/>
  <c r="C857" i="2"/>
  <c r="AJ861" i="2" l="1"/>
  <c r="AJ884" i="2" s="1"/>
  <c r="AJ983" i="2" s="1"/>
  <c r="AJ695" i="2"/>
  <c r="AJ696" i="2" s="1"/>
  <c r="AZ548" i="2"/>
  <c r="AZ553" i="2" s="1"/>
  <c r="AJ691" i="2"/>
  <c r="AJ692" i="2" s="1"/>
  <c r="AZ741" i="2"/>
  <c r="AZ742" i="2" s="1"/>
  <c r="AZ743" i="2" s="1"/>
  <c r="BB739" i="2"/>
  <c r="BA747" i="2"/>
  <c r="BA740" i="2"/>
  <c r="AZ629" i="2"/>
  <c r="AJ727" i="2"/>
  <c r="AJ728" i="2" s="1"/>
  <c r="AJ729" i="2" s="1"/>
  <c r="AJ730" i="2" s="1"/>
  <c r="BA543" i="2"/>
  <c r="BA537" i="2"/>
  <c r="BA547" i="2"/>
  <c r="AJ639" i="2"/>
  <c r="AJ637" i="2"/>
  <c r="AZ551" i="2"/>
  <c r="AZ541" i="2"/>
  <c r="AJ635" i="2"/>
  <c r="AV545" i="2"/>
  <c r="AW540" i="2" s="1"/>
  <c r="AW542" i="2" s="1"/>
  <c r="AJ612" i="2"/>
  <c r="AJ862" i="2"/>
  <c r="AJ885" i="2" s="1"/>
  <c r="AJ984" i="2" s="1"/>
  <c r="BC859" i="2"/>
  <c r="BC882" i="2" s="1"/>
  <c r="BC981" i="2" s="1"/>
  <c r="BC512" i="2"/>
  <c r="AY797" i="2"/>
  <c r="AY818" i="2" s="1"/>
  <c r="AY895" i="2"/>
  <c r="AY905" i="2" s="1"/>
  <c r="AK561" i="2"/>
  <c r="AL556" i="2" s="1"/>
  <c r="BD506" i="2"/>
  <c r="C505" i="2"/>
  <c r="AK565" i="2"/>
  <c r="AK893" i="2"/>
  <c r="BB533" i="2"/>
  <c r="BB535" i="2" s="1"/>
  <c r="BB682" i="2" s="1"/>
  <c r="BB683" i="2" s="1"/>
  <c r="BB684" i="2" s="1"/>
  <c r="BB685" i="2" s="1"/>
  <c r="BB686" i="2" s="1"/>
  <c r="BB588" i="2"/>
  <c r="BD979" i="2"/>
  <c r="C979" i="2" s="1"/>
  <c r="F1003" i="2" s="1"/>
  <c r="C880" i="2"/>
  <c r="AW269" i="2"/>
  <c r="AV896" i="2"/>
  <c r="AV906" i="2" s="1"/>
  <c r="AV579" i="2"/>
  <c r="AV580" i="2" s="1"/>
  <c r="AV581" i="2" s="1"/>
  <c r="AV798" i="2"/>
  <c r="AV591" i="2"/>
  <c r="AV592" i="2" s="1"/>
  <c r="AJ693" i="2" l="1"/>
  <c r="AJ697" i="2"/>
  <c r="AJ698" i="2"/>
  <c r="BA741" i="2"/>
  <c r="BA742" i="2" s="1"/>
  <c r="BA743" i="2" s="1"/>
  <c r="AK566" i="2"/>
  <c r="AK567" i="2" s="1"/>
  <c r="AK806" i="2" s="1"/>
  <c r="AK827" i="2" s="1"/>
  <c r="BC739" i="2"/>
  <c r="BB747" i="2"/>
  <c r="BB740" i="2"/>
  <c r="AJ773" i="2"/>
  <c r="AJ803" i="2"/>
  <c r="AJ824" i="2" s="1"/>
  <c r="BC533" i="2"/>
  <c r="BC535" i="2" s="1"/>
  <c r="BC682" i="2" s="1"/>
  <c r="BC683" i="2" s="1"/>
  <c r="BC684" i="2" s="1"/>
  <c r="BC685" i="2" s="1"/>
  <c r="BC686" i="2" s="1"/>
  <c r="BC588" i="2"/>
  <c r="AZ797" i="2"/>
  <c r="AZ818" i="2" s="1"/>
  <c r="AZ895" i="2"/>
  <c r="AZ905" i="2" s="1"/>
  <c r="AK900" i="2"/>
  <c r="AK931" i="2" s="1"/>
  <c r="AK939" i="2" s="1"/>
  <c r="AK903" i="2"/>
  <c r="AK910" i="2" s="1"/>
  <c r="AJ638" i="2"/>
  <c r="AJ641" i="2"/>
  <c r="AJ642" i="2" s="1"/>
  <c r="AJ640" i="2"/>
  <c r="AJ643" i="2"/>
  <c r="AJ644" i="2" s="1"/>
  <c r="BB543" i="2"/>
  <c r="BB537" i="2"/>
  <c r="BB547" i="2"/>
  <c r="BA627" i="2"/>
  <c r="BA628" i="2" s="1"/>
  <c r="BA629" i="2" s="1"/>
  <c r="BA548" i="2"/>
  <c r="BA553" i="2" s="1"/>
  <c r="BD508" i="2"/>
  <c r="C506" i="2"/>
  <c r="AW544" i="2"/>
  <c r="AW552" i="2" s="1"/>
  <c r="BA551" i="2"/>
  <c r="BA541" i="2"/>
  <c r="AL558" i="2"/>
  <c r="AL559" i="2" s="1"/>
  <c r="AV819" i="2"/>
  <c r="AW270" i="2"/>
  <c r="C207" i="18"/>
  <c r="AJ699" i="2" l="1"/>
  <c r="AK570" i="2"/>
  <c r="AK594" i="2" s="1"/>
  <c r="AK595" i="2"/>
  <c r="AK861" i="2" s="1"/>
  <c r="AK884" i="2" s="1"/>
  <c r="AK983" i="2" s="1"/>
  <c r="BB741" i="2"/>
  <c r="BB742" i="2" s="1"/>
  <c r="BB743" i="2" s="1"/>
  <c r="BC547" i="2"/>
  <c r="BC627" i="2" s="1"/>
  <c r="BC628" i="2" s="1"/>
  <c r="BC747" i="2"/>
  <c r="BC740" i="2"/>
  <c r="BD509" i="2"/>
  <c r="C508" i="2"/>
  <c r="BB627" i="2"/>
  <c r="BB628" i="2" s="1"/>
  <c r="BB629" i="2" s="1"/>
  <c r="BB548" i="2"/>
  <c r="BB553" i="2" s="1"/>
  <c r="BA895" i="2"/>
  <c r="BA905" i="2" s="1"/>
  <c r="BA797" i="2"/>
  <c r="BA818" i="2" s="1"/>
  <c r="C818" i="2" s="1"/>
  <c r="AW545" i="2"/>
  <c r="AX540" i="2" s="1"/>
  <c r="AX542" i="2" s="1"/>
  <c r="BB541" i="2"/>
  <c r="BB551" i="2"/>
  <c r="BC543" i="2"/>
  <c r="BC537" i="2"/>
  <c r="AL560" i="2"/>
  <c r="AL563" i="2" s="1"/>
  <c r="AW586" i="2"/>
  <c r="AW590" i="2" s="1"/>
  <c r="AW576" i="2"/>
  <c r="AW271" i="2"/>
  <c r="AX266" i="2" s="1"/>
  <c r="AX268" i="2" s="1"/>
  <c r="AK603" i="2" l="1"/>
  <c r="AK604" i="2" s="1"/>
  <c r="AK774" i="2" s="1"/>
  <c r="AK634" i="2"/>
  <c r="AK635" i="2" s="1"/>
  <c r="BC548" i="2"/>
  <c r="BC553" i="2" s="1"/>
  <c r="AK691" i="2"/>
  <c r="AK692" i="2" s="1"/>
  <c r="BC741" i="2"/>
  <c r="BC742" i="2" s="1"/>
  <c r="BC743" i="2" s="1"/>
  <c r="BC629" i="2"/>
  <c r="AL561" i="2"/>
  <c r="AM556" i="2" s="1"/>
  <c r="AM558" i="2" s="1"/>
  <c r="AM559" i="2" s="1"/>
  <c r="AM560" i="2" s="1"/>
  <c r="AM563" i="2" s="1"/>
  <c r="AL893" i="2"/>
  <c r="AL565" i="2"/>
  <c r="BC541" i="2"/>
  <c r="BC551" i="2"/>
  <c r="BB797" i="2"/>
  <c r="BB895" i="2"/>
  <c r="BB905" i="2" s="1"/>
  <c r="AX544" i="2"/>
  <c r="AX552" i="2" s="1"/>
  <c r="C509" i="2"/>
  <c r="BD510" i="2"/>
  <c r="AW896" i="2"/>
  <c r="AW906" i="2" s="1"/>
  <c r="AW579" i="2"/>
  <c r="AW580" i="2" s="1"/>
  <c r="AW581" i="2" s="1"/>
  <c r="AW798" i="2"/>
  <c r="AW591" i="2"/>
  <c r="AW592" i="2" s="1"/>
  <c r="AX269" i="2"/>
  <c r="AK639" i="2" l="1"/>
  <c r="AK643" i="2" s="1"/>
  <c r="AK644" i="2" s="1"/>
  <c r="AK862" i="2"/>
  <c r="AK885" i="2" s="1"/>
  <c r="AK984" i="2" s="1"/>
  <c r="AK612" i="2"/>
  <c r="AK773" i="2" s="1"/>
  <c r="AK637" i="2"/>
  <c r="AK638" i="2" s="1"/>
  <c r="AK695" i="2"/>
  <c r="AK696" i="2" s="1"/>
  <c r="AK697" i="2" s="1"/>
  <c r="AK727" i="2"/>
  <c r="AK728" i="2" s="1"/>
  <c r="AK729" i="2" s="1"/>
  <c r="AK730" i="2" s="1"/>
  <c r="AK693" i="2"/>
  <c r="AL566" i="2"/>
  <c r="AL567" i="2" s="1"/>
  <c r="AL806" i="2" s="1"/>
  <c r="AL827" i="2" s="1"/>
  <c r="AM561" i="2"/>
  <c r="AN556" i="2" s="1"/>
  <c r="AN558" i="2" s="1"/>
  <c r="AN559" i="2" s="1"/>
  <c r="BC797" i="2"/>
  <c r="BC895" i="2"/>
  <c r="BC905" i="2" s="1"/>
  <c r="AM565" i="2"/>
  <c r="AM893" i="2"/>
  <c r="BD859" i="2"/>
  <c r="C510" i="2"/>
  <c r="BD512" i="2"/>
  <c r="AL900" i="2"/>
  <c r="AL931" i="2" s="1"/>
  <c r="AL939" i="2" s="1"/>
  <c r="AL903" i="2"/>
  <c r="AL910" i="2" s="1"/>
  <c r="AX545" i="2"/>
  <c r="AY540" i="2" s="1"/>
  <c r="AX270" i="2"/>
  <c r="AW819" i="2"/>
  <c r="AK640" i="2" l="1"/>
  <c r="AK803" i="2"/>
  <c r="AK824" i="2" s="1"/>
  <c r="AK641" i="2"/>
  <c r="AK642" i="2" s="1"/>
  <c r="AK698" i="2"/>
  <c r="AK699" i="2" s="1"/>
  <c r="AL595" i="2"/>
  <c r="AL861" i="2" s="1"/>
  <c r="AL884" i="2" s="1"/>
  <c r="AL983" i="2" s="1"/>
  <c r="AL570" i="2"/>
  <c r="AL594" i="2" s="1"/>
  <c r="AM566" i="2"/>
  <c r="AM567" i="2" s="1"/>
  <c r="AM595" i="2" s="1"/>
  <c r="BD739" i="2"/>
  <c r="AY542" i="2"/>
  <c r="BD882" i="2"/>
  <c r="C859" i="2"/>
  <c r="AM900" i="2"/>
  <c r="AM931" i="2" s="1"/>
  <c r="AM939" i="2" s="1"/>
  <c r="AM903" i="2"/>
  <c r="AM910" i="2" s="1"/>
  <c r="AN560" i="2"/>
  <c r="AN563" i="2" s="1"/>
  <c r="BD588" i="2"/>
  <c r="C588" i="2" s="1"/>
  <c r="BD533" i="2"/>
  <c r="C512" i="2"/>
  <c r="AX586" i="2"/>
  <c r="AX590" i="2" s="1"/>
  <c r="AX576" i="2"/>
  <c r="AX271" i="2"/>
  <c r="AY266" i="2" s="1"/>
  <c r="AY268" i="2" s="1"/>
  <c r="AL603" i="2" l="1"/>
  <c r="AL604" i="2" s="1"/>
  <c r="AL774" i="2" s="1"/>
  <c r="AM806" i="2"/>
  <c r="AM827" i="2" s="1"/>
  <c r="AL691" i="2"/>
  <c r="AL692" i="2" s="1"/>
  <c r="AM570" i="2"/>
  <c r="AM594" i="2" s="1"/>
  <c r="AL634" i="2"/>
  <c r="AL635" i="2" s="1"/>
  <c r="BD747" i="2"/>
  <c r="BD740" i="2"/>
  <c r="AN561" i="2"/>
  <c r="AO556" i="2" s="1"/>
  <c r="AO558" i="2" s="1"/>
  <c r="AO559" i="2" s="1"/>
  <c r="AM861" i="2"/>
  <c r="AM884" i="2" s="1"/>
  <c r="AM983" i="2" s="1"/>
  <c r="BD535" i="2"/>
  <c r="BD682" i="2" s="1"/>
  <c r="BD683" i="2" s="1"/>
  <c r="BD684" i="2" s="1"/>
  <c r="BD685" i="2" s="1"/>
  <c r="BD686" i="2" s="1"/>
  <c r="E686" i="2" s="1"/>
  <c r="C533" i="2"/>
  <c r="AN893" i="2"/>
  <c r="AN565" i="2"/>
  <c r="BD981" i="2"/>
  <c r="C981" i="2" s="1"/>
  <c r="F1005" i="2" s="1"/>
  <c r="C882" i="2"/>
  <c r="AY544" i="2"/>
  <c r="AY545" i="2" s="1"/>
  <c r="AZ540" i="2" s="1"/>
  <c r="AX896" i="2"/>
  <c r="AX906" i="2" s="1"/>
  <c r="AX579" i="2"/>
  <c r="AX580" i="2" s="1"/>
  <c r="AX581" i="2" s="1"/>
  <c r="G641" i="2"/>
  <c r="AY269" i="2"/>
  <c r="AX798" i="2"/>
  <c r="AX591" i="2"/>
  <c r="AX592" i="2" s="1"/>
  <c r="AL727" i="2" l="1"/>
  <c r="AL728" i="2" s="1"/>
  <c r="AL729" i="2" s="1"/>
  <c r="AL730" i="2" s="1"/>
  <c r="AL637" i="2"/>
  <c r="AL638" i="2" s="1"/>
  <c r="AL612" i="2"/>
  <c r="AL773" i="2" s="1"/>
  <c r="AL639" i="2"/>
  <c r="AL640" i="2" s="1"/>
  <c r="AL862" i="2"/>
  <c r="AL885" i="2" s="1"/>
  <c r="AL984" i="2" s="1"/>
  <c r="AL695" i="2"/>
  <c r="AL696" i="2" s="1"/>
  <c r="AL697" i="2" s="1"/>
  <c r="AL693" i="2"/>
  <c r="BD687" i="2"/>
  <c r="BD688" i="2" s="1"/>
  <c r="Z687" i="2"/>
  <c r="Z688" i="2" s="1"/>
  <c r="BB687" i="2"/>
  <c r="BB688" i="2" s="1"/>
  <c r="AK687" i="2"/>
  <c r="AK688" i="2" s="1"/>
  <c r="T687" i="2"/>
  <c r="T688" i="2" s="1"/>
  <c r="K687" i="2"/>
  <c r="K688" i="2" s="1"/>
  <c r="AV687" i="2"/>
  <c r="AV688" i="2" s="1"/>
  <c r="L687" i="2"/>
  <c r="L688" i="2" s="1"/>
  <c r="AJ687" i="2"/>
  <c r="AJ688" i="2" s="1"/>
  <c r="AP687" i="2"/>
  <c r="AP688" i="2" s="1"/>
  <c r="AW687" i="2"/>
  <c r="AW688" i="2" s="1"/>
  <c r="BC687" i="2"/>
  <c r="BC688" i="2" s="1"/>
  <c r="AT687" i="2"/>
  <c r="AT688" i="2" s="1"/>
  <c r="AC687" i="2"/>
  <c r="AC688" i="2" s="1"/>
  <c r="J687" i="2"/>
  <c r="J688" i="2" s="1"/>
  <c r="AH687" i="2"/>
  <c r="AH688" i="2" s="1"/>
  <c r="AO687" i="2"/>
  <c r="AO688" i="2" s="1"/>
  <c r="AN687" i="2"/>
  <c r="AN688" i="2" s="1"/>
  <c r="AU687" i="2"/>
  <c r="AU688" i="2" s="1"/>
  <c r="AL687" i="2"/>
  <c r="AL688" i="2" s="1"/>
  <c r="AL702" i="2" s="1"/>
  <c r="U687" i="2"/>
  <c r="U688" i="2" s="1"/>
  <c r="R687" i="2"/>
  <c r="R688" i="2" s="1"/>
  <c r="G687" i="2"/>
  <c r="G688" i="2" s="1"/>
  <c r="AG687" i="2"/>
  <c r="AG688" i="2" s="1"/>
  <c r="AF687" i="2"/>
  <c r="AF688" i="2" s="1"/>
  <c r="AM687" i="2"/>
  <c r="AM688" i="2" s="1"/>
  <c r="AD687" i="2"/>
  <c r="AD688" i="2" s="1"/>
  <c r="M687" i="2"/>
  <c r="M688" i="2" s="1"/>
  <c r="AY687" i="2"/>
  <c r="AY688" i="2" s="1"/>
  <c r="S687" i="2"/>
  <c r="S688" i="2" s="1"/>
  <c r="Y687" i="2"/>
  <c r="Y688" i="2" s="1"/>
  <c r="X687" i="2"/>
  <c r="X688" i="2" s="1"/>
  <c r="AE687" i="2"/>
  <c r="AE688" i="2" s="1"/>
  <c r="V687" i="2"/>
  <c r="V688" i="2" s="1"/>
  <c r="AZ687" i="2"/>
  <c r="AZ688" i="2" s="1"/>
  <c r="AQ687" i="2"/>
  <c r="AQ688" i="2" s="1"/>
  <c r="AS687" i="2"/>
  <c r="AS688" i="2" s="1"/>
  <c r="Q687" i="2"/>
  <c r="Q688" i="2" s="1"/>
  <c r="P687" i="2"/>
  <c r="P688" i="2" s="1"/>
  <c r="W687" i="2"/>
  <c r="W688" i="2" s="1"/>
  <c r="N687" i="2"/>
  <c r="N688" i="2" s="1"/>
  <c r="AR687" i="2"/>
  <c r="AR688" i="2" s="1"/>
  <c r="AI687" i="2"/>
  <c r="AI688" i="2" s="1"/>
  <c r="AX687" i="2"/>
  <c r="AX688" i="2" s="1"/>
  <c r="I687" i="2"/>
  <c r="I688" i="2" s="1"/>
  <c r="H687" i="2"/>
  <c r="H688" i="2" s="1"/>
  <c r="O687" i="2"/>
  <c r="O688" i="2" s="1"/>
  <c r="BA687" i="2"/>
  <c r="BA688" i="2" s="1"/>
  <c r="AA687" i="2"/>
  <c r="AA688" i="2" s="1"/>
  <c r="AB687" i="2"/>
  <c r="AB688" i="2" s="1"/>
  <c r="AM691" i="2"/>
  <c r="AM692" i="2" s="1"/>
  <c r="AM603" i="2"/>
  <c r="AM604" i="2" s="1"/>
  <c r="AM695" i="2" s="1"/>
  <c r="AM696" i="2" s="1"/>
  <c r="AM634" i="2"/>
  <c r="AM635" i="2" s="1"/>
  <c r="C683" i="2"/>
  <c r="AN566" i="2"/>
  <c r="AN567" i="2" s="1"/>
  <c r="AN595" i="2" s="1"/>
  <c r="C740" i="2"/>
  <c r="BD741" i="2"/>
  <c r="BD742" i="2" s="1"/>
  <c r="AZ542" i="2"/>
  <c r="C209" i="18"/>
  <c r="AN900" i="2"/>
  <c r="AN931" i="2" s="1"/>
  <c r="AN939" i="2" s="1"/>
  <c r="AN903" i="2"/>
  <c r="AN910" i="2" s="1"/>
  <c r="C535" i="2"/>
  <c r="BD543" i="2"/>
  <c r="C543" i="2" s="1"/>
  <c r="BD537" i="2"/>
  <c r="BD547" i="2"/>
  <c r="AY552" i="2"/>
  <c r="AO560" i="2"/>
  <c r="AO563" i="2" s="1"/>
  <c r="G642" i="2"/>
  <c r="AX819" i="2"/>
  <c r="AY270" i="2"/>
  <c r="AY271" i="2" s="1"/>
  <c r="AZ266" i="2" s="1"/>
  <c r="AZ268" i="2" s="1"/>
  <c r="AL643" i="2" l="1"/>
  <c r="AL644" i="2" s="1"/>
  <c r="AL803" i="2"/>
  <c r="AL824" i="2" s="1"/>
  <c r="AL641" i="2"/>
  <c r="AL642" i="2" s="1"/>
  <c r="AL698" i="2"/>
  <c r="AL699" i="2" s="1"/>
  <c r="AM705" i="2"/>
  <c r="N705" i="2"/>
  <c r="W705" i="2"/>
  <c r="X705" i="2"/>
  <c r="AG705" i="2"/>
  <c r="AH705" i="2"/>
  <c r="L705" i="2"/>
  <c r="O705" i="2"/>
  <c r="P705" i="2"/>
  <c r="Y705" i="2"/>
  <c r="J705" i="2"/>
  <c r="H705" i="2"/>
  <c r="Q705" i="2"/>
  <c r="S705" i="2"/>
  <c r="R705" i="2"/>
  <c r="AC705" i="2"/>
  <c r="K705" i="2"/>
  <c r="AA705" i="2"/>
  <c r="I705" i="2"/>
  <c r="U705" i="2"/>
  <c r="T705" i="2"/>
  <c r="AF705" i="2"/>
  <c r="M705" i="2"/>
  <c r="AK705" i="2"/>
  <c r="AJ705" i="2"/>
  <c r="AI705" i="2"/>
  <c r="AD705" i="2"/>
  <c r="AE705" i="2"/>
  <c r="AB705" i="2"/>
  <c r="V705" i="2"/>
  <c r="Z705" i="2"/>
  <c r="AL705" i="2"/>
  <c r="N702" i="2"/>
  <c r="W702" i="2"/>
  <c r="X702" i="2"/>
  <c r="AG702" i="2"/>
  <c r="AH702" i="2"/>
  <c r="L702" i="2"/>
  <c r="AA702" i="2"/>
  <c r="O702" i="2"/>
  <c r="P702" i="2"/>
  <c r="Y702" i="2"/>
  <c r="G702" i="2"/>
  <c r="G703" i="2" s="1"/>
  <c r="G710" i="2" s="1"/>
  <c r="G705" i="2"/>
  <c r="J702" i="2"/>
  <c r="H702" i="2"/>
  <c r="Q702" i="2"/>
  <c r="S702" i="2"/>
  <c r="R702" i="2"/>
  <c r="AC702" i="2"/>
  <c r="K702" i="2"/>
  <c r="AF702" i="2"/>
  <c r="I702" i="2"/>
  <c r="U702" i="2"/>
  <c r="T702" i="2"/>
  <c r="M702" i="2"/>
  <c r="AK702" i="2"/>
  <c r="AJ702" i="2"/>
  <c r="AI702" i="2"/>
  <c r="AD702" i="2"/>
  <c r="AE702" i="2"/>
  <c r="AB702" i="2"/>
  <c r="V702" i="2"/>
  <c r="Z702" i="2"/>
  <c r="AM693" i="2"/>
  <c r="AM702" i="2"/>
  <c r="AM697" i="2"/>
  <c r="AM698" i="2"/>
  <c r="AM774" i="2"/>
  <c r="AM862" i="2"/>
  <c r="AM885" i="2" s="1"/>
  <c r="AM984" i="2" s="1"/>
  <c r="AM612" i="2"/>
  <c r="AM773" i="2" s="1"/>
  <c r="AM637" i="2"/>
  <c r="AM641" i="2" s="1"/>
  <c r="AM642" i="2" s="1"/>
  <c r="AM639" i="2"/>
  <c r="AM640" i="2" s="1"/>
  <c r="AM727" i="2"/>
  <c r="AM728" i="2" s="1"/>
  <c r="AM729" i="2" s="1"/>
  <c r="AM730" i="2" s="1"/>
  <c r="C682" i="2"/>
  <c r="AN570" i="2"/>
  <c r="AN594" i="2" s="1"/>
  <c r="AN806" i="2"/>
  <c r="AN827" i="2" s="1"/>
  <c r="BD743" i="2"/>
  <c r="E743" i="2" s="1"/>
  <c r="C739" i="2"/>
  <c r="AO893" i="2"/>
  <c r="AO565" i="2"/>
  <c r="BD627" i="2"/>
  <c r="BD548" i="2"/>
  <c r="C547" i="2"/>
  <c r="AN861" i="2"/>
  <c r="AN884" i="2" s="1"/>
  <c r="AN983" i="2" s="1"/>
  <c r="AO561" i="2"/>
  <c r="AP556" i="2" s="1"/>
  <c r="BD541" i="2"/>
  <c r="C541" i="2" s="1"/>
  <c r="C537" i="2"/>
  <c r="BD551" i="2"/>
  <c r="AZ544" i="2"/>
  <c r="AZ269" i="2"/>
  <c r="AY586" i="2"/>
  <c r="AY590" i="2" s="1"/>
  <c r="AY576" i="2"/>
  <c r="AL706" i="2" l="1"/>
  <c r="AM706" i="2"/>
  <c r="AE706" i="2"/>
  <c r="AG706" i="2"/>
  <c r="K706" i="2"/>
  <c r="T706" i="2"/>
  <c r="AK706" i="2"/>
  <c r="Q706" i="2"/>
  <c r="Z706" i="2"/>
  <c r="AD706" i="2"/>
  <c r="U706" i="2"/>
  <c r="AC706" i="2"/>
  <c r="H706" i="2"/>
  <c r="O706" i="2"/>
  <c r="X706" i="2"/>
  <c r="O707" i="2"/>
  <c r="W707" i="2"/>
  <c r="J707" i="2"/>
  <c r="S707" i="2"/>
  <c r="AJ707" i="2"/>
  <c r="AD707" i="2"/>
  <c r="R707" i="2"/>
  <c r="AA707" i="2"/>
  <c r="AL707" i="2"/>
  <c r="L707" i="2"/>
  <c r="I707" i="2"/>
  <c r="Z707" i="2"/>
  <c r="AI707" i="2"/>
  <c r="M707" i="2"/>
  <c r="AG707" i="2"/>
  <c r="AK707" i="2"/>
  <c r="AF707" i="2"/>
  <c r="AM707" i="2"/>
  <c r="N707" i="2"/>
  <c r="AB707" i="2"/>
  <c r="H707" i="2"/>
  <c r="Q707" i="2"/>
  <c r="AH707" i="2"/>
  <c r="U707" i="2"/>
  <c r="K707" i="2"/>
  <c r="V707" i="2"/>
  <c r="P707" i="2"/>
  <c r="Y707" i="2"/>
  <c r="AC707" i="2"/>
  <c r="X707" i="2"/>
  <c r="T707" i="2"/>
  <c r="M706" i="2"/>
  <c r="L706" i="2"/>
  <c r="W706" i="2"/>
  <c r="V706" i="2"/>
  <c r="I706" i="2"/>
  <c r="R706" i="2"/>
  <c r="AE707" i="2"/>
  <c r="J706" i="2"/>
  <c r="P706" i="2"/>
  <c r="AB706" i="2"/>
  <c r="AI706" i="2"/>
  <c r="AF706" i="2"/>
  <c r="AA706" i="2"/>
  <c r="S706" i="2"/>
  <c r="AH706" i="2"/>
  <c r="N706" i="2"/>
  <c r="AJ706" i="2"/>
  <c r="Y706" i="2"/>
  <c r="T703" i="2"/>
  <c r="T710" i="2" s="1"/>
  <c r="Q703" i="2"/>
  <c r="Q710" i="2" s="1"/>
  <c r="J703" i="2"/>
  <c r="J710" i="2" s="1"/>
  <c r="K703" i="2"/>
  <c r="K710" i="2" s="1"/>
  <c r="V703" i="2"/>
  <c r="V710" i="2" s="1"/>
  <c r="H703" i="2"/>
  <c r="H710" i="2" s="1"/>
  <c r="U703" i="2"/>
  <c r="U710" i="2" s="1"/>
  <c r="Z703" i="2"/>
  <c r="Z710" i="2" s="1"/>
  <c r="X703" i="2"/>
  <c r="X710" i="2" s="1"/>
  <c r="AI703" i="2"/>
  <c r="AI710" i="2" s="1"/>
  <c r="S703" i="2"/>
  <c r="S710" i="2" s="1"/>
  <c r="O703" i="2"/>
  <c r="O710" i="2" s="1"/>
  <c r="W703" i="2"/>
  <c r="W710" i="2" s="1"/>
  <c r="AJ703" i="2"/>
  <c r="AJ710" i="2" s="1"/>
  <c r="R703" i="2"/>
  <c r="R710" i="2" s="1"/>
  <c r="AK703" i="2"/>
  <c r="AK710" i="2" s="1"/>
  <c r="M703" i="2"/>
  <c r="M710" i="2" s="1"/>
  <c r="AE703" i="2"/>
  <c r="AE710" i="2" s="1"/>
  <c r="AH703" i="2"/>
  <c r="AH710" i="2" s="1"/>
  <c r="AD703" i="2"/>
  <c r="AD710" i="2" s="1"/>
  <c r="AA703" i="2"/>
  <c r="AA710" i="2" s="1"/>
  <c r="AM699" i="2"/>
  <c r="AB703" i="2"/>
  <c r="AB710" i="2" s="1"/>
  <c r="L703" i="2"/>
  <c r="L710" i="2" s="1"/>
  <c r="AF703" i="2"/>
  <c r="AF710" i="2" s="1"/>
  <c r="P703" i="2"/>
  <c r="P710" i="2" s="1"/>
  <c r="AL703" i="2"/>
  <c r="AL710" i="2" s="1"/>
  <c r="I703" i="2"/>
  <c r="I710" i="2" s="1"/>
  <c r="N703" i="2"/>
  <c r="N710" i="2" s="1"/>
  <c r="Y703" i="2"/>
  <c r="Y710" i="2" s="1"/>
  <c r="AC703" i="2"/>
  <c r="AC710" i="2" s="1"/>
  <c r="AG703" i="2"/>
  <c r="AG710" i="2" s="1"/>
  <c r="G707" i="2"/>
  <c r="AM803" i="2"/>
  <c r="AM824" i="2" s="1"/>
  <c r="AM703" i="2"/>
  <c r="AM710" i="2" s="1"/>
  <c r="AN634" i="2"/>
  <c r="AN635" i="2" s="1"/>
  <c r="AM638" i="2"/>
  <c r="AN603" i="2"/>
  <c r="AN604" i="2" s="1"/>
  <c r="AN862" i="2" s="1"/>
  <c r="AN885" i="2" s="1"/>
  <c r="AN984" i="2" s="1"/>
  <c r="AN691" i="2"/>
  <c r="AN692" i="2" s="1"/>
  <c r="AM643" i="2"/>
  <c r="AM644" i="2" s="1"/>
  <c r="AO566" i="2"/>
  <c r="AO567" i="2" s="1"/>
  <c r="AO806" i="2" s="1"/>
  <c r="AO827" i="2" s="1"/>
  <c r="G744" i="2"/>
  <c r="G766" i="2" s="1"/>
  <c r="H744" i="2"/>
  <c r="I744" i="2"/>
  <c r="J744" i="2"/>
  <c r="K744" i="2"/>
  <c r="L744" i="2"/>
  <c r="M744" i="2"/>
  <c r="N744" i="2"/>
  <c r="O744" i="2"/>
  <c r="P744" i="2"/>
  <c r="Q744" i="2"/>
  <c r="R744" i="2"/>
  <c r="S744" i="2"/>
  <c r="T744" i="2"/>
  <c r="U744" i="2"/>
  <c r="V744" i="2"/>
  <c r="W744" i="2"/>
  <c r="X744" i="2"/>
  <c r="Y744" i="2"/>
  <c r="Z744" i="2"/>
  <c r="AA744" i="2"/>
  <c r="AB744" i="2"/>
  <c r="AC744" i="2"/>
  <c r="AD744" i="2"/>
  <c r="AE744" i="2"/>
  <c r="AF744" i="2"/>
  <c r="AG744" i="2"/>
  <c r="AH744" i="2"/>
  <c r="AI744" i="2"/>
  <c r="AJ744" i="2"/>
  <c r="AK744" i="2"/>
  <c r="AL744" i="2"/>
  <c r="AM744" i="2"/>
  <c r="AN744" i="2"/>
  <c r="AO744" i="2"/>
  <c r="AP744" i="2"/>
  <c r="AQ744" i="2"/>
  <c r="AR744" i="2"/>
  <c r="AS744" i="2"/>
  <c r="AT744" i="2"/>
  <c r="AU744" i="2"/>
  <c r="AV744" i="2"/>
  <c r="AW744" i="2"/>
  <c r="AX744" i="2"/>
  <c r="AY744" i="2"/>
  <c r="AZ744" i="2"/>
  <c r="BA744" i="2"/>
  <c r="BB744" i="2"/>
  <c r="BC744" i="2"/>
  <c r="BD744" i="2"/>
  <c r="AZ552" i="2"/>
  <c r="BD797" i="2"/>
  <c r="C797" i="2" s="1"/>
  <c r="BD895" i="2"/>
  <c r="C551" i="2"/>
  <c r="BD553" i="2"/>
  <c r="C553" i="2" s="1"/>
  <c r="C548" i="2"/>
  <c r="C627" i="2"/>
  <c r="BD628" i="2"/>
  <c r="BD629" i="2" s="1"/>
  <c r="AP558" i="2"/>
  <c r="AP559" i="2" s="1"/>
  <c r="AO900" i="2"/>
  <c r="AO931" i="2" s="1"/>
  <c r="AO939" i="2" s="1"/>
  <c r="AO903" i="2"/>
  <c r="AO910" i="2" s="1"/>
  <c r="AZ545" i="2"/>
  <c r="BA540" i="2" s="1"/>
  <c r="AY896" i="2"/>
  <c r="AY906" i="2" s="1"/>
  <c r="AY579" i="2"/>
  <c r="AY580" i="2" s="1"/>
  <c r="AY581" i="2" s="1"/>
  <c r="AZ270" i="2"/>
  <c r="AY798" i="2"/>
  <c r="AY591" i="2"/>
  <c r="AY592" i="2" s="1"/>
  <c r="U711" i="2" l="1"/>
  <c r="U712" i="2" s="1"/>
  <c r="AE711" i="2"/>
  <c r="AE712" i="2" s="1"/>
  <c r="AE714" i="2" s="1"/>
  <c r="P711" i="2"/>
  <c r="P712" i="2" s="1"/>
  <c r="N711" i="2"/>
  <c r="N712" i="2" s="1"/>
  <c r="J711" i="2"/>
  <c r="J712" i="2" s="1"/>
  <c r="J714" i="2" s="1"/>
  <c r="V711" i="2"/>
  <c r="V712" i="2" s="1"/>
  <c r="AM711" i="2"/>
  <c r="AM712" i="2" s="1"/>
  <c r="L711" i="2"/>
  <c r="L712" i="2" s="1"/>
  <c r="W711" i="2"/>
  <c r="W712" i="2" s="1"/>
  <c r="K711" i="2"/>
  <c r="K712" i="2" s="1"/>
  <c r="AF711" i="2"/>
  <c r="AF712" i="2" s="1"/>
  <c r="AL711" i="2"/>
  <c r="AL712" i="2" s="1"/>
  <c r="O711" i="2"/>
  <c r="O712" i="2" s="1"/>
  <c r="I711" i="2"/>
  <c r="I712" i="2" s="1"/>
  <c r="G708" i="2"/>
  <c r="G711" i="2"/>
  <c r="AK711" i="2"/>
  <c r="AK712" i="2" s="1"/>
  <c r="AA711" i="2"/>
  <c r="AA712" i="2" s="1"/>
  <c r="T711" i="2"/>
  <c r="T712" i="2" s="1"/>
  <c r="AH711" i="2"/>
  <c r="AH712" i="2" s="1"/>
  <c r="AG711" i="2"/>
  <c r="AG712" i="2" s="1"/>
  <c r="R711" i="2"/>
  <c r="R712" i="2" s="1"/>
  <c r="X711" i="2"/>
  <c r="X712" i="2" s="1"/>
  <c r="Q711" i="2"/>
  <c r="Q712" i="2" s="1"/>
  <c r="M711" i="2"/>
  <c r="M712" i="2" s="1"/>
  <c r="AD711" i="2"/>
  <c r="AD712" i="2" s="1"/>
  <c r="AC711" i="2"/>
  <c r="AC712" i="2" s="1"/>
  <c r="H711" i="2"/>
  <c r="H712" i="2" s="1"/>
  <c r="AI711" i="2"/>
  <c r="AI712" i="2" s="1"/>
  <c r="AJ711" i="2"/>
  <c r="AJ712" i="2" s="1"/>
  <c r="Y711" i="2"/>
  <c r="Y712" i="2" s="1"/>
  <c r="AB711" i="2"/>
  <c r="AB712" i="2" s="1"/>
  <c r="Z711" i="2"/>
  <c r="Z712" i="2" s="1"/>
  <c r="S711" i="2"/>
  <c r="S712" i="2" s="1"/>
  <c r="AN612" i="2"/>
  <c r="AN803" i="2" s="1"/>
  <c r="AN824" i="2" s="1"/>
  <c r="K708" i="2"/>
  <c r="T708" i="2"/>
  <c r="X708" i="2"/>
  <c r="U708" i="2"/>
  <c r="N708" i="2"/>
  <c r="AI708" i="2"/>
  <c r="S708" i="2"/>
  <c r="AC708" i="2"/>
  <c r="AM708" i="2"/>
  <c r="Z708" i="2"/>
  <c r="AL708" i="2"/>
  <c r="J708" i="2"/>
  <c r="AE708" i="2"/>
  <c r="AF708" i="2"/>
  <c r="I708" i="2"/>
  <c r="W708" i="2"/>
  <c r="AH708" i="2"/>
  <c r="AK708" i="2"/>
  <c r="AA708" i="2"/>
  <c r="AJ708" i="2"/>
  <c r="Y708" i="2"/>
  <c r="Q708" i="2"/>
  <c r="AG708" i="2"/>
  <c r="R708" i="2"/>
  <c r="O708" i="2"/>
  <c r="P708" i="2"/>
  <c r="H708" i="2"/>
  <c r="V708" i="2"/>
  <c r="AB708" i="2"/>
  <c r="M708" i="2"/>
  <c r="L708" i="2"/>
  <c r="AD708" i="2"/>
  <c r="AO595" i="2"/>
  <c r="AO861" i="2" s="1"/>
  <c r="AO884" i="2" s="1"/>
  <c r="AO983" i="2" s="1"/>
  <c r="AN639" i="2"/>
  <c r="AN640" i="2" s="1"/>
  <c r="AN637" i="2"/>
  <c r="AN638" i="2" s="1"/>
  <c r="AN727" i="2"/>
  <c r="AN728" i="2" s="1"/>
  <c r="AN729" i="2" s="1"/>
  <c r="AN730" i="2" s="1"/>
  <c r="AN693" i="2"/>
  <c r="AN702" i="2"/>
  <c r="AN774" i="2"/>
  <c r="AN695" i="2"/>
  <c r="AN696" i="2" s="1"/>
  <c r="AN705" i="2" s="1"/>
  <c r="AO570" i="2"/>
  <c r="AO594" i="2" s="1"/>
  <c r="G768" i="2"/>
  <c r="E629" i="2"/>
  <c r="BD905" i="2"/>
  <c r="C905" i="2" s="1"/>
  <c r="C895" i="2"/>
  <c r="BA542" i="2"/>
  <c r="AP560" i="2"/>
  <c r="AP563" i="2" s="1"/>
  <c r="AZ586" i="2"/>
  <c r="AZ590" i="2" s="1"/>
  <c r="AZ576" i="2"/>
  <c r="AZ271" i="2"/>
  <c r="BA266" i="2" s="1"/>
  <c r="BA268" i="2" s="1"/>
  <c r="AY819" i="2"/>
  <c r="S714" i="2" l="1"/>
  <c r="X714" i="2"/>
  <c r="H714" i="2"/>
  <c r="M714" i="2"/>
  <c r="AI714" i="2"/>
  <c r="AC714" i="2"/>
  <c r="AK714" i="2"/>
  <c r="AB714" i="2"/>
  <c r="AL714" i="2"/>
  <c r="N714" i="2"/>
  <c r="AD714" i="2"/>
  <c r="AG714" i="2"/>
  <c r="O714" i="2"/>
  <c r="W714" i="2"/>
  <c r="R714" i="2"/>
  <c r="AH714" i="2"/>
  <c r="Z714" i="2"/>
  <c r="Q714" i="2"/>
  <c r="AF714" i="2"/>
  <c r="AM714" i="2"/>
  <c r="T714" i="2"/>
  <c r="Y714" i="2"/>
  <c r="U714" i="2"/>
  <c r="L714" i="2"/>
  <c r="G712" i="2"/>
  <c r="V714" i="2"/>
  <c r="I714" i="2"/>
  <c r="P714" i="2"/>
  <c r="AA714" i="2"/>
  <c r="AJ714" i="2"/>
  <c r="K714" i="2"/>
  <c r="AN773" i="2"/>
  <c r="AO634" i="2"/>
  <c r="AO635" i="2" s="1"/>
  <c r="AN706" i="2"/>
  <c r="AN707" i="2"/>
  <c r="AN641" i="2"/>
  <c r="AN642" i="2" s="1"/>
  <c r="AN643" i="2"/>
  <c r="AN644" i="2" s="1"/>
  <c r="AN703" i="2"/>
  <c r="AN710" i="2" s="1"/>
  <c r="AO691" i="2"/>
  <c r="AO692" i="2" s="1"/>
  <c r="AO603" i="2"/>
  <c r="AO604" i="2" s="1"/>
  <c r="AO774" i="2" s="1"/>
  <c r="AN697" i="2"/>
  <c r="AN698" i="2"/>
  <c r="AN699" i="2" s="1"/>
  <c r="G769" i="2"/>
  <c r="H748" i="2"/>
  <c r="H749" i="2" s="1"/>
  <c r="H753" i="2" s="1"/>
  <c r="AT630" i="2"/>
  <c r="AT631" i="2" s="1"/>
  <c r="AT1236" i="2" s="1"/>
  <c r="BA630" i="2"/>
  <c r="BA631" i="2" s="1"/>
  <c r="BA1236" i="2" s="1"/>
  <c r="H659" i="2"/>
  <c r="BD659" i="2"/>
  <c r="AK659" i="2"/>
  <c r="H630" i="2"/>
  <c r="H631" i="2" s="1"/>
  <c r="AH630" i="2"/>
  <c r="AH631" i="2" s="1"/>
  <c r="AU659" i="2"/>
  <c r="BB659" i="2"/>
  <c r="N630" i="2"/>
  <c r="N631" i="2" s="1"/>
  <c r="P630" i="2"/>
  <c r="P631" i="2" s="1"/>
  <c r="AY630" i="2"/>
  <c r="AY631" i="2" s="1"/>
  <c r="AY1238" i="2" s="1"/>
  <c r="AA630" i="2"/>
  <c r="AA631" i="2" s="1"/>
  <c r="AM659" i="2"/>
  <c r="AS630" i="2"/>
  <c r="AS631" i="2" s="1"/>
  <c r="AS1238" i="2" s="1"/>
  <c r="AP630" i="2"/>
  <c r="AP631" i="2" s="1"/>
  <c r="AP1239" i="2" s="1"/>
  <c r="AE630" i="2"/>
  <c r="AE631" i="2" s="1"/>
  <c r="AI630" i="2"/>
  <c r="AI631" i="2" s="1"/>
  <c r="AM630" i="2"/>
  <c r="AM631" i="2" s="1"/>
  <c r="AM1237" i="2" s="1"/>
  <c r="AN659" i="2"/>
  <c r="BC659" i="2"/>
  <c r="K630" i="2"/>
  <c r="K631" i="2" s="1"/>
  <c r="AQ630" i="2"/>
  <c r="AQ631" i="2" s="1"/>
  <c r="AQ1236" i="2" s="1"/>
  <c r="I659" i="2"/>
  <c r="AR659" i="2"/>
  <c r="G630" i="2"/>
  <c r="AO630" i="2"/>
  <c r="AO631" i="2" s="1"/>
  <c r="AK630" i="2"/>
  <c r="AK631" i="2" s="1"/>
  <c r="AD630" i="2"/>
  <c r="AD631" i="2" s="1"/>
  <c r="AJ630" i="2"/>
  <c r="AJ631" i="2" s="1"/>
  <c r="BA659" i="2"/>
  <c r="BB630" i="2"/>
  <c r="BB631" i="2" s="1"/>
  <c r="BB1236" i="2" s="1"/>
  <c r="Q630" i="2"/>
  <c r="Q631" i="2" s="1"/>
  <c r="AZ630" i="2"/>
  <c r="AZ631" i="2" s="1"/>
  <c r="AZ1237" i="2" s="1"/>
  <c r="AL659" i="2"/>
  <c r="J659" i="2"/>
  <c r="AL630" i="2"/>
  <c r="AL631" i="2" s="1"/>
  <c r="AG630" i="2"/>
  <c r="AG631" i="2" s="1"/>
  <c r="T630" i="2"/>
  <c r="T631" i="2" s="1"/>
  <c r="AV659" i="2"/>
  <c r="AQ659" i="2"/>
  <c r="BC630" i="2"/>
  <c r="BC631" i="2" s="1"/>
  <c r="BC1237" i="2" s="1"/>
  <c r="Y630" i="2"/>
  <c r="Y631" i="2" s="1"/>
  <c r="AO659" i="2"/>
  <c r="AZ659" i="2"/>
  <c r="AE659" i="2"/>
  <c r="M630" i="2"/>
  <c r="M631" i="2" s="1"/>
  <c r="BD630" i="2"/>
  <c r="BD631" i="2" s="1"/>
  <c r="BD1236" i="2" s="1"/>
  <c r="V630" i="2"/>
  <c r="V631" i="2" s="1"/>
  <c r="I630" i="2"/>
  <c r="I631" i="2" s="1"/>
  <c r="AB659" i="2"/>
  <c r="AW630" i="2"/>
  <c r="AW631" i="2" s="1"/>
  <c r="AW1238" i="2" s="1"/>
  <c r="Z630" i="2"/>
  <c r="Z631" i="2" s="1"/>
  <c r="AN630" i="2"/>
  <c r="AN631" i="2" s="1"/>
  <c r="AN652" i="2" s="1"/>
  <c r="AN665" i="2" s="1"/>
  <c r="AT659" i="2"/>
  <c r="AC659" i="2"/>
  <c r="AY659" i="2"/>
  <c r="AV630" i="2"/>
  <c r="AV631" i="2" s="1"/>
  <c r="AV1236" i="2" s="1"/>
  <c r="R630" i="2"/>
  <c r="R631" i="2" s="1"/>
  <c r="AX630" i="2"/>
  <c r="AX631" i="2" s="1"/>
  <c r="AX1239" i="2" s="1"/>
  <c r="G659" i="2"/>
  <c r="X630" i="2"/>
  <c r="X631" i="2" s="1"/>
  <c r="AU630" i="2"/>
  <c r="AU631" i="2" s="1"/>
  <c r="AU1238" i="2" s="1"/>
  <c r="O630" i="2"/>
  <c r="O631" i="2" s="1"/>
  <c r="AW659" i="2"/>
  <c r="W630" i="2"/>
  <c r="W631" i="2" s="1"/>
  <c r="AC630" i="2"/>
  <c r="AC631" i="2" s="1"/>
  <c r="S630" i="2"/>
  <c r="S631" i="2" s="1"/>
  <c r="AJ659" i="2"/>
  <c r="AR630" i="2"/>
  <c r="AR631" i="2" s="1"/>
  <c r="AR1236" i="2" s="1"/>
  <c r="AB630" i="2"/>
  <c r="AB631" i="2" s="1"/>
  <c r="U630" i="2"/>
  <c r="U631" i="2" s="1"/>
  <c r="AF630" i="2"/>
  <c r="AF631" i="2" s="1"/>
  <c r="AS659" i="2"/>
  <c r="AP659" i="2"/>
  <c r="J630" i="2"/>
  <c r="J631" i="2" s="1"/>
  <c r="L630" i="2"/>
  <c r="L631" i="2" s="1"/>
  <c r="AD659" i="2"/>
  <c r="AX659" i="2"/>
  <c r="AP561" i="2"/>
  <c r="AQ556" i="2" s="1"/>
  <c r="AP565" i="2"/>
  <c r="AP893" i="2"/>
  <c r="BA544" i="2"/>
  <c r="BA545" i="2" s="1"/>
  <c r="BB540" i="2" s="1"/>
  <c r="BA269" i="2"/>
  <c r="AZ896" i="2"/>
  <c r="AZ906" i="2" s="1"/>
  <c r="AZ579" i="2"/>
  <c r="AZ580" i="2" s="1"/>
  <c r="AZ581" i="2" s="1"/>
  <c r="AZ798" i="2"/>
  <c r="AZ591" i="2"/>
  <c r="AZ592" i="2" s="1"/>
  <c r="G864" i="2" l="1"/>
  <c r="G887" i="2" s="1"/>
  <c r="G986" i="2" s="1"/>
  <c r="G988" i="2" s="1"/>
  <c r="G1029" i="2" s="1"/>
  <c r="G1085" i="2" s="1"/>
  <c r="G799" i="2"/>
  <c r="G820" i="2" s="1"/>
  <c r="G828" i="2" s="1"/>
  <c r="G831" i="2" s="1"/>
  <c r="G777" i="2"/>
  <c r="G776" i="2"/>
  <c r="H761" i="2" s="1"/>
  <c r="G714" i="2"/>
  <c r="J715" i="2" s="1"/>
  <c r="J716" i="2" s="1"/>
  <c r="AN711" i="2"/>
  <c r="AN712" i="2" s="1"/>
  <c r="AO647" i="2"/>
  <c r="AO862" i="2"/>
  <c r="AO885" i="2" s="1"/>
  <c r="AO984" i="2" s="1"/>
  <c r="AO612" i="2"/>
  <c r="AO803" i="2" s="1"/>
  <c r="AO824" i="2" s="1"/>
  <c r="AO637" i="2"/>
  <c r="AO641" i="2" s="1"/>
  <c r="AO642" i="2" s="1"/>
  <c r="AO727" i="2"/>
  <c r="AO728" i="2" s="1"/>
  <c r="AO729" i="2" s="1"/>
  <c r="AO730" i="2" s="1"/>
  <c r="AN708" i="2"/>
  <c r="AO693" i="2"/>
  <c r="AO702" i="2"/>
  <c r="AO639" i="2"/>
  <c r="AO652" i="2" s="1"/>
  <c r="AO653" i="2" s="1"/>
  <c r="AO695" i="2"/>
  <c r="AO696" i="2" s="1"/>
  <c r="AO705" i="2" s="1"/>
  <c r="AP566" i="2"/>
  <c r="AP567" i="2" s="1"/>
  <c r="AP570" i="2" s="1"/>
  <c r="AP594" i="2" s="1"/>
  <c r="G770" i="2"/>
  <c r="H755" i="2"/>
  <c r="H754" i="2"/>
  <c r="H760" i="2"/>
  <c r="U1238" i="2"/>
  <c r="V1237" i="2"/>
  <c r="Q1238" i="2"/>
  <c r="AE650" i="2"/>
  <c r="AE664" i="2" s="1"/>
  <c r="AB647" i="2"/>
  <c r="O1236" i="2"/>
  <c r="L1236" i="2"/>
  <c r="X1236" i="2"/>
  <c r="AG650" i="2"/>
  <c r="AG664" i="2" s="1"/>
  <c r="AJ652" i="2"/>
  <c r="AJ665" i="2" s="1"/>
  <c r="K1238" i="2"/>
  <c r="H652" i="2"/>
  <c r="H665" i="2" s="1"/>
  <c r="J650" i="2"/>
  <c r="J664" i="2" s="1"/>
  <c r="S652" i="2"/>
  <c r="S665" i="2" s="1"/>
  <c r="Z1237" i="2"/>
  <c r="AL650" i="2"/>
  <c r="AL664" i="2" s="1"/>
  <c r="AD647" i="2"/>
  <c r="AA1237" i="2"/>
  <c r="M652" i="2"/>
  <c r="M665" i="2" s="1"/>
  <c r="AH1238" i="2"/>
  <c r="W1236" i="2"/>
  <c r="R652" i="2"/>
  <c r="R665" i="2" s="1"/>
  <c r="Y1238" i="2"/>
  <c r="P1237" i="2"/>
  <c r="T650" i="2"/>
  <c r="T664" i="2" s="1"/>
  <c r="AC1238" i="2"/>
  <c r="AK650" i="2"/>
  <c r="AK664" i="2" s="1"/>
  <c r="AF650" i="2"/>
  <c r="AF664" i="2" s="1"/>
  <c r="I1236" i="2"/>
  <c r="AI647" i="2"/>
  <c r="N647" i="2"/>
  <c r="AE1237" i="2"/>
  <c r="Q647" i="2"/>
  <c r="BD1238" i="2"/>
  <c r="BA1238" i="2"/>
  <c r="O652" i="2"/>
  <c r="O665" i="2" s="1"/>
  <c r="O650" i="2"/>
  <c r="O664" i="2" s="1"/>
  <c r="BA1239" i="2"/>
  <c r="N650" i="2"/>
  <c r="N664" i="2" s="1"/>
  <c r="AF652" i="2"/>
  <c r="AF665" i="2" s="1"/>
  <c r="AP1238" i="2"/>
  <c r="AF647" i="2"/>
  <c r="I650" i="2"/>
  <c r="I664" i="2" s="1"/>
  <c r="AB1238" i="2"/>
  <c r="O1238" i="2"/>
  <c r="AB1237" i="2"/>
  <c r="BD1239" i="2"/>
  <c r="AV1239" i="2"/>
  <c r="AI1237" i="2"/>
  <c r="BC1236" i="2"/>
  <c r="I1238" i="2"/>
  <c r="Q1237" i="2"/>
  <c r="AI1239" i="2"/>
  <c r="AE652" i="2"/>
  <c r="AF1238" i="2"/>
  <c r="N1238" i="2"/>
  <c r="AP1237" i="2"/>
  <c r="O647" i="2"/>
  <c r="I652" i="2"/>
  <c r="I665" i="2" s="1"/>
  <c r="BD1237" i="2"/>
  <c r="BA1237" i="2"/>
  <c r="AZ1236" i="2"/>
  <c r="AB650" i="2"/>
  <c r="N1237" i="2"/>
  <c r="AP1236" i="2"/>
  <c r="O1237" i="2"/>
  <c r="I1237" i="2"/>
  <c r="AF1236" i="2"/>
  <c r="N1236" i="2"/>
  <c r="AV1238" i="2"/>
  <c r="I647" i="2"/>
  <c r="BC1239" i="2"/>
  <c r="AZ1238" i="2"/>
  <c r="BB1237" i="2"/>
  <c r="AI650" i="2"/>
  <c r="AI664" i="2" s="1"/>
  <c r="U652" i="2"/>
  <c r="U665" i="2" s="1"/>
  <c r="AB1236" i="2"/>
  <c r="N652" i="2"/>
  <c r="AV1237" i="2"/>
  <c r="BC1238" i="2"/>
  <c r="Q652" i="2"/>
  <c r="AI1236" i="2"/>
  <c r="AE1236" i="2"/>
  <c r="BB1239" i="2"/>
  <c r="AI1238" i="2"/>
  <c r="AF1237" i="2"/>
  <c r="AZ1239" i="2"/>
  <c r="BB1238" i="2"/>
  <c r="AI652" i="2"/>
  <c r="AB652" i="2"/>
  <c r="AB665" i="2" s="1"/>
  <c r="U1237" i="2"/>
  <c r="V650" i="2"/>
  <c r="V664" i="2" s="1"/>
  <c r="Q1236" i="2"/>
  <c r="U1236" i="2"/>
  <c r="V1236" i="2"/>
  <c r="Q650" i="2"/>
  <c r="Q664" i="2" s="1"/>
  <c r="V647" i="2"/>
  <c r="AE647" i="2"/>
  <c r="V1238" i="2"/>
  <c r="V652" i="2"/>
  <c r="V665" i="2" s="1"/>
  <c r="U650" i="2"/>
  <c r="U664" i="2" s="1"/>
  <c r="AE1238" i="2"/>
  <c r="U647" i="2"/>
  <c r="AH1237" i="2"/>
  <c r="AT1239" i="2"/>
  <c r="AR1238" i="2"/>
  <c r="M647" i="2"/>
  <c r="AQ1239" i="2"/>
  <c r="AT1238" i="2"/>
  <c r="AU1236" i="2"/>
  <c r="AT1237" i="2"/>
  <c r="AS1239" i="2"/>
  <c r="AD1236" i="2"/>
  <c r="Z650" i="2"/>
  <c r="Z664" i="2" s="1"/>
  <c r="Z1236" i="2"/>
  <c r="W650" i="2"/>
  <c r="W664" i="2" s="1"/>
  <c r="X650" i="2"/>
  <c r="X664" i="2" s="1"/>
  <c r="L652" i="2"/>
  <c r="L1238" i="2"/>
  <c r="H650" i="2"/>
  <c r="H664" i="2" s="1"/>
  <c r="Z647" i="2"/>
  <c r="AL647" i="2"/>
  <c r="J647" i="2"/>
  <c r="AL1239" i="2"/>
  <c r="AG1238" i="2"/>
  <c r="AL1238" i="2"/>
  <c r="AJ647" i="2"/>
  <c r="H1236" i="2"/>
  <c r="X652" i="2"/>
  <c r="X665" i="2" s="1"/>
  <c r="K1236" i="2"/>
  <c r="S650" i="2"/>
  <c r="S664" i="2" s="1"/>
  <c r="AA650" i="2"/>
  <c r="AN650" i="2"/>
  <c r="AN664" i="2" s="1"/>
  <c r="AG652" i="2"/>
  <c r="AG665" i="2" s="1"/>
  <c r="AJ1238" i="2"/>
  <c r="AD1237" i="2"/>
  <c r="AA1236" i="2"/>
  <c r="AN647" i="2"/>
  <c r="Y1236" i="2"/>
  <c r="P652" i="2"/>
  <c r="P665" i="2" s="1"/>
  <c r="P647" i="2"/>
  <c r="AM1239" i="2"/>
  <c r="G631" i="2"/>
  <c r="AX1237" i="2"/>
  <c r="AC1237" i="2"/>
  <c r="AK1238" i="2"/>
  <c r="Y1237" i="2"/>
  <c r="AR1237" i="2"/>
  <c r="T1236" i="2"/>
  <c r="H647" i="2"/>
  <c r="M1237" i="2"/>
  <c r="T652" i="2"/>
  <c r="T665" i="2" s="1"/>
  <c r="AD652" i="2"/>
  <c r="AD665" i="2" s="1"/>
  <c r="K652" i="2"/>
  <c r="J1238" i="2"/>
  <c r="H1238" i="2"/>
  <c r="S1237" i="2"/>
  <c r="AS1236" i="2"/>
  <c r="AH650" i="2"/>
  <c r="AA1238" i="2"/>
  <c r="AU1237" i="2"/>
  <c r="R647" i="2"/>
  <c r="AN1238" i="2"/>
  <c r="T1238" i="2"/>
  <c r="AG647" i="2"/>
  <c r="AL1237" i="2"/>
  <c r="AU1239" i="2"/>
  <c r="AS1237" i="2"/>
  <c r="AJ1237" i="2"/>
  <c r="S647" i="2"/>
  <c r="AJ650" i="2"/>
  <c r="AJ664" i="2" s="1"/>
  <c r="AD650" i="2"/>
  <c r="AD664" i="2" s="1"/>
  <c r="AQ1238" i="2"/>
  <c r="K647" i="2"/>
  <c r="L650" i="2"/>
  <c r="L664" i="2" s="1"/>
  <c r="J1236" i="2"/>
  <c r="S1236" i="2"/>
  <c r="AH647" i="2"/>
  <c r="AA652" i="2"/>
  <c r="AA665" i="2" s="1"/>
  <c r="X1238" i="2"/>
  <c r="AN1236" i="2"/>
  <c r="M1236" i="2"/>
  <c r="T1237" i="2"/>
  <c r="AH652" i="2"/>
  <c r="AH665" i="2" s="1"/>
  <c r="AJ1239" i="2"/>
  <c r="AH1236" i="2"/>
  <c r="AN1239" i="2"/>
  <c r="AG1237" i="2"/>
  <c r="K650" i="2"/>
  <c r="K664" i="2" s="1"/>
  <c r="J1237" i="2"/>
  <c r="X647" i="2"/>
  <c r="AN1237" i="2"/>
  <c r="AG1236" i="2"/>
  <c r="AD1238" i="2"/>
  <c r="AQ1237" i="2"/>
  <c r="K1237" i="2"/>
  <c r="L647" i="2"/>
  <c r="J652" i="2"/>
  <c r="J665" i="2" s="1"/>
  <c r="H1237" i="2"/>
  <c r="AR1239" i="2"/>
  <c r="S1238" i="2"/>
  <c r="AA647" i="2"/>
  <c r="X1237" i="2"/>
  <c r="Z652" i="2"/>
  <c r="Z665" i="2" s="1"/>
  <c r="M650" i="2"/>
  <c r="M664" i="2" s="1"/>
  <c r="T647" i="2"/>
  <c r="AL652" i="2"/>
  <c r="AL665" i="2" s="1"/>
  <c r="M1238" i="2"/>
  <c r="L1237" i="2"/>
  <c r="AH1239" i="2"/>
  <c r="Z1238" i="2"/>
  <c r="AL1236" i="2"/>
  <c r="AJ1236" i="2"/>
  <c r="AK1239" i="2"/>
  <c r="AM1236" i="2"/>
  <c r="AC647" i="2"/>
  <c r="P1236" i="2"/>
  <c r="AX1238" i="2"/>
  <c r="R1236" i="2"/>
  <c r="Y647" i="2"/>
  <c r="AX1236" i="2"/>
  <c r="AO1238" i="2"/>
  <c r="AM652" i="2"/>
  <c r="AM665" i="2" s="1"/>
  <c r="AC650" i="2"/>
  <c r="W652" i="2"/>
  <c r="W665" i="2" s="1"/>
  <c r="AY1237" i="2"/>
  <c r="P650" i="2"/>
  <c r="P664" i="2" s="1"/>
  <c r="AW1237" i="2"/>
  <c r="AK1236" i="2"/>
  <c r="AM650" i="2"/>
  <c r="AM664" i="2" s="1"/>
  <c r="AC1236" i="2"/>
  <c r="W647" i="2"/>
  <c r="AY1236" i="2"/>
  <c r="P1238" i="2"/>
  <c r="R1238" i="2"/>
  <c r="AW1236" i="2"/>
  <c r="AK652" i="2"/>
  <c r="AO1236" i="2"/>
  <c r="AM647" i="2"/>
  <c r="AC652" i="2"/>
  <c r="AC665" i="2" s="1"/>
  <c r="W1238" i="2"/>
  <c r="AY1239" i="2"/>
  <c r="R650" i="2"/>
  <c r="R664" i="2" s="1"/>
  <c r="AW1239" i="2"/>
  <c r="Y652" i="2"/>
  <c r="Y665" i="2" s="1"/>
  <c r="AO1237" i="2"/>
  <c r="AK647" i="2"/>
  <c r="AO1239" i="2"/>
  <c r="AM1238" i="2"/>
  <c r="W1237" i="2"/>
  <c r="R1237" i="2"/>
  <c r="Y650" i="2"/>
  <c r="Y664" i="2" s="1"/>
  <c r="AK1237" i="2"/>
  <c r="BB542" i="2"/>
  <c r="AP900" i="2"/>
  <c r="AP931" i="2" s="1"/>
  <c r="AP939" i="2" s="1"/>
  <c r="AP903" i="2"/>
  <c r="AP910" i="2" s="1"/>
  <c r="BA552" i="2"/>
  <c r="AQ558" i="2"/>
  <c r="AQ559" i="2" s="1"/>
  <c r="BA270" i="2"/>
  <c r="AZ819" i="2"/>
  <c r="G837" i="2" l="1"/>
  <c r="G838" i="2" s="1"/>
  <c r="G889" i="2"/>
  <c r="G890" i="2" s="1"/>
  <c r="G866" i="2"/>
  <c r="G867" i="2" s="1"/>
  <c r="G807" i="2"/>
  <c r="G810" i="2" s="1"/>
  <c r="AN714" i="2"/>
  <c r="G715" i="2"/>
  <c r="G716" i="2" s="1"/>
  <c r="Z715" i="2"/>
  <c r="Z716" i="2" s="1"/>
  <c r="V715" i="2"/>
  <c r="V716" i="2" s="1"/>
  <c r="AM715" i="2"/>
  <c r="AM716" i="2" s="1"/>
  <c r="AC715" i="2"/>
  <c r="AC716" i="2" s="1"/>
  <c r="H715" i="2"/>
  <c r="H716" i="2" s="1"/>
  <c r="AA715" i="2"/>
  <c r="AA716" i="2" s="1"/>
  <c r="AH715" i="2"/>
  <c r="AH716" i="2" s="1"/>
  <c r="L715" i="2"/>
  <c r="L716" i="2" s="1"/>
  <c r="M715" i="2"/>
  <c r="M716" i="2" s="1"/>
  <c r="AD715" i="2"/>
  <c r="AD716" i="2" s="1"/>
  <c r="AB715" i="2"/>
  <c r="AB716" i="2" s="1"/>
  <c r="AJ715" i="2"/>
  <c r="AJ716" i="2" s="1"/>
  <c r="P715" i="2"/>
  <c r="P716" i="2" s="1"/>
  <c r="R715" i="2"/>
  <c r="R716" i="2" s="1"/>
  <c r="AN715" i="2"/>
  <c r="AN716" i="2" s="1"/>
  <c r="K715" i="2"/>
  <c r="K716" i="2" s="1"/>
  <c r="T715" i="2"/>
  <c r="T716" i="2" s="1"/>
  <c r="U715" i="2"/>
  <c r="U716" i="2" s="1"/>
  <c r="AL715" i="2"/>
  <c r="AL716" i="2" s="1"/>
  <c r="I715" i="2"/>
  <c r="I716" i="2" s="1"/>
  <c r="S715" i="2"/>
  <c r="S716" i="2" s="1"/>
  <c r="Q715" i="2"/>
  <c r="Q716" i="2" s="1"/>
  <c r="AK715" i="2"/>
  <c r="AK716" i="2" s="1"/>
  <c r="Y715" i="2"/>
  <c r="Y716" i="2" s="1"/>
  <c r="AE715" i="2"/>
  <c r="AE716" i="2" s="1"/>
  <c r="AI715" i="2"/>
  <c r="AI716" i="2" s="1"/>
  <c r="O715" i="2"/>
  <c r="O716" i="2" s="1"/>
  <c r="X715" i="2"/>
  <c r="X716" i="2" s="1"/>
  <c r="AG715" i="2"/>
  <c r="AG716" i="2" s="1"/>
  <c r="W715" i="2"/>
  <c r="W716" i="2" s="1"/>
  <c r="AF715" i="2"/>
  <c r="AF716" i="2" s="1"/>
  <c r="N715" i="2"/>
  <c r="N716" i="2" s="1"/>
  <c r="AO773" i="2"/>
  <c r="AO650" i="2"/>
  <c r="AO651" i="2" s="1"/>
  <c r="AO660" i="2" s="1"/>
  <c r="AO661" i="2" s="1"/>
  <c r="AO668" i="2" s="1"/>
  <c r="AO638" i="2"/>
  <c r="AO706" i="2"/>
  <c r="AO707" i="2"/>
  <c r="AP806" i="2"/>
  <c r="AP827" i="2" s="1"/>
  <c r="AP595" i="2"/>
  <c r="AP861" i="2" s="1"/>
  <c r="AP884" i="2" s="1"/>
  <c r="AP983" i="2" s="1"/>
  <c r="AO703" i="2"/>
  <c r="AO710" i="2" s="1"/>
  <c r="AO697" i="2"/>
  <c r="AO698" i="2"/>
  <c r="AO699" i="2" s="1"/>
  <c r="AO640" i="2"/>
  <c r="AO643" i="2"/>
  <c r="AO644" i="2" s="1"/>
  <c r="T653" i="2"/>
  <c r="H762" i="2"/>
  <c r="H756" i="2"/>
  <c r="AE651" i="2"/>
  <c r="AE660" i="2" s="1"/>
  <c r="AE661" i="2" s="1"/>
  <c r="AE668" i="2" s="1"/>
  <c r="AG651" i="2"/>
  <c r="AG660" i="2" s="1"/>
  <c r="H653" i="2"/>
  <c r="AJ653" i="2"/>
  <c r="N653" i="2"/>
  <c r="AF651" i="2"/>
  <c r="AF660" i="2" s="1"/>
  <c r="AF661" i="2" s="1"/>
  <c r="AF668" i="2" s="1"/>
  <c r="AB651" i="2"/>
  <c r="AB660" i="2" s="1"/>
  <c r="AB661" i="2" s="1"/>
  <c r="AB668" i="2" s="1"/>
  <c r="J651" i="2"/>
  <c r="J660" i="2" s="1"/>
  <c r="J661" i="2" s="1"/>
  <c r="J668" i="2" s="1"/>
  <c r="AK651" i="2"/>
  <c r="AK660" i="2" s="1"/>
  <c r="AK661" i="2" s="1"/>
  <c r="AK668" i="2" s="1"/>
  <c r="M653" i="2"/>
  <c r="AL651" i="2"/>
  <c r="AL660" i="2" s="1"/>
  <c r="AL661" i="2" s="1"/>
  <c r="AL668" i="2" s="1"/>
  <c r="S653" i="2"/>
  <c r="AI653" i="2"/>
  <c r="Q653" i="2"/>
  <c r="O653" i="2"/>
  <c r="N651" i="2"/>
  <c r="N660" i="2" s="1"/>
  <c r="AI665" i="2"/>
  <c r="O651" i="2"/>
  <c r="O660" i="2" s="1"/>
  <c r="I651" i="2"/>
  <c r="I660" i="2" s="1"/>
  <c r="I661" i="2" s="1"/>
  <c r="I668" i="2" s="1"/>
  <c r="V651" i="2"/>
  <c r="V660" i="2" s="1"/>
  <c r="Z653" i="2"/>
  <c r="AF653" i="2"/>
  <c r="Q665" i="2"/>
  <c r="AB653" i="2"/>
  <c r="AI651" i="2"/>
  <c r="AI660" i="2" s="1"/>
  <c r="AI661" i="2" s="1"/>
  <c r="AI668" i="2" s="1"/>
  <c r="N665" i="2"/>
  <c r="AE653" i="2"/>
  <c r="U651" i="2"/>
  <c r="U660" i="2" s="1"/>
  <c r="U653" i="2"/>
  <c r="AB664" i="2"/>
  <c r="I653" i="2"/>
  <c r="AE665" i="2"/>
  <c r="X651" i="2"/>
  <c r="X660" i="2" s="1"/>
  <c r="V653" i="2"/>
  <c r="Q651" i="2"/>
  <c r="Q660" i="2" s="1"/>
  <c r="Z651" i="2"/>
  <c r="Z660" i="2" s="1"/>
  <c r="Z661" i="2" s="1"/>
  <c r="Z668" i="2" s="1"/>
  <c r="P651" i="2"/>
  <c r="P660" i="2" s="1"/>
  <c r="AG653" i="2"/>
  <c r="H651" i="2"/>
  <c r="H660" i="2" s="1"/>
  <c r="H661" i="2" s="1"/>
  <c r="H668" i="2" s="1"/>
  <c r="AD651" i="2"/>
  <c r="AD660" i="2" s="1"/>
  <c r="AD661" i="2" s="1"/>
  <c r="AD668" i="2" s="1"/>
  <c r="AA653" i="2"/>
  <c r="L653" i="2"/>
  <c r="AA651" i="2"/>
  <c r="AA660" i="2" s="1"/>
  <c r="AA661" i="2" s="1"/>
  <c r="AA668" i="2" s="1"/>
  <c r="AO665" i="2"/>
  <c r="L665" i="2"/>
  <c r="AJ651" i="2"/>
  <c r="AJ660" i="2" s="1"/>
  <c r="AJ661" i="2" s="1"/>
  <c r="AJ668" i="2" s="1"/>
  <c r="AA664" i="2"/>
  <c r="AH651" i="2"/>
  <c r="AH660" i="2" s="1"/>
  <c r="AN651" i="2"/>
  <c r="AN660" i="2" s="1"/>
  <c r="AN661" i="2" s="1"/>
  <c r="AN668" i="2" s="1"/>
  <c r="AL653" i="2"/>
  <c r="AK653" i="2"/>
  <c r="S651" i="2"/>
  <c r="S660" i="2" s="1"/>
  <c r="AN653" i="2"/>
  <c r="L651" i="2"/>
  <c r="L660" i="2" s="1"/>
  <c r="AM651" i="2"/>
  <c r="AM660" i="2" s="1"/>
  <c r="AM661" i="2" s="1"/>
  <c r="AM668" i="2" s="1"/>
  <c r="AH664" i="2"/>
  <c r="J653" i="2"/>
  <c r="T651" i="2"/>
  <c r="T660" i="2" s="1"/>
  <c r="AK665" i="2"/>
  <c r="AD653" i="2"/>
  <c r="K651" i="2"/>
  <c r="K660" i="2" s="1"/>
  <c r="M651" i="2"/>
  <c r="M660" i="2" s="1"/>
  <c r="P653" i="2"/>
  <c r="AM653" i="2"/>
  <c r="X653" i="2"/>
  <c r="W653" i="2"/>
  <c r="G652" i="2"/>
  <c r="G1236" i="2"/>
  <c r="C1236" i="2" s="1"/>
  <c r="G1237" i="2"/>
  <c r="C1237" i="2" s="1"/>
  <c r="G1239" i="2"/>
  <c r="G1238" i="2"/>
  <c r="C1238" i="2" s="1"/>
  <c r="G647" i="2"/>
  <c r="G650" i="2"/>
  <c r="AH653" i="2"/>
  <c r="K653" i="2"/>
  <c r="K665" i="2"/>
  <c r="R651" i="2"/>
  <c r="R660" i="2" s="1"/>
  <c r="W651" i="2"/>
  <c r="W660" i="2" s="1"/>
  <c r="W661" i="2" s="1"/>
  <c r="W668" i="2" s="1"/>
  <c r="R653" i="2"/>
  <c r="AC651" i="2"/>
  <c r="AC660" i="2" s="1"/>
  <c r="AC661" i="2" s="1"/>
  <c r="AC668" i="2" s="1"/>
  <c r="AC653" i="2"/>
  <c r="AC664" i="2"/>
  <c r="Y651" i="2"/>
  <c r="Y660" i="2" s="1"/>
  <c r="Y661" i="2" s="1"/>
  <c r="Y668" i="2" s="1"/>
  <c r="Y653" i="2"/>
  <c r="AP603" i="2"/>
  <c r="AP604" i="2" s="1"/>
  <c r="AP774" i="2" s="1"/>
  <c r="AQ560" i="2"/>
  <c r="AQ563" i="2" s="1"/>
  <c r="BB544" i="2"/>
  <c r="BB545" i="2" s="1"/>
  <c r="BC540" i="2" s="1"/>
  <c r="BA576" i="2"/>
  <c r="BA586" i="2"/>
  <c r="BA590" i="2" s="1"/>
  <c r="BA271" i="2"/>
  <c r="BB266" i="2" s="1"/>
  <c r="BB268" i="2" s="1"/>
  <c r="G929" i="2" l="1"/>
  <c r="G937" i="2" s="1"/>
  <c r="G942" i="2" s="1"/>
  <c r="G842" i="2"/>
  <c r="G843" i="2" s="1"/>
  <c r="G928" i="2"/>
  <c r="G936" i="2" s="1"/>
  <c r="G913" i="2"/>
  <c r="G920" i="2" s="1"/>
  <c r="G922" i="2" s="1"/>
  <c r="G924" i="2" s="1"/>
  <c r="AP691" i="2"/>
  <c r="AP692" i="2" s="1"/>
  <c r="AP693" i="2" s="1"/>
  <c r="AO711" i="2"/>
  <c r="AO712" i="2" s="1"/>
  <c r="AO664" i="2"/>
  <c r="AP634" i="2"/>
  <c r="AP635" i="2" s="1"/>
  <c r="AO708" i="2"/>
  <c r="AP695" i="2"/>
  <c r="AP696" i="2" s="1"/>
  <c r="AP705" i="2" s="1"/>
  <c r="AN648" i="2"/>
  <c r="H763" i="2"/>
  <c r="H764" i="2"/>
  <c r="H765" i="2" s="1"/>
  <c r="AE654" i="2"/>
  <c r="AE656" i="2"/>
  <c r="AO654" i="2"/>
  <c r="O656" i="2"/>
  <c r="S656" i="2"/>
  <c r="Q656" i="2"/>
  <c r="AN656" i="2"/>
  <c r="AC656" i="2"/>
  <c r="AD656" i="2"/>
  <c r="M656" i="2"/>
  <c r="AJ656" i="2"/>
  <c r="W656" i="2"/>
  <c r="V656" i="2"/>
  <c r="R656" i="2"/>
  <c r="AF648" i="2"/>
  <c r="AL648" i="2"/>
  <c r="AG654" i="2"/>
  <c r="AM648" i="2"/>
  <c r="Y648" i="2"/>
  <c r="Z648" i="2"/>
  <c r="X648" i="2"/>
  <c r="AC648" i="2"/>
  <c r="S648" i="2"/>
  <c r="AG648" i="2"/>
  <c r="AA648" i="2"/>
  <c r="AJ648" i="2"/>
  <c r="AH648" i="2"/>
  <c r="AB648" i="2"/>
  <c r="R648" i="2"/>
  <c r="W648" i="2"/>
  <c r="AE648" i="2"/>
  <c r="AO648" i="2"/>
  <c r="AK648" i="2"/>
  <c r="AD648" i="2"/>
  <c r="AG656" i="2"/>
  <c r="AB656" i="2"/>
  <c r="AF656" i="2"/>
  <c r="Z656" i="2"/>
  <c r="AH656" i="2"/>
  <c r="AL654" i="2"/>
  <c r="AD654" i="2"/>
  <c r="AN654" i="2"/>
  <c r="P656" i="2"/>
  <c r="AL656" i="2"/>
  <c r="AO656" i="2"/>
  <c r="AI654" i="2"/>
  <c r="AH654" i="2"/>
  <c r="T656" i="2"/>
  <c r="X656" i="2"/>
  <c r="AM654" i="2"/>
  <c r="AJ654" i="2"/>
  <c r="AA656" i="2"/>
  <c r="AI656" i="2"/>
  <c r="AK654" i="2"/>
  <c r="T648" i="2"/>
  <c r="AI648" i="2"/>
  <c r="N656" i="2"/>
  <c r="G656" i="2"/>
  <c r="AM656" i="2"/>
  <c r="H656" i="2"/>
  <c r="I656" i="2"/>
  <c r="K656" i="2"/>
  <c r="Y656" i="2"/>
  <c r="G665" i="2"/>
  <c r="G653" i="2"/>
  <c r="J656" i="2"/>
  <c r="L656" i="2"/>
  <c r="U656" i="2"/>
  <c r="O654" i="2"/>
  <c r="Y654" i="2"/>
  <c r="T654" i="2"/>
  <c r="W654" i="2"/>
  <c r="J654" i="2"/>
  <c r="AB654" i="2"/>
  <c r="M654" i="2"/>
  <c r="H654" i="2"/>
  <c r="R654" i="2"/>
  <c r="G651" i="2"/>
  <c r="G660" i="2" s="1"/>
  <c r="G661" i="2" s="1"/>
  <c r="G668" i="2" s="1"/>
  <c r="G670" i="2" s="1"/>
  <c r="U654" i="2"/>
  <c r="P654" i="2"/>
  <c r="Z654" i="2"/>
  <c r="G664" i="2"/>
  <c r="X654" i="2"/>
  <c r="K654" i="2"/>
  <c r="L654" i="2"/>
  <c r="N654" i="2"/>
  <c r="AF654" i="2"/>
  <c r="S654" i="2"/>
  <c r="G654" i="2"/>
  <c r="V654" i="2"/>
  <c r="I654" i="2"/>
  <c r="AA654" i="2"/>
  <c r="Q654" i="2"/>
  <c r="AC654" i="2"/>
  <c r="AK656" i="2"/>
  <c r="L648" i="2"/>
  <c r="Q648" i="2"/>
  <c r="M648" i="2"/>
  <c r="U648" i="2"/>
  <c r="K648" i="2"/>
  <c r="G648" i="2"/>
  <c r="P648" i="2"/>
  <c r="I648" i="2"/>
  <c r="O648" i="2"/>
  <c r="N648" i="2"/>
  <c r="J648" i="2"/>
  <c r="H648" i="2"/>
  <c r="V648" i="2"/>
  <c r="AP637" i="2"/>
  <c r="AP650" i="2" s="1"/>
  <c r="AP727" i="2"/>
  <c r="AP728" i="2" s="1"/>
  <c r="AP729" i="2" s="1"/>
  <c r="AP730" i="2" s="1"/>
  <c r="AQ565" i="2"/>
  <c r="AQ893" i="2"/>
  <c r="AP862" i="2"/>
  <c r="AP885" i="2" s="1"/>
  <c r="AP984" i="2" s="1"/>
  <c r="AP612" i="2"/>
  <c r="BC542" i="2"/>
  <c r="BB552" i="2"/>
  <c r="AQ561" i="2"/>
  <c r="AR556" i="2" s="1"/>
  <c r="AP639" i="2"/>
  <c r="BA798" i="2"/>
  <c r="BA591" i="2"/>
  <c r="BA592" i="2" s="1"/>
  <c r="BA896" i="2"/>
  <c r="BA906" i="2" s="1"/>
  <c r="BA579" i="2"/>
  <c r="BA580" i="2" s="1"/>
  <c r="BA581" i="2" s="1"/>
  <c r="BB269" i="2"/>
  <c r="G915" i="2" l="1"/>
  <c r="G917" i="2" s="1"/>
  <c r="AP702" i="2"/>
  <c r="AP706" i="2" s="1"/>
  <c r="AO714" i="2"/>
  <c r="AP647" i="2"/>
  <c r="AP648" i="2" s="1"/>
  <c r="AN655" i="2"/>
  <c r="AP707" i="2"/>
  <c r="AN657" i="2"/>
  <c r="AP697" i="2"/>
  <c r="AP698" i="2"/>
  <c r="AP699" i="2" s="1"/>
  <c r="AQ566" i="2"/>
  <c r="AQ567" i="2" s="1"/>
  <c r="AQ595" i="2" s="1"/>
  <c r="H667" i="2"/>
  <c r="H669" i="2" s="1"/>
  <c r="H673" i="2" s="1"/>
  <c r="AP773" i="2"/>
  <c r="H766" i="2"/>
  <c r="AE657" i="2"/>
  <c r="S657" i="2"/>
  <c r="AB657" i="2"/>
  <c r="AE655" i="2"/>
  <c r="Z655" i="2"/>
  <c r="Z659" i="2" s="1"/>
  <c r="O657" i="2"/>
  <c r="AF655" i="2"/>
  <c r="AF659" i="2" s="1"/>
  <c r="AK657" i="2"/>
  <c r="Q657" i="2"/>
  <c r="AO655" i="2"/>
  <c r="AL655" i="2"/>
  <c r="AG655" i="2"/>
  <c r="AG659" i="2" s="1"/>
  <c r="AG661" i="2" s="1"/>
  <c r="AG668" i="2" s="1"/>
  <c r="AD657" i="2"/>
  <c r="AA655" i="2"/>
  <c r="AA659" i="2" s="1"/>
  <c r="M657" i="2"/>
  <c r="AM657" i="2"/>
  <c r="AA657" i="2"/>
  <c r="AO657" i="2"/>
  <c r="AF657" i="2"/>
  <c r="AJ655" i="2"/>
  <c r="AL657" i="2"/>
  <c r="S655" i="2"/>
  <c r="S659" i="2" s="1"/>
  <c r="S661" i="2" s="1"/>
  <c r="S668" i="2" s="1"/>
  <c r="AM655" i="2"/>
  <c r="AG657" i="2"/>
  <c r="AH655" i="2"/>
  <c r="AH659" i="2" s="1"/>
  <c r="AH661" i="2" s="1"/>
  <c r="AH668" i="2" s="1"/>
  <c r="AC657" i="2"/>
  <c r="P657" i="2"/>
  <c r="Y655" i="2"/>
  <c r="Y659" i="2" s="1"/>
  <c r="Y657" i="2"/>
  <c r="W657" i="2"/>
  <c r="AI655" i="2"/>
  <c r="AI659" i="2" s="1"/>
  <c r="AJ657" i="2"/>
  <c r="R657" i="2"/>
  <c r="AC655" i="2"/>
  <c r="V657" i="2"/>
  <c r="R655" i="2"/>
  <c r="R659" i="2" s="1"/>
  <c r="R661" i="2" s="1"/>
  <c r="R668" i="2" s="1"/>
  <c r="AK655" i="2"/>
  <c r="L655" i="2"/>
  <c r="L659" i="2" s="1"/>
  <c r="L661" i="2" s="1"/>
  <c r="L668" i="2" s="1"/>
  <c r="AH657" i="2"/>
  <c r="T657" i="2"/>
  <c r="X657" i="2"/>
  <c r="AD655" i="2"/>
  <c r="X655" i="2"/>
  <c r="X659" i="2" s="1"/>
  <c r="X661" i="2" s="1"/>
  <c r="X668" i="2" s="1"/>
  <c r="AB655" i="2"/>
  <c r="Z657" i="2"/>
  <c r="AI657" i="2"/>
  <c r="W655" i="2"/>
  <c r="W659" i="2" s="1"/>
  <c r="K657" i="2"/>
  <c r="V655" i="2"/>
  <c r="V659" i="2" s="1"/>
  <c r="V661" i="2" s="1"/>
  <c r="V668" i="2" s="1"/>
  <c r="L657" i="2"/>
  <c r="T655" i="2"/>
  <c r="T659" i="2" s="1"/>
  <c r="T661" i="2" s="1"/>
  <c r="T668" i="2" s="1"/>
  <c r="I655" i="2"/>
  <c r="M655" i="2"/>
  <c r="M659" i="2" s="1"/>
  <c r="M661" i="2" s="1"/>
  <c r="M668" i="2" s="1"/>
  <c r="G655" i="2"/>
  <c r="J655" i="2"/>
  <c r="I657" i="2"/>
  <c r="P655" i="2"/>
  <c r="P659" i="2" s="1"/>
  <c r="P661" i="2" s="1"/>
  <c r="P668" i="2" s="1"/>
  <c r="U657" i="2"/>
  <c r="H657" i="2"/>
  <c r="U655" i="2"/>
  <c r="U659" i="2" s="1"/>
  <c r="U661" i="2" s="1"/>
  <c r="U668" i="2" s="1"/>
  <c r="N655" i="2"/>
  <c r="N659" i="2" s="1"/>
  <c r="N661" i="2" s="1"/>
  <c r="N668" i="2" s="1"/>
  <c r="J657" i="2"/>
  <c r="G657" i="2"/>
  <c r="Q655" i="2"/>
  <c r="Q659" i="2" s="1"/>
  <c r="Q661" i="2" s="1"/>
  <c r="Q668" i="2" s="1"/>
  <c r="O655" i="2"/>
  <c r="O659" i="2" s="1"/>
  <c r="O661" i="2" s="1"/>
  <c r="O668" i="2" s="1"/>
  <c r="N657" i="2"/>
  <c r="K655" i="2"/>
  <c r="K659" i="2" s="1"/>
  <c r="K661" i="2" s="1"/>
  <c r="K668" i="2" s="1"/>
  <c r="H655" i="2"/>
  <c r="AP803" i="2"/>
  <c r="AP824" i="2" s="1"/>
  <c r="AP641" i="2"/>
  <c r="AP642" i="2" s="1"/>
  <c r="AP638" i="2"/>
  <c r="AP652" i="2"/>
  <c r="AP640" i="2"/>
  <c r="AP643" i="2"/>
  <c r="AP644" i="2" s="1"/>
  <c r="AR558" i="2"/>
  <c r="AR559" i="2" s="1"/>
  <c r="AQ900" i="2"/>
  <c r="AQ931" i="2" s="1"/>
  <c r="AQ939" i="2" s="1"/>
  <c r="AQ903" i="2"/>
  <c r="AQ910" i="2" s="1"/>
  <c r="BC544" i="2"/>
  <c r="BC545" i="2" s="1"/>
  <c r="BD540" i="2" s="1"/>
  <c r="AP664" i="2"/>
  <c r="AP654" i="2"/>
  <c r="BB270" i="2"/>
  <c r="BA819" i="2"/>
  <c r="H799" i="2" l="1"/>
  <c r="H807" i="2" s="1"/>
  <c r="AP703" i="2"/>
  <c r="AP710" i="2" s="1"/>
  <c r="AP711" i="2" s="1"/>
  <c r="AP712" i="2" s="1"/>
  <c r="H777" i="2"/>
  <c r="AP655" i="2"/>
  <c r="AP651" i="2"/>
  <c r="AP660" i="2" s="1"/>
  <c r="AP661" i="2" s="1"/>
  <c r="AP668" i="2" s="1"/>
  <c r="AO715" i="2"/>
  <c r="AO716" i="2" s="1"/>
  <c r="AQ570" i="2"/>
  <c r="AQ594" i="2" s="1"/>
  <c r="H670" i="2"/>
  <c r="I667" i="2" s="1"/>
  <c r="I669" i="2" s="1"/>
  <c r="I670" i="2" s="1"/>
  <c r="J667" i="2" s="1"/>
  <c r="AQ806" i="2"/>
  <c r="AQ827" i="2" s="1"/>
  <c r="H672" i="2"/>
  <c r="H776" i="2" s="1"/>
  <c r="G706" i="2"/>
  <c r="H768" i="2"/>
  <c r="BD542" i="2"/>
  <c r="C540" i="2"/>
  <c r="AR560" i="2"/>
  <c r="AR563" i="2" s="1"/>
  <c r="BC552" i="2"/>
  <c r="AQ861" i="2"/>
  <c r="AQ884" i="2" s="1"/>
  <c r="AQ983" i="2" s="1"/>
  <c r="AP653" i="2"/>
  <c r="AP656" i="2"/>
  <c r="AP657" i="2" s="1"/>
  <c r="AP665" i="2"/>
  <c r="BB576" i="2"/>
  <c r="BB586" i="2"/>
  <c r="BB590" i="2" s="1"/>
  <c r="BB271" i="2"/>
  <c r="BC266" i="2" s="1"/>
  <c r="BC268" i="2" s="1"/>
  <c r="H864" i="2" l="1"/>
  <c r="H887" i="2" s="1"/>
  <c r="H986" i="2" s="1"/>
  <c r="H988" i="2" s="1"/>
  <c r="H1029" i="2" s="1"/>
  <c r="H1085" i="2" s="1"/>
  <c r="AP708" i="2"/>
  <c r="AQ603" i="2"/>
  <c r="AQ604" i="2" s="1"/>
  <c r="AQ774" i="2" s="1"/>
  <c r="AP714" i="2"/>
  <c r="AP715" i="2" s="1"/>
  <c r="AP716" i="2" s="1"/>
  <c r="AQ634" i="2"/>
  <c r="AQ647" i="2" s="1"/>
  <c r="AQ691" i="2"/>
  <c r="AQ692" i="2" s="1"/>
  <c r="H769" i="2"/>
  <c r="I748" i="2"/>
  <c r="I749" i="2" s="1"/>
  <c r="I753" i="2" s="1"/>
  <c r="I760" i="2"/>
  <c r="H820" i="2"/>
  <c r="H828" i="2" s="1"/>
  <c r="H831" i="2" s="1"/>
  <c r="J669" i="2"/>
  <c r="I673" i="2"/>
  <c r="I672" i="2"/>
  <c r="H929" i="2"/>
  <c r="H937" i="2" s="1"/>
  <c r="H942" i="2" s="1"/>
  <c r="H810" i="2"/>
  <c r="AR561" i="2"/>
  <c r="AS556" i="2" s="1"/>
  <c r="AR565" i="2"/>
  <c r="AR893" i="2"/>
  <c r="BD544" i="2"/>
  <c r="C542" i="2"/>
  <c r="BB798" i="2"/>
  <c r="BB591" i="2"/>
  <c r="BB592" i="2" s="1"/>
  <c r="BC269" i="2"/>
  <c r="BB896" i="2"/>
  <c r="BB906" i="2" s="1"/>
  <c r="BB579" i="2"/>
  <c r="BB580" i="2" s="1"/>
  <c r="BB581" i="2" s="1"/>
  <c r="AQ612" i="2" l="1"/>
  <c r="AQ773" i="2" s="1"/>
  <c r="AQ862" i="2"/>
  <c r="AQ885" i="2" s="1"/>
  <c r="AQ984" i="2" s="1"/>
  <c r="H889" i="2"/>
  <c r="H890" i="2" s="1"/>
  <c r="AQ637" i="2"/>
  <c r="AQ650" i="2" s="1"/>
  <c r="AQ651" i="2" s="1"/>
  <c r="AQ660" i="2" s="1"/>
  <c r="AQ661" i="2" s="1"/>
  <c r="AQ668" i="2" s="1"/>
  <c r="H866" i="2"/>
  <c r="H928" i="2" s="1"/>
  <c r="H936" i="2" s="1"/>
  <c r="AQ639" i="2"/>
  <c r="AQ652" i="2" s="1"/>
  <c r="AQ727" i="2"/>
  <c r="AQ728" i="2" s="1"/>
  <c r="AQ729" i="2" s="1"/>
  <c r="AQ730" i="2" s="1"/>
  <c r="AQ695" i="2"/>
  <c r="AQ696" i="2" s="1"/>
  <c r="AQ705" i="2" s="1"/>
  <c r="AQ707" i="2" s="1"/>
  <c r="H1239" i="2"/>
  <c r="I761" i="2"/>
  <c r="AQ635" i="2"/>
  <c r="AQ693" i="2"/>
  <c r="AQ702" i="2"/>
  <c r="AQ648" i="2"/>
  <c r="AR566" i="2"/>
  <c r="AR567" i="2" s="1"/>
  <c r="AR806" i="2" s="1"/>
  <c r="AR827" i="2" s="1"/>
  <c r="J670" i="2"/>
  <c r="K667" i="2" s="1"/>
  <c r="K669" i="2" s="1"/>
  <c r="H770" i="2"/>
  <c r="I762" i="2"/>
  <c r="H837" i="2"/>
  <c r="H838" i="2" s="1"/>
  <c r="G839" i="2" s="1"/>
  <c r="J672" i="2"/>
  <c r="J673" i="2"/>
  <c r="AR900" i="2"/>
  <c r="AR931" i="2" s="1"/>
  <c r="AR939" i="2" s="1"/>
  <c r="AR903" i="2"/>
  <c r="AR910" i="2" s="1"/>
  <c r="BD552" i="2"/>
  <c r="C552" i="2" s="1"/>
  <c r="C544" i="2"/>
  <c r="BD545" i="2"/>
  <c r="C545" i="2" s="1"/>
  <c r="AS558" i="2"/>
  <c r="AS559" i="2" s="1"/>
  <c r="BC270" i="2"/>
  <c r="BB819" i="2"/>
  <c r="AQ803" i="2" l="1"/>
  <c r="AQ824" i="2" s="1"/>
  <c r="H913" i="2"/>
  <c r="H915" i="2" s="1"/>
  <c r="H917" i="2" s="1"/>
  <c r="H867" i="2"/>
  <c r="AQ664" i="2"/>
  <c r="AQ654" i="2"/>
  <c r="AQ655" i="2" s="1"/>
  <c r="AQ643" i="2"/>
  <c r="AQ644" i="2" s="1"/>
  <c r="AQ641" i="2"/>
  <c r="AQ642" i="2" s="1"/>
  <c r="AQ640" i="2"/>
  <c r="AQ638" i="2"/>
  <c r="AQ698" i="2"/>
  <c r="AQ699" i="2" s="1"/>
  <c r="AQ697" i="2"/>
  <c r="AQ706" i="2"/>
  <c r="AQ703" i="2"/>
  <c r="AQ710" i="2" s="1"/>
  <c r="AR595" i="2"/>
  <c r="AR861" i="2" s="1"/>
  <c r="AR884" i="2" s="1"/>
  <c r="AR983" i="2" s="1"/>
  <c r="AR570" i="2"/>
  <c r="AR594" i="2" s="1"/>
  <c r="H842" i="2"/>
  <c r="H843" i="2" s="1"/>
  <c r="G844" i="2" s="1"/>
  <c r="AS560" i="2"/>
  <c r="AS563" i="2" s="1"/>
  <c r="AQ656" i="2"/>
  <c r="AQ657" i="2" s="1"/>
  <c r="AQ665" i="2"/>
  <c r="AQ653" i="2"/>
  <c r="K670" i="2"/>
  <c r="K673" i="2"/>
  <c r="K672" i="2"/>
  <c r="BC576" i="2"/>
  <c r="BC586" i="2"/>
  <c r="BC590" i="2" s="1"/>
  <c r="BC271" i="2"/>
  <c r="BD266" i="2" s="1"/>
  <c r="BD268" i="2" s="1"/>
  <c r="H920" i="2" l="1"/>
  <c r="H922" i="2" s="1"/>
  <c r="H924" i="2" s="1"/>
  <c r="AQ711" i="2"/>
  <c r="AQ712" i="2" s="1"/>
  <c r="AQ708" i="2"/>
  <c r="AR634" i="2"/>
  <c r="AR647" i="2" s="1"/>
  <c r="AR603" i="2"/>
  <c r="AR604" i="2" s="1"/>
  <c r="AR639" i="2" s="1"/>
  <c r="AR643" i="2" s="1"/>
  <c r="AR691" i="2"/>
  <c r="AR692" i="2" s="1"/>
  <c r="I754" i="2"/>
  <c r="I755" i="2"/>
  <c r="AS561" i="2"/>
  <c r="AT556" i="2" s="1"/>
  <c r="AS565" i="2"/>
  <c r="AS893" i="2"/>
  <c r="L667" i="2"/>
  <c r="BC896" i="2"/>
  <c r="BC906" i="2" s="1"/>
  <c r="BC579" i="2"/>
  <c r="BC580" i="2" s="1"/>
  <c r="BC581" i="2" s="1"/>
  <c r="C268" i="2"/>
  <c r="BC798" i="2"/>
  <c r="BC591" i="2"/>
  <c r="BC592" i="2" s="1"/>
  <c r="AQ714" i="2" l="1"/>
  <c r="AR637" i="2"/>
  <c r="AR641" i="2" s="1"/>
  <c r="AR727" i="2"/>
  <c r="AR728" i="2" s="1"/>
  <c r="AR729" i="2" s="1"/>
  <c r="AR730" i="2" s="1"/>
  <c r="AR774" i="2"/>
  <c r="AR635" i="2"/>
  <c r="AR644" i="2" s="1"/>
  <c r="AR693" i="2"/>
  <c r="AR702" i="2"/>
  <c r="AR703" i="2" s="1"/>
  <c r="AR710" i="2" s="1"/>
  <c r="AR695" i="2"/>
  <c r="AR696" i="2" s="1"/>
  <c r="AR705" i="2" s="1"/>
  <c r="AR612" i="2"/>
  <c r="AR773" i="2" s="1"/>
  <c r="AR862" i="2"/>
  <c r="AR885" i="2" s="1"/>
  <c r="AR984" i="2" s="1"/>
  <c r="AR640" i="2"/>
  <c r="AR652" i="2"/>
  <c r="AR653" i="2" s="1"/>
  <c r="AR648" i="2"/>
  <c r="AS566" i="2"/>
  <c r="AS567" i="2" s="1"/>
  <c r="AS595" i="2" s="1"/>
  <c r="I756" i="2"/>
  <c r="I763" i="2" s="1"/>
  <c r="AS900" i="2"/>
  <c r="AS931" i="2" s="1"/>
  <c r="AS939" i="2" s="1"/>
  <c r="AS903" i="2"/>
  <c r="AS910" i="2" s="1"/>
  <c r="AT558" i="2"/>
  <c r="AT559" i="2" s="1"/>
  <c r="L669" i="2"/>
  <c r="BD269" i="2"/>
  <c r="C269" i="2" s="1"/>
  <c r="BC819" i="2"/>
  <c r="AQ715" i="2" l="1"/>
  <c r="AQ716" i="2" s="1"/>
  <c r="AR638" i="2"/>
  <c r="AR650" i="2"/>
  <c r="AR664" i="2" s="1"/>
  <c r="AR642" i="2"/>
  <c r="AR706" i="2"/>
  <c r="AR707" i="2"/>
  <c r="AR803" i="2"/>
  <c r="AR824" i="2" s="1"/>
  <c r="AR665" i="2"/>
  <c r="AR656" i="2"/>
  <c r="AR657" i="2" s="1"/>
  <c r="AR697" i="2"/>
  <c r="AR698" i="2"/>
  <c r="AR699" i="2" s="1"/>
  <c r="AS570" i="2"/>
  <c r="AS594" i="2" s="1"/>
  <c r="AS806" i="2"/>
  <c r="AS827" i="2" s="1"/>
  <c r="I764" i="2"/>
  <c r="AT560" i="2"/>
  <c r="AT563" i="2" s="1"/>
  <c r="AS861" i="2"/>
  <c r="AS884" i="2" s="1"/>
  <c r="AS983" i="2" s="1"/>
  <c r="L670" i="2"/>
  <c r="L672" i="2"/>
  <c r="L673" i="2"/>
  <c r="BD270" i="2"/>
  <c r="BD586" i="2" s="1"/>
  <c r="BD590" i="2" s="1"/>
  <c r="AR654" i="2" l="1"/>
  <c r="AR655" i="2" s="1"/>
  <c r="AR708" i="2"/>
  <c r="AR711" i="2"/>
  <c r="AR712" i="2" s="1"/>
  <c r="AR651" i="2"/>
  <c r="AR660" i="2" s="1"/>
  <c r="AR661" i="2" s="1"/>
  <c r="AR668" i="2" s="1"/>
  <c r="AS603" i="2"/>
  <c r="AS604" i="2" s="1"/>
  <c r="AS637" i="2" s="1"/>
  <c r="AS650" i="2" s="1"/>
  <c r="AS691" i="2"/>
  <c r="AS692" i="2" s="1"/>
  <c r="AS634" i="2"/>
  <c r="AS635" i="2" s="1"/>
  <c r="I765" i="2"/>
  <c r="I766" i="2" s="1"/>
  <c r="AT561" i="2"/>
  <c r="AU556" i="2" s="1"/>
  <c r="AT893" i="2"/>
  <c r="AT565" i="2"/>
  <c r="M667" i="2"/>
  <c r="BD271" i="2"/>
  <c r="C270" i="2"/>
  <c r="BD576" i="2"/>
  <c r="BD896" i="2" s="1"/>
  <c r="BD798" i="2"/>
  <c r="C586" i="2"/>
  <c r="I799" i="2" l="1"/>
  <c r="I820" i="2" s="1"/>
  <c r="I828" i="2" s="1"/>
  <c r="I864" i="2"/>
  <c r="I866" i="2" s="1"/>
  <c r="I776" i="2"/>
  <c r="I777" i="2"/>
  <c r="AR714" i="2"/>
  <c r="AS612" i="2"/>
  <c r="AS803" i="2" s="1"/>
  <c r="AS824" i="2" s="1"/>
  <c r="AS862" i="2"/>
  <c r="AS885" i="2" s="1"/>
  <c r="AS984" i="2" s="1"/>
  <c r="AS693" i="2"/>
  <c r="AS702" i="2"/>
  <c r="AS703" i="2" s="1"/>
  <c r="AS710" i="2" s="1"/>
  <c r="AS774" i="2"/>
  <c r="AS695" i="2"/>
  <c r="AS696" i="2" s="1"/>
  <c r="AS705" i="2" s="1"/>
  <c r="AS727" i="2"/>
  <c r="AS728" i="2" s="1"/>
  <c r="AS729" i="2" s="1"/>
  <c r="AS730" i="2" s="1"/>
  <c r="AS639" i="2"/>
  <c r="AS640" i="2" s="1"/>
  <c r="AS647" i="2"/>
  <c r="AS648" i="2" s="1"/>
  <c r="AT566" i="2"/>
  <c r="AT567" i="2" s="1"/>
  <c r="AT595" i="2" s="1"/>
  <c r="I768" i="2"/>
  <c r="I769" i="2" s="1"/>
  <c r="J748" i="2"/>
  <c r="J749" i="2" s="1"/>
  <c r="J753" i="2" s="1"/>
  <c r="J760" i="2"/>
  <c r="AS641" i="2"/>
  <c r="AS642" i="2" s="1"/>
  <c r="AS638" i="2"/>
  <c r="AT900" i="2"/>
  <c r="AT931" i="2" s="1"/>
  <c r="AT939" i="2" s="1"/>
  <c r="AT903" i="2"/>
  <c r="AT910" i="2" s="1"/>
  <c r="AU558" i="2"/>
  <c r="AU559" i="2" s="1"/>
  <c r="AS654" i="2"/>
  <c r="AS664" i="2"/>
  <c r="M669" i="2"/>
  <c r="BD579" i="2"/>
  <c r="BD580" i="2" s="1"/>
  <c r="C576" i="2"/>
  <c r="BD591" i="2"/>
  <c r="C590" i="2"/>
  <c r="BD819" i="2"/>
  <c r="C798" i="2"/>
  <c r="BD906" i="2"/>
  <c r="C906" i="2" s="1"/>
  <c r="C896" i="2"/>
  <c r="AR715" i="2" l="1"/>
  <c r="AS773" i="2"/>
  <c r="AS706" i="2"/>
  <c r="AS707" i="2"/>
  <c r="AS697" i="2"/>
  <c r="AS698" i="2"/>
  <c r="AS699" i="2" s="1"/>
  <c r="AS643" i="2"/>
  <c r="AS644" i="2" s="1"/>
  <c r="AS652" i="2"/>
  <c r="AS653" i="2" s="1"/>
  <c r="AS651" i="2"/>
  <c r="AS660" i="2" s="1"/>
  <c r="AS661" i="2" s="1"/>
  <c r="AS668" i="2" s="1"/>
  <c r="AT570" i="2"/>
  <c r="AT594" i="2" s="1"/>
  <c r="AT806" i="2"/>
  <c r="AT827" i="2" s="1"/>
  <c r="I887" i="2"/>
  <c r="I889" i="2" s="1"/>
  <c r="I890" i="2" s="1"/>
  <c r="I807" i="2"/>
  <c r="I929" i="2" s="1"/>
  <c r="I937" i="2" s="1"/>
  <c r="I942" i="2" s="1"/>
  <c r="I770" i="2"/>
  <c r="J761" i="2"/>
  <c r="J762" i="2"/>
  <c r="I867" i="2"/>
  <c r="I928" i="2"/>
  <c r="I936" i="2" s="1"/>
  <c r="I837" i="2"/>
  <c r="I831" i="2"/>
  <c r="AS655" i="2"/>
  <c r="AU560" i="2"/>
  <c r="AU563" i="2" s="1"/>
  <c r="AT861" i="2"/>
  <c r="AT884" i="2" s="1"/>
  <c r="AT983" i="2" s="1"/>
  <c r="M670" i="2"/>
  <c r="M672" i="2"/>
  <c r="M673" i="2"/>
  <c r="C579" i="2"/>
  <c r="BD592" i="2"/>
  <c r="C592" i="2" s="1"/>
  <c r="C591" i="2"/>
  <c r="BD581" i="2"/>
  <c r="C581" i="2" s="1"/>
  <c r="C580" i="2"/>
  <c r="C819" i="2"/>
  <c r="AS708" i="2" l="1"/>
  <c r="AS711" i="2"/>
  <c r="AS712" i="2" s="1"/>
  <c r="AR716" i="2"/>
  <c r="AT634" i="2"/>
  <c r="AT647" i="2" s="1"/>
  <c r="AT648" i="2" s="1"/>
  <c r="AS665" i="2"/>
  <c r="AS656" i="2"/>
  <c r="AS657" i="2" s="1"/>
  <c r="AT603" i="2"/>
  <c r="AT604" i="2" s="1"/>
  <c r="AT727" i="2" s="1"/>
  <c r="AT728" i="2" s="1"/>
  <c r="AT729" i="2" s="1"/>
  <c r="AT730" i="2" s="1"/>
  <c r="AT691" i="2"/>
  <c r="AT692" i="2" s="1"/>
  <c r="I913" i="2"/>
  <c r="I915" i="2" s="1"/>
  <c r="I917" i="2" s="1"/>
  <c r="I986" i="2"/>
  <c r="I988" i="2" s="1"/>
  <c r="I1029" i="2" s="1"/>
  <c r="I1085" i="2" s="1"/>
  <c r="I810" i="2"/>
  <c r="I842" i="2"/>
  <c r="I843" i="2" s="1"/>
  <c r="H844" i="2" s="1"/>
  <c r="I838" i="2"/>
  <c r="H839" i="2" s="1"/>
  <c r="AU561" i="2"/>
  <c r="AV556" i="2" s="1"/>
  <c r="AU565" i="2"/>
  <c r="AU893" i="2"/>
  <c r="N667" i="2"/>
  <c r="AS714" i="2" l="1"/>
  <c r="AT635" i="2"/>
  <c r="AT693" i="2"/>
  <c r="AT702" i="2"/>
  <c r="AT703" i="2" s="1"/>
  <c r="AT710" i="2" s="1"/>
  <c r="AT862" i="2"/>
  <c r="AT885" i="2" s="1"/>
  <c r="AT984" i="2" s="1"/>
  <c r="AT695" i="2"/>
  <c r="AT696" i="2" s="1"/>
  <c r="AT705" i="2" s="1"/>
  <c r="AT637" i="2"/>
  <c r="AT638" i="2" s="1"/>
  <c r="AT612" i="2"/>
  <c r="AT803" i="2" s="1"/>
  <c r="AT824" i="2" s="1"/>
  <c r="AT639" i="2"/>
  <c r="AT652" i="2" s="1"/>
  <c r="AT653" i="2" s="1"/>
  <c r="AT774" i="2"/>
  <c r="AU566" i="2"/>
  <c r="AU567" i="2" s="1"/>
  <c r="AU595" i="2" s="1"/>
  <c r="I920" i="2"/>
  <c r="I922" i="2" s="1"/>
  <c r="I924" i="2" s="1"/>
  <c r="I1239" i="2"/>
  <c r="J754" i="2"/>
  <c r="J755" i="2"/>
  <c r="AU900" i="2"/>
  <c r="AU931" i="2" s="1"/>
  <c r="AU939" i="2" s="1"/>
  <c r="AU903" i="2"/>
  <c r="AU910" i="2" s="1"/>
  <c r="AV558" i="2"/>
  <c r="AV559" i="2" s="1"/>
  <c r="N669" i="2"/>
  <c r="AS715" i="2" l="1"/>
  <c r="AT706" i="2"/>
  <c r="AT707" i="2"/>
  <c r="AT650" i="2"/>
  <c r="AT654" i="2" s="1"/>
  <c r="AT655" i="2" s="1"/>
  <c r="AT773" i="2"/>
  <c r="AT640" i="2"/>
  <c r="AT665" i="2"/>
  <c r="AT656" i="2"/>
  <c r="AT657" i="2" s="1"/>
  <c r="AT641" i="2"/>
  <c r="AT642" i="2" s="1"/>
  <c r="AT697" i="2"/>
  <c r="AT698" i="2"/>
  <c r="AT699" i="2" s="1"/>
  <c r="AT643" i="2"/>
  <c r="AT644" i="2" s="1"/>
  <c r="AU806" i="2"/>
  <c r="AU827" i="2" s="1"/>
  <c r="AU570" i="2"/>
  <c r="AU594" i="2" s="1"/>
  <c r="J756" i="2"/>
  <c r="J763" i="2" s="1"/>
  <c r="AV560" i="2"/>
  <c r="AV563" i="2" s="1"/>
  <c r="AU861" i="2"/>
  <c r="AU884" i="2" s="1"/>
  <c r="AU983" i="2" s="1"/>
  <c r="N670" i="2"/>
  <c r="N672" i="2"/>
  <c r="N673" i="2"/>
  <c r="AU691" i="2" l="1"/>
  <c r="AU692" i="2" s="1"/>
  <c r="AU702" i="2" s="1"/>
  <c r="AU703" i="2" s="1"/>
  <c r="AU710" i="2" s="1"/>
  <c r="AS716" i="2"/>
  <c r="AT708" i="2"/>
  <c r="AT711" i="2"/>
  <c r="AT712" i="2" s="1"/>
  <c r="AT651" i="2"/>
  <c r="AT660" i="2" s="1"/>
  <c r="AT664" i="2"/>
  <c r="AU603" i="2"/>
  <c r="AU604" i="2" s="1"/>
  <c r="AU862" i="2" s="1"/>
  <c r="AU885" i="2" s="1"/>
  <c r="AU984" i="2" s="1"/>
  <c r="AU634" i="2"/>
  <c r="AU647" i="2" s="1"/>
  <c r="AU648" i="2" s="1"/>
  <c r="J764" i="2"/>
  <c r="AV561" i="2"/>
  <c r="AW556" i="2" s="1"/>
  <c r="AV893" i="2"/>
  <c r="AV565" i="2"/>
  <c r="O667" i="2"/>
  <c r="AU693" i="2" l="1"/>
  <c r="AT714" i="2"/>
  <c r="AU612" i="2"/>
  <c r="AU803" i="2" s="1"/>
  <c r="AU824" i="2" s="1"/>
  <c r="AU635" i="2"/>
  <c r="AU639" i="2"/>
  <c r="AU640" i="2" s="1"/>
  <c r="AU637" i="2"/>
  <c r="AU650" i="2" s="1"/>
  <c r="AU664" i="2" s="1"/>
  <c r="AU727" i="2"/>
  <c r="AU728" i="2" s="1"/>
  <c r="AU729" i="2" s="1"/>
  <c r="AU730" i="2" s="1"/>
  <c r="AU774" i="2"/>
  <c r="AU695" i="2"/>
  <c r="AU696" i="2" s="1"/>
  <c r="AU705" i="2" s="1"/>
  <c r="AT661" i="2"/>
  <c r="AT668" i="2" s="1"/>
  <c r="AV566" i="2"/>
  <c r="AV567" i="2" s="1"/>
  <c r="AV806" i="2" s="1"/>
  <c r="AV827" i="2" s="1"/>
  <c r="J765" i="2"/>
  <c r="J766" i="2" s="1"/>
  <c r="AV900" i="2"/>
  <c r="AV931" i="2" s="1"/>
  <c r="AV939" i="2" s="1"/>
  <c r="AV903" i="2"/>
  <c r="AV910" i="2" s="1"/>
  <c r="AW558" i="2"/>
  <c r="AW559" i="2" s="1"/>
  <c r="O669" i="2"/>
  <c r="J864" i="2" l="1"/>
  <c r="J866" i="2" s="1"/>
  <c r="J799" i="2"/>
  <c r="J820" i="2" s="1"/>
  <c r="J828" i="2" s="1"/>
  <c r="J777" i="2"/>
  <c r="J776" i="2"/>
  <c r="K761" i="2" s="1"/>
  <c r="AT715" i="2"/>
  <c r="AU773" i="2"/>
  <c r="AU706" i="2"/>
  <c r="AU707" i="2"/>
  <c r="AU643" i="2"/>
  <c r="AU644" i="2" s="1"/>
  <c r="AU641" i="2"/>
  <c r="AU642" i="2" s="1"/>
  <c r="AU638" i="2"/>
  <c r="AU652" i="2"/>
  <c r="AU665" i="2" s="1"/>
  <c r="AU654" i="2"/>
  <c r="AU655" i="2" s="1"/>
  <c r="AU651" i="2"/>
  <c r="AU660" i="2" s="1"/>
  <c r="AU661" i="2" s="1"/>
  <c r="AU668" i="2" s="1"/>
  <c r="AU697" i="2"/>
  <c r="AU698" i="2"/>
  <c r="AU699" i="2" s="1"/>
  <c r="AV570" i="2"/>
  <c r="AV594" i="2" s="1"/>
  <c r="AV595" i="2"/>
  <c r="K748" i="2"/>
  <c r="K749" i="2" s="1"/>
  <c r="K753" i="2" s="1"/>
  <c r="J768" i="2"/>
  <c r="J769" i="2" s="1"/>
  <c r="K760" i="2"/>
  <c r="AW560" i="2"/>
  <c r="AW563" i="2" s="1"/>
  <c r="O670" i="2"/>
  <c r="O673" i="2"/>
  <c r="O672" i="2"/>
  <c r="AU708" i="2" l="1"/>
  <c r="AU711" i="2"/>
  <c r="AU712" i="2" s="1"/>
  <c r="AT716" i="2"/>
  <c r="AU656" i="2"/>
  <c r="AU657" i="2" s="1"/>
  <c r="AU653" i="2"/>
  <c r="AV634" i="2"/>
  <c r="AV635" i="2" s="1"/>
  <c r="AV603" i="2"/>
  <c r="AV604" i="2" s="1"/>
  <c r="AV774" i="2" s="1"/>
  <c r="AV861" i="2"/>
  <c r="AV884" i="2" s="1"/>
  <c r="AV983" i="2" s="1"/>
  <c r="AV691" i="2"/>
  <c r="AV692" i="2" s="1"/>
  <c r="K762" i="2"/>
  <c r="J807" i="2"/>
  <c r="J929" i="2" s="1"/>
  <c r="J937" i="2" s="1"/>
  <c r="J942" i="2" s="1"/>
  <c r="J887" i="2"/>
  <c r="J986" i="2" s="1"/>
  <c r="J770" i="2"/>
  <c r="J831" i="2"/>
  <c r="J837" i="2"/>
  <c r="J928" i="2"/>
  <c r="J936" i="2" s="1"/>
  <c r="J867" i="2"/>
  <c r="AW561" i="2"/>
  <c r="AX556" i="2" s="1"/>
  <c r="AW565" i="2"/>
  <c r="AW893" i="2"/>
  <c r="P667" i="2"/>
  <c r="AU714" i="2" l="1"/>
  <c r="AV612" i="2"/>
  <c r="AV773" i="2" s="1"/>
  <c r="AV639" i="2"/>
  <c r="AV652" i="2" s="1"/>
  <c r="AV656" i="2" s="1"/>
  <c r="AV637" i="2"/>
  <c r="AV650" i="2" s="1"/>
  <c r="AV664" i="2" s="1"/>
  <c r="AV695" i="2"/>
  <c r="AV696" i="2" s="1"/>
  <c r="AV705" i="2" s="1"/>
  <c r="AV727" i="2"/>
  <c r="AV728" i="2" s="1"/>
  <c r="AV729" i="2" s="1"/>
  <c r="AV730" i="2" s="1"/>
  <c r="AV647" i="2"/>
  <c r="AV648" i="2" s="1"/>
  <c r="AV862" i="2"/>
  <c r="AV885" i="2" s="1"/>
  <c r="AV984" i="2" s="1"/>
  <c r="AV693" i="2"/>
  <c r="AV702" i="2"/>
  <c r="AV703" i="2" s="1"/>
  <c r="AV710" i="2" s="1"/>
  <c r="AW566" i="2"/>
  <c r="AW567" i="2" s="1"/>
  <c r="AW595" i="2" s="1"/>
  <c r="J913" i="2"/>
  <c r="J920" i="2" s="1"/>
  <c r="J922" i="2" s="1"/>
  <c r="J924" i="2" s="1"/>
  <c r="J810" i="2"/>
  <c r="J889" i="2"/>
  <c r="J890" i="2" s="1"/>
  <c r="J1239" i="2"/>
  <c r="J988" i="2"/>
  <c r="J1029" i="2" s="1"/>
  <c r="J1085" i="2" s="1"/>
  <c r="J838" i="2"/>
  <c r="I839" i="2" s="1"/>
  <c r="J842" i="2"/>
  <c r="J843" i="2" s="1"/>
  <c r="I844" i="2" s="1"/>
  <c r="AW900" i="2"/>
  <c r="AW931" i="2" s="1"/>
  <c r="AW939" i="2" s="1"/>
  <c r="AW903" i="2"/>
  <c r="AW910" i="2" s="1"/>
  <c r="AX558" i="2"/>
  <c r="AX559" i="2" s="1"/>
  <c r="P669" i="2"/>
  <c r="AV803" i="2" l="1"/>
  <c r="AV824" i="2" s="1"/>
  <c r="AU715" i="2"/>
  <c r="AV665" i="2"/>
  <c r="AV654" i="2"/>
  <c r="AV655" i="2" s="1"/>
  <c r="AV640" i="2"/>
  <c r="AV641" i="2"/>
  <c r="AV642" i="2" s="1"/>
  <c r="AV643" i="2"/>
  <c r="AV644" i="2" s="1"/>
  <c r="AV657" i="2"/>
  <c r="AV638" i="2"/>
  <c r="AV697" i="2"/>
  <c r="AV653" i="2"/>
  <c r="AV651" i="2"/>
  <c r="AV660" i="2" s="1"/>
  <c r="AV661" i="2" s="1"/>
  <c r="AV668" i="2" s="1"/>
  <c r="AV698" i="2"/>
  <c r="AV699" i="2" s="1"/>
  <c r="AV706" i="2"/>
  <c r="AV707" i="2"/>
  <c r="AW570" i="2"/>
  <c r="AW594" i="2" s="1"/>
  <c r="AW806" i="2"/>
  <c r="AW827" i="2" s="1"/>
  <c r="J915" i="2"/>
  <c r="J917" i="2" s="1"/>
  <c r="K754" i="2"/>
  <c r="K755" i="2"/>
  <c r="AX560" i="2"/>
  <c r="AX563" i="2" s="1"/>
  <c r="AW861" i="2"/>
  <c r="AW884" i="2" s="1"/>
  <c r="AW983" i="2" s="1"/>
  <c r="P670" i="2"/>
  <c r="P672" i="2"/>
  <c r="P673" i="2"/>
  <c r="AW691" i="2" l="1"/>
  <c r="AW692" i="2" s="1"/>
  <c r="AW693" i="2" s="1"/>
  <c r="AU716" i="2"/>
  <c r="AV708" i="2"/>
  <c r="AV711" i="2"/>
  <c r="AV712" i="2" s="1"/>
  <c r="AW603" i="2"/>
  <c r="AW604" i="2" s="1"/>
  <c r="AW774" i="2" s="1"/>
  <c r="AW634" i="2"/>
  <c r="AW647" i="2" s="1"/>
  <c r="AW648" i="2" s="1"/>
  <c r="K756" i="2"/>
  <c r="K763" i="2" s="1"/>
  <c r="AX561" i="2"/>
  <c r="AY556" i="2" s="1"/>
  <c r="AX565" i="2"/>
  <c r="AX893" i="2"/>
  <c r="Q667" i="2"/>
  <c r="AW702" i="2" l="1"/>
  <c r="AW703" i="2" s="1"/>
  <c r="AW710" i="2" s="1"/>
  <c r="AV714" i="2"/>
  <c r="AW727" i="2"/>
  <c r="AW728" i="2" s="1"/>
  <c r="AW729" i="2" s="1"/>
  <c r="AW730" i="2" s="1"/>
  <c r="AW612" i="2"/>
  <c r="AW773" i="2" s="1"/>
  <c r="AW862" i="2"/>
  <c r="AW885" i="2" s="1"/>
  <c r="AW984" i="2" s="1"/>
  <c r="AW695" i="2"/>
  <c r="AW696" i="2" s="1"/>
  <c r="AW705" i="2" s="1"/>
  <c r="AW639" i="2"/>
  <c r="AW643" i="2" s="1"/>
  <c r="AW635" i="2"/>
  <c r="AW637" i="2"/>
  <c r="AW650" i="2" s="1"/>
  <c r="AX566" i="2"/>
  <c r="AX567" i="2" s="1"/>
  <c r="AX570" i="2" s="1"/>
  <c r="AX594" i="2" s="1"/>
  <c r="K764" i="2"/>
  <c r="AX900" i="2"/>
  <c r="AX931" i="2" s="1"/>
  <c r="AX939" i="2" s="1"/>
  <c r="AX903" i="2"/>
  <c r="AX910" i="2" s="1"/>
  <c r="AY558" i="2"/>
  <c r="AY559" i="2" s="1"/>
  <c r="Q669" i="2"/>
  <c r="AW706" i="2" l="1"/>
  <c r="AV715" i="2"/>
  <c r="AV716" i="2" s="1"/>
  <c r="AW803" i="2"/>
  <c r="AW824" i="2" s="1"/>
  <c r="AW697" i="2"/>
  <c r="AW707" i="2"/>
  <c r="AW641" i="2"/>
  <c r="AW642" i="2" s="1"/>
  <c r="AW638" i="2"/>
  <c r="AW652" i="2"/>
  <c r="AW665" i="2" s="1"/>
  <c r="AW644" i="2"/>
  <c r="AW640" i="2"/>
  <c r="AW698" i="2"/>
  <c r="AW699" i="2" s="1"/>
  <c r="AX806" i="2"/>
  <c r="AX827" i="2" s="1"/>
  <c r="AX595" i="2"/>
  <c r="AX634" i="2" s="1"/>
  <c r="K765" i="2"/>
  <c r="K766" i="2" s="1"/>
  <c r="AX603" i="2"/>
  <c r="AX604" i="2" s="1"/>
  <c r="AX639" i="2" s="1"/>
  <c r="AY560" i="2"/>
  <c r="AY563" i="2" s="1"/>
  <c r="AW664" i="2"/>
  <c r="AW654" i="2"/>
  <c r="AW655" i="2" s="1"/>
  <c r="AW651" i="2"/>
  <c r="AW660" i="2" s="1"/>
  <c r="AW661" i="2" s="1"/>
  <c r="AW668" i="2" s="1"/>
  <c r="Q670" i="2"/>
  <c r="Q673" i="2"/>
  <c r="Q672" i="2"/>
  <c r="K799" i="2" l="1"/>
  <c r="K807" i="2" s="1"/>
  <c r="K864" i="2"/>
  <c r="K887" i="2" s="1"/>
  <c r="K777" i="2"/>
  <c r="K776" i="2"/>
  <c r="L761" i="2" s="1"/>
  <c r="AW708" i="2"/>
  <c r="AW711" i="2"/>
  <c r="AW712" i="2" s="1"/>
  <c r="AW653" i="2"/>
  <c r="AW656" i="2"/>
  <c r="AW657" i="2" s="1"/>
  <c r="AX695" i="2"/>
  <c r="AX696" i="2" s="1"/>
  <c r="AX705" i="2" s="1"/>
  <c r="AX691" i="2"/>
  <c r="AX692" i="2" s="1"/>
  <c r="AX861" i="2"/>
  <c r="AX884" i="2" s="1"/>
  <c r="AX983" i="2" s="1"/>
  <c r="L748" i="2"/>
  <c r="L749" i="2" s="1"/>
  <c r="L753" i="2" s="1"/>
  <c r="K768" i="2"/>
  <c r="K769" i="2" s="1"/>
  <c r="L760" i="2"/>
  <c r="AX774" i="2"/>
  <c r="AX727" i="2"/>
  <c r="AX728" i="2" s="1"/>
  <c r="AX729" i="2" s="1"/>
  <c r="AX730" i="2" s="1"/>
  <c r="AX637" i="2"/>
  <c r="AX650" i="2" s="1"/>
  <c r="AX652" i="2"/>
  <c r="AX643" i="2"/>
  <c r="AX640" i="2"/>
  <c r="AY561" i="2"/>
  <c r="AZ556" i="2" s="1"/>
  <c r="AY893" i="2"/>
  <c r="AY565" i="2"/>
  <c r="AX647" i="2"/>
  <c r="AX648" i="2" s="1"/>
  <c r="AX635" i="2"/>
  <c r="AX862" i="2"/>
  <c r="AX885" i="2" s="1"/>
  <c r="AX984" i="2" s="1"/>
  <c r="AX612" i="2"/>
  <c r="R667" i="2"/>
  <c r="AW714" i="2" l="1"/>
  <c r="AW715" i="2" s="1"/>
  <c r="AW716" i="2" s="1"/>
  <c r="AX707" i="2"/>
  <c r="AX698" i="2"/>
  <c r="AX693" i="2"/>
  <c r="AX702" i="2"/>
  <c r="AX703" i="2" s="1"/>
  <c r="AX710" i="2" s="1"/>
  <c r="AX697" i="2"/>
  <c r="AY566" i="2"/>
  <c r="AY567" i="2" s="1"/>
  <c r="AY595" i="2" s="1"/>
  <c r="K866" i="2"/>
  <c r="K867" i="2" s="1"/>
  <c r="K770" i="2"/>
  <c r="K820" i="2"/>
  <c r="K828" i="2" s="1"/>
  <c r="K831" i="2" s="1"/>
  <c r="L762" i="2"/>
  <c r="AX773" i="2"/>
  <c r="K889" i="2"/>
  <c r="K890" i="2" s="1"/>
  <c r="K986" i="2"/>
  <c r="K810" i="2"/>
  <c r="K929" i="2"/>
  <c r="K937" i="2" s="1"/>
  <c r="K942" i="2" s="1"/>
  <c r="AX803" i="2"/>
  <c r="AX824" i="2" s="1"/>
  <c r="AX638" i="2"/>
  <c r="AX641" i="2"/>
  <c r="AX642" i="2" s="1"/>
  <c r="AX664" i="2"/>
  <c r="AX651" i="2"/>
  <c r="AX660" i="2" s="1"/>
  <c r="AX661" i="2" s="1"/>
  <c r="AX668" i="2" s="1"/>
  <c r="AX654" i="2"/>
  <c r="AX655" i="2" s="1"/>
  <c r="AY900" i="2"/>
  <c r="AY931" i="2" s="1"/>
  <c r="AY939" i="2" s="1"/>
  <c r="AY903" i="2"/>
  <c r="AY910" i="2" s="1"/>
  <c r="AZ558" i="2"/>
  <c r="AZ559" i="2" s="1"/>
  <c r="AX644" i="2"/>
  <c r="AX665" i="2"/>
  <c r="AX656" i="2"/>
  <c r="AX657" i="2" s="1"/>
  <c r="AX653" i="2"/>
  <c r="R669" i="2"/>
  <c r="AX711" i="2" l="1"/>
  <c r="AX712" i="2" s="1"/>
  <c r="AX714" i="2" s="1"/>
  <c r="AX715" i="2" s="1"/>
  <c r="AX716" i="2" s="1"/>
  <c r="AX708" i="2"/>
  <c r="AX706" i="2"/>
  <c r="AX699" i="2"/>
  <c r="AY806" i="2"/>
  <c r="AY827" i="2" s="1"/>
  <c r="AY570" i="2"/>
  <c r="AY594" i="2" s="1"/>
  <c r="K928" i="2"/>
  <c r="K936" i="2" s="1"/>
  <c r="K913" i="2"/>
  <c r="K920" i="2" s="1"/>
  <c r="K922" i="2" s="1"/>
  <c r="K924" i="2" s="1"/>
  <c r="K837" i="2"/>
  <c r="K838" i="2" s="1"/>
  <c r="J839" i="2" s="1"/>
  <c r="K988" i="2"/>
  <c r="K1029" i="2" s="1"/>
  <c r="K1085" i="2" s="1"/>
  <c r="K1239" i="2"/>
  <c r="AY861" i="2"/>
  <c r="AY884" i="2" s="1"/>
  <c r="AY983" i="2" s="1"/>
  <c r="AZ560" i="2"/>
  <c r="AZ563" i="2" s="1"/>
  <c r="R670" i="2"/>
  <c r="R673" i="2"/>
  <c r="R672" i="2"/>
  <c r="AY634" i="2" l="1"/>
  <c r="AY647" i="2" s="1"/>
  <c r="AY648" i="2" s="1"/>
  <c r="AY691" i="2"/>
  <c r="AY692" i="2" s="1"/>
  <c r="AY603" i="2"/>
  <c r="AY604" i="2" s="1"/>
  <c r="AY695" i="2" s="1"/>
  <c r="AY696" i="2" s="1"/>
  <c r="AY705" i="2" s="1"/>
  <c r="K915" i="2"/>
  <c r="K917" i="2" s="1"/>
  <c r="K842" i="2"/>
  <c r="K843" i="2" s="1"/>
  <c r="J844" i="2" s="1"/>
  <c r="L754" i="2"/>
  <c r="L755" i="2"/>
  <c r="AZ561" i="2"/>
  <c r="BA556" i="2" s="1"/>
  <c r="AZ565" i="2"/>
  <c r="AZ893" i="2"/>
  <c r="S667" i="2"/>
  <c r="AY707" i="2" l="1"/>
  <c r="AY635" i="2"/>
  <c r="AY612" i="2"/>
  <c r="AY803" i="2" s="1"/>
  <c r="AY824" i="2" s="1"/>
  <c r="AY727" i="2"/>
  <c r="AY728" i="2" s="1"/>
  <c r="AY729" i="2" s="1"/>
  <c r="AY730" i="2" s="1"/>
  <c r="AY637" i="2"/>
  <c r="AY638" i="2" s="1"/>
  <c r="AY693" i="2"/>
  <c r="AY702" i="2"/>
  <c r="AY703" i="2" s="1"/>
  <c r="AY710" i="2" s="1"/>
  <c r="AY697" i="2"/>
  <c r="AY698" i="2"/>
  <c r="AY862" i="2"/>
  <c r="AY885" i="2" s="1"/>
  <c r="AY984" i="2" s="1"/>
  <c r="AY774" i="2"/>
  <c r="AY639" i="2"/>
  <c r="AZ566" i="2"/>
  <c r="AZ567" i="2" s="1"/>
  <c r="AZ806" i="2" s="1"/>
  <c r="AZ827" i="2" s="1"/>
  <c r="L756" i="2"/>
  <c r="L763" i="2" s="1"/>
  <c r="AZ900" i="2"/>
  <c r="AZ931" i="2" s="1"/>
  <c r="AZ939" i="2" s="1"/>
  <c r="AZ903" i="2"/>
  <c r="AZ910" i="2" s="1"/>
  <c r="BA558" i="2"/>
  <c r="BA559" i="2" s="1"/>
  <c r="S669" i="2"/>
  <c r="AY711" i="2" l="1"/>
  <c r="AY712" i="2" s="1"/>
  <c r="AY773" i="2"/>
  <c r="AY708" i="2"/>
  <c r="AY706" i="2"/>
  <c r="AY650" i="2"/>
  <c r="AY664" i="2" s="1"/>
  <c r="AY641" i="2"/>
  <c r="AY642" i="2" s="1"/>
  <c r="AY699" i="2"/>
  <c r="AY643" i="2"/>
  <c r="AY644" i="2" s="1"/>
  <c r="AY652" i="2"/>
  <c r="AY640" i="2"/>
  <c r="AZ570" i="2"/>
  <c r="AZ594" i="2" s="1"/>
  <c r="AZ595" i="2"/>
  <c r="L764" i="2"/>
  <c r="BA560" i="2"/>
  <c r="BA563" i="2" s="1"/>
  <c r="S670" i="2"/>
  <c r="S672" i="2"/>
  <c r="S673" i="2"/>
  <c r="AY714" i="2" l="1"/>
  <c r="AY715" i="2" s="1"/>
  <c r="AY716" i="2" s="1"/>
  <c r="AY651" i="2"/>
  <c r="AY660" i="2" s="1"/>
  <c r="AY654" i="2"/>
  <c r="AY655" i="2" s="1"/>
  <c r="AZ861" i="2"/>
  <c r="AZ884" i="2" s="1"/>
  <c r="AZ983" i="2" s="1"/>
  <c r="AZ603" i="2"/>
  <c r="AZ604" i="2" s="1"/>
  <c r="AZ774" i="2" s="1"/>
  <c r="AZ691" i="2"/>
  <c r="AZ692" i="2" s="1"/>
  <c r="AY656" i="2"/>
  <c r="AY657" i="2" s="1"/>
  <c r="AY653" i="2"/>
  <c r="AY665" i="2"/>
  <c r="AZ634" i="2"/>
  <c r="AZ635" i="2" s="1"/>
  <c r="L765" i="2"/>
  <c r="L766" i="2" s="1"/>
  <c r="BA561" i="2"/>
  <c r="BB556" i="2" s="1"/>
  <c r="BB558" i="2" s="1"/>
  <c r="BB559" i="2" s="1"/>
  <c r="BA565" i="2"/>
  <c r="BA893" i="2"/>
  <c r="T667" i="2"/>
  <c r="L864" i="2" l="1"/>
  <c r="L866" i="2" s="1"/>
  <c r="L799" i="2"/>
  <c r="L820" i="2" s="1"/>
  <c r="L828" i="2" s="1"/>
  <c r="L777" i="2"/>
  <c r="L776" i="2"/>
  <c r="M761" i="2" s="1"/>
  <c r="AZ727" i="2"/>
  <c r="AZ728" i="2" s="1"/>
  <c r="AZ729" i="2" s="1"/>
  <c r="AZ730" i="2" s="1"/>
  <c r="AZ639" i="2"/>
  <c r="AZ643" i="2" s="1"/>
  <c r="AZ644" i="2" s="1"/>
  <c r="AZ637" i="2"/>
  <c r="AZ638" i="2" s="1"/>
  <c r="AZ612" i="2"/>
  <c r="AZ803" i="2" s="1"/>
  <c r="AZ824" i="2" s="1"/>
  <c r="AZ862" i="2"/>
  <c r="AZ885" i="2" s="1"/>
  <c r="AZ984" i="2" s="1"/>
  <c r="AZ693" i="2"/>
  <c r="AZ702" i="2"/>
  <c r="AZ703" i="2" s="1"/>
  <c r="AZ710" i="2" s="1"/>
  <c r="AZ695" i="2"/>
  <c r="AZ696" i="2" s="1"/>
  <c r="AZ705" i="2" s="1"/>
  <c r="AZ647" i="2"/>
  <c r="AZ648" i="2" s="1"/>
  <c r="AY661" i="2"/>
  <c r="BA566" i="2"/>
  <c r="BA567" i="2" s="1"/>
  <c r="BA595" i="2" s="1"/>
  <c r="L768" i="2"/>
  <c r="L769" i="2" s="1"/>
  <c r="L770" i="2" s="1"/>
  <c r="M748" i="2"/>
  <c r="M749" i="2" s="1"/>
  <c r="M753" i="2" s="1"/>
  <c r="M754" i="2" s="1"/>
  <c r="M756" i="2" s="1"/>
  <c r="M764" i="2" s="1"/>
  <c r="M760" i="2"/>
  <c r="BB560" i="2"/>
  <c r="BB563" i="2" s="1"/>
  <c r="BA900" i="2"/>
  <c r="BA931" i="2" s="1"/>
  <c r="BA939" i="2" s="1"/>
  <c r="BA903" i="2"/>
  <c r="BA910" i="2" s="1"/>
  <c r="T669" i="2"/>
  <c r="AZ650" i="2" l="1"/>
  <c r="AZ664" i="2" s="1"/>
  <c r="AZ640" i="2"/>
  <c r="AZ652" i="2"/>
  <c r="AZ653" i="2" s="1"/>
  <c r="AZ641" i="2"/>
  <c r="AZ642" i="2" s="1"/>
  <c r="AZ773" i="2"/>
  <c r="AZ706" i="2"/>
  <c r="AZ707" i="2"/>
  <c r="AZ697" i="2"/>
  <c r="AZ698" i="2"/>
  <c r="AZ699" i="2" s="1"/>
  <c r="BA570" i="2"/>
  <c r="BA594" i="2" s="1"/>
  <c r="BA806" i="2"/>
  <c r="BA827" i="2" s="1"/>
  <c r="AY668" i="2"/>
  <c r="L807" i="2"/>
  <c r="L913" i="2" s="1"/>
  <c r="L887" i="2"/>
  <c r="L889" i="2" s="1"/>
  <c r="L890" i="2" s="1"/>
  <c r="M762" i="2"/>
  <c r="M765" i="2" s="1"/>
  <c r="M755" i="2"/>
  <c r="L837" i="2"/>
  <c r="L831" i="2"/>
  <c r="L928" i="2"/>
  <c r="L936" i="2" s="1"/>
  <c r="L867" i="2"/>
  <c r="BA861" i="2"/>
  <c r="BA884" i="2" s="1"/>
  <c r="BA983" i="2" s="1"/>
  <c r="BB561" i="2"/>
  <c r="BC556" i="2" s="1"/>
  <c r="BB565" i="2"/>
  <c r="BB893" i="2"/>
  <c r="T670" i="2"/>
  <c r="T672" i="2"/>
  <c r="T673" i="2"/>
  <c r="AZ654" i="2" l="1"/>
  <c r="AZ655" i="2" s="1"/>
  <c r="AZ708" i="2"/>
  <c r="AZ711" i="2"/>
  <c r="AZ712" i="2" s="1"/>
  <c r="AZ651" i="2"/>
  <c r="AZ660" i="2" s="1"/>
  <c r="AZ661" i="2" s="1"/>
  <c r="AZ668" i="2" s="1"/>
  <c r="AZ665" i="2"/>
  <c r="AZ656" i="2"/>
  <c r="AZ657" i="2" s="1"/>
  <c r="BA603" i="2"/>
  <c r="BA604" i="2" s="1"/>
  <c r="BA634" i="2"/>
  <c r="BA647" i="2" s="1"/>
  <c r="BA648" i="2" s="1"/>
  <c r="BA691" i="2"/>
  <c r="BA692" i="2" s="1"/>
  <c r="BB566" i="2"/>
  <c r="BB567" i="2" s="1"/>
  <c r="BB570" i="2" s="1"/>
  <c r="BB594" i="2" s="1"/>
  <c r="L986" i="2"/>
  <c r="L1239" i="2" s="1"/>
  <c r="L929" i="2"/>
  <c r="L937" i="2" s="1"/>
  <c r="L942" i="2" s="1"/>
  <c r="L810" i="2"/>
  <c r="M763" i="2"/>
  <c r="L842" i="2"/>
  <c r="L843" i="2" s="1"/>
  <c r="K844" i="2" s="1"/>
  <c r="L838" i="2"/>
  <c r="K839" i="2" s="1"/>
  <c r="L915" i="2"/>
  <c r="L917" i="2" s="1"/>
  <c r="L920" i="2"/>
  <c r="L922" i="2" s="1"/>
  <c r="L924" i="2" s="1"/>
  <c r="M766" i="2"/>
  <c r="BB900" i="2"/>
  <c r="BB931" i="2" s="1"/>
  <c r="BB939" i="2" s="1"/>
  <c r="BB903" i="2"/>
  <c r="BB910" i="2" s="1"/>
  <c r="BC558" i="2"/>
  <c r="BC559" i="2" s="1"/>
  <c r="U667" i="2"/>
  <c r="M799" i="2" l="1"/>
  <c r="M864" i="2"/>
  <c r="M777" i="2"/>
  <c r="M776" i="2"/>
  <c r="AZ714" i="2"/>
  <c r="AZ715" i="2" s="1"/>
  <c r="AZ716" i="2" s="1"/>
  <c r="BA635" i="2"/>
  <c r="BA612" i="2"/>
  <c r="BA773" i="2" s="1"/>
  <c r="BA862" i="2"/>
  <c r="BA885" i="2" s="1"/>
  <c r="BA984" i="2" s="1"/>
  <c r="BA727" i="2"/>
  <c r="BA728" i="2" s="1"/>
  <c r="BA729" i="2" s="1"/>
  <c r="BA730" i="2" s="1"/>
  <c r="BA639" i="2"/>
  <c r="BA652" i="2" s="1"/>
  <c r="BA774" i="2"/>
  <c r="BA693" i="2"/>
  <c r="BA702" i="2"/>
  <c r="BA703" i="2" s="1"/>
  <c r="BA710" i="2" s="1"/>
  <c r="BA637" i="2"/>
  <c r="BA695" i="2"/>
  <c r="BA696" i="2" s="1"/>
  <c r="BA705" i="2" s="1"/>
  <c r="BB806" i="2"/>
  <c r="BB827" i="2" s="1"/>
  <c r="BB595" i="2"/>
  <c r="BB634" i="2" s="1"/>
  <c r="L988" i="2"/>
  <c r="L1029" i="2" s="1"/>
  <c r="L1085" i="2" s="1"/>
  <c r="N748" i="2"/>
  <c r="N749" i="2" s="1"/>
  <c r="M768" i="2"/>
  <c r="BC560" i="2"/>
  <c r="BC563" i="2" s="1"/>
  <c r="BB603" i="2"/>
  <c r="BB604" i="2" s="1"/>
  <c r="BB774" i="2" s="1"/>
  <c r="U669" i="2"/>
  <c r="BA643" i="2" l="1"/>
  <c r="BA644" i="2" s="1"/>
  <c r="BA640" i="2"/>
  <c r="BA803" i="2"/>
  <c r="BA824" i="2" s="1"/>
  <c r="BA706" i="2"/>
  <c r="BA707" i="2"/>
  <c r="BA697" i="2"/>
  <c r="BA698" i="2"/>
  <c r="BA699" i="2" s="1"/>
  <c r="BA650" i="2"/>
  <c r="BA638" i="2"/>
  <c r="BA641" i="2"/>
  <c r="BA642" i="2" s="1"/>
  <c r="BB695" i="2"/>
  <c r="BB696" i="2" s="1"/>
  <c r="BB705" i="2" s="1"/>
  <c r="BB691" i="2"/>
  <c r="BB692" i="2" s="1"/>
  <c r="BB861" i="2"/>
  <c r="BB884" i="2" s="1"/>
  <c r="BB983" i="2" s="1"/>
  <c r="N761" i="2"/>
  <c r="M769" i="2"/>
  <c r="M770" i="2" s="1"/>
  <c r="N753" i="2"/>
  <c r="N754" i="2" s="1"/>
  <c r="N756" i="2" s="1"/>
  <c r="N764" i="2" s="1"/>
  <c r="N760" i="2"/>
  <c r="M866" i="2"/>
  <c r="M887" i="2"/>
  <c r="M807" i="2"/>
  <c r="M820" i="2"/>
  <c r="M828" i="2" s="1"/>
  <c r="BB637" i="2"/>
  <c r="BB641" i="2" s="1"/>
  <c r="BB727" i="2"/>
  <c r="BB728" i="2" s="1"/>
  <c r="BB729" i="2" s="1"/>
  <c r="BB730" i="2" s="1"/>
  <c r="BB639" i="2"/>
  <c r="BB640" i="2" s="1"/>
  <c r="BA665" i="2"/>
  <c r="BA653" i="2"/>
  <c r="BA656" i="2"/>
  <c r="BA657" i="2" s="1"/>
  <c r="BB612" i="2"/>
  <c r="BB862" i="2"/>
  <c r="BB885" i="2" s="1"/>
  <c r="BB984" i="2" s="1"/>
  <c r="BB647" i="2"/>
  <c r="BB648" i="2" s="1"/>
  <c r="BB635" i="2"/>
  <c r="BC561" i="2"/>
  <c r="BD556" i="2" s="1"/>
  <c r="BC893" i="2"/>
  <c r="BC565" i="2"/>
  <c r="U670" i="2"/>
  <c r="V667" i="2" s="1"/>
  <c r="U673" i="2"/>
  <c r="U672" i="2"/>
  <c r="BA708" i="2" l="1"/>
  <c r="BA711" i="2"/>
  <c r="BA712" i="2" s="1"/>
  <c r="BB707" i="2"/>
  <c r="BB693" i="2"/>
  <c r="BB702" i="2"/>
  <c r="BB703" i="2" s="1"/>
  <c r="BB710" i="2" s="1"/>
  <c r="BB697" i="2"/>
  <c r="BB698" i="2"/>
  <c r="BA664" i="2"/>
  <c r="BA651" i="2"/>
  <c r="BA660" i="2" s="1"/>
  <c r="BA661" i="2" s="1"/>
  <c r="BA668" i="2" s="1"/>
  <c r="BA654" i="2"/>
  <c r="BA655" i="2" s="1"/>
  <c r="BC566" i="2"/>
  <c r="BC567" i="2" s="1"/>
  <c r="BC806" i="2" s="1"/>
  <c r="BC827" i="2" s="1"/>
  <c r="N762" i="2"/>
  <c r="N765" i="2" s="1"/>
  <c r="BB773" i="2"/>
  <c r="N755" i="2"/>
  <c r="M889" i="2"/>
  <c r="M890" i="2" s="1"/>
  <c r="M986" i="2"/>
  <c r="M831" i="2"/>
  <c r="M837" i="2"/>
  <c r="M929" i="2"/>
  <c r="M937" i="2" s="1"/>
  <c r="M942" i="2" s="1"/>
  <c r="M810" i="2"/>
  <c r="M928" i="2"/>
  <c r="M936" i="2" s="1"/>
  <c r="M867" i="2"/>
  <c r="M913" i="2"/>
  <c r="BB803" i="2"/>
  <c r="BB824" i="2" s="1"/>
  <c r="BB638" i="2"/>
  <c r="BB650" i="2"/>
  <c r="BB651" i="2" s="1"/>
  <c r="BB660" i="2" s="1"/>
  <c r="BB661" i="2" s="1"/>
  <c r="BB668" i="2" s="1"/>
  <c r="BB643" i="2"/>
  <c r="BB644" i="2" s="1"/>
  <c r="BB652" i="2"/>
  <c r="BB656" i="2" s="1"/>
  <c r="BB657" i="2" s="1"/>
  <c r="BC900" i="2"/>
  <c r="BC931" i="2" s="1"/>
  <c r="BC939" i="2" s="1"/>
  <c r="BC903" i="2"/>
  <c r="BC910" i="2" s="1"/>
  <c r="BD558" i="2"/>
  <c r="C558" i="2" s="1"/>
  <c r="BB642" i="2"/>
  <c r="V669" i="2"/>
  <c r="BB711" i="2" l="1"/>
  <c r="BB712" i="2" s="1"/>
  <c r="BA714" i="2"/>
  <c r="BA715" i="2" s="1"/>
  <c r="BA716" i="2" s="1"/>
  <c r="BB708" i="2"/>
  <c r="BB706" i="2"/>
  <c r="BB699" i="2"/>
  <c r="BC570" i="2"/>
  <c r="BC594" i="2" s="1"/>
  <c r="BC595" i="2"/>
  <c r="BC861" i="2" s="1"/>
  <c r="BC884" i="2" s="1"/>
  <c r="BC983" i="2" s="1"/>
  <c r="N763" i="2"/>
  <c r="N766" i="2"/>
  <c r="M842" i="2"/>
  <c r="M843" i="2" s="1"/>
  <c r="L844" i="2" s="1"/>
  <c r="M838" i="2"/>
  <c r="L839" i="2" s="1"/>
  <c r="M988" i="2"/>
  <c r="M1029" i="2" s="1"/>
  <c r="M1085" i="2" s="1"/>
  <c r="M1239" i="2"/>
  <c r="M915" i="2"/>
  <c r="M917" i="2" s="1"/>
  <c r="M920" i="2"/>
  <c r="M922" i="2" s="1"/>
  <c r="M924" i="2" s="1"/>
  <c r="BB654" i="2"/>
  <c r="BB655" i="2" s="1"/>
  <c r="BB664" i="2"/>
  <c r="BB653" i="2"/>
  <c r="BB665" i="2"/>
  <c r="BD559" i="2"/>
  <c r="C559" i="2" s="1"/>
  <c r="V673" i="2"/>
  <c r="V672" i="2"/>
  <c r="V670" i="2"/>
  <c r="N864" i="2" l="1"/>
  <c r="N799" i="2"/>
  <c r="N777" i="2"/>
  <c r="N776" i="2"/>
  <c r="BC603" i="2"/>
  <c r="BC604" i="2" s="1"/>
  <c r="BC774" i="2" s="1"/>
  <c r="BB714" i="2"/>
  <c r="BB715" i="2" s="1"/>
  <c r="BB716" i="2" s="1"/>
  <c r="BC691" i="2"/>
  <c r="BC692" i="2" s="1"/>
  <c r="BC693" i="2" s="1"/>
  <c r="BC634" i="2"/>
  <c r="BC635" i="2" s="1"/>
  <c r="O748" i="2"/>
  <c r="O749" i="2" s="1"/>
  <c r="N768" i="2"/>
  <c r="BD560" i="2"/>
  <c r="C560" i="2" s="1"/>
  <c r="W667" i="2"/>
  <c r="BC612" i="2" l="1"/>
  <c r="BC803" i="2" s="1"/>
  <c r="BC824" i="2" s="1"/>
  <c r="BC862" i="2"/>
  <c r="BC885" i="2" s="1"/>
  <c r="BC984" i="2" s="1"/>
  <c r="BC637" i="2"/>
  <c r="BC650" i="2" s="1"/>
  <c r="BC639" i="2"/>
  <c r="BC652" i="2" s="1"/>
  <c r="BC727" i="2"/>
  <c r="BC728" i="2" s="1"/>
  <c r="BC729" i="2" s="1"/>
  <c r="BC730" i="2" s="1"/>
  <c r="BC695" i="2"/>
  <c r="BC696" i="2" s="1"/>
  <c r="BC705" i="2" s="1"/>
  <c r="BC707" i="2" s="1"/>
  <c r="BC702" i="2"/>
  <c r="BC703" i="2" s="1"/>
  <c r="BC710" i="2" s="1"/>
  <c r="BC647" i="2"/>
  <c r="BC648" i="2" s="1"/>
  <c r="O761" i="2"/>
  <c r="N769" i="2"/>
  <c r="N770" i="2" s="1"/>
  <c r="O753" i="2"/>
  <c r="O754" i="2" s="1"/>
  <c r="O756" i="2" s="1"/>
  <c r="O764" i="2" s="1"/>
  <c r="N807" i="2"/>
  <c r="N820" i="2"/>
  <c r="N828" i="2" s="1"/>
  <c r="O760" i="2"/>
  <c r="O762" i="2" s="1"/>
  <c r="N866" i="2"/>
  <c r="N887" i="2"/>
  <c r="BD563" i="2"/>
  <c r="C563" i="2" s="1"/>
  <c r="BD561" i="2"/>
  <c r="W669" i="2"/>
  <c r="BC643" i="2" l="1"/>
  <c r="BC644" i="2" s="1"/>
  <c r="BC640" i="2"/>
  <c r="BC773" i="2"/>
  <c r="BC711" i="2"/>
  <c r="BC712" i="2" s="1"/>
  <c r="BC714" i="2" s="1"/>
  <c r="BC715" i="2" s="1"/>
  <c r="BC716" i="2" s="1"/>
  <c r="BC638" i="2"/>
  <c r="BC641" i="2"/>
  <c r="BC642" i="2" s="1"/>
  <c r="BC697" i="2"/>
  <c r="BC698" i="2"/>
  <c r="BC699" i="2" s="1"/>
  <c r="BC706" i="2"/>
  <c r="BC708" i="2"/>
  <c r="O765" i="2"/>
  <c r="O763" i="2"/>
  <c r="O755" i="2"/>
  <c r="N986" i="2"/>
  <c r="N889" i="2"/>
  <c r="N890" i="2" s="1"/>
  <c r="N831" i="2"/>
  <c r="N837" i="2"/>
  <c r="N867" i="2"/>
  <c r="N928" i="2"/>
  <c r="N936" i="2" s="1"/>
  <c r="N913" i="2"/>
  <c r="N929" i="2"/>
  <c r="N937" i="2" s="1"/>
  <c r="N942" i="2" s="1"/>
  <c r="N810" i="2"/>
  <c r="BD893" i="2"/>
  <c r="BD900" i="2" s="1"/>
  <c r="BD565" i="2"/>
  <c r="BC664" i="2"/>
  <c r="BC651" i="2"/>
  <c r="BC660" i="2" s="1"/>
  <c r="BC661" i="2" s="1"/>
  <c r="BC668" i="2" s="1"/>
  <c r="BC654" i="2"/>
  <c r="BC655" i="2" s="1"/>
  <c r="BC665" i="2"/>
  <c r="BC656" i="2"/>
  <c r="BC657" i="2" s="1"/>
  <c r="BC653" i="2"/>
  <c r="W670" i="2"/>
  <c r="W672" i="2"/>
  <c r="W673" i="2"/>
  <c r="BD566" i="2" l="1"/>
  <c r="BD567" i="2" s="1"/>
  <c r="N988" i="2"/>
  <c r="N1029" i="2" s="1"/>
  <c r="N1085" i="2" s="1"/>
  <c r="N1239" i="2"/>
  <c r="N915" i="2"/>
  <c r="N917" i="2" s="1"/>
  <c r="N920" i="2"/>
  <c r="N922" i="2" s="1"/>
  <c r="N924" i="2" s="1"/>
  <c r="O766" i="2"/>
  <c r="N842" i="2"/>
  <c r="N843" i="2" s="1"/>
  <c r="M844" i="2" s="1"/>
  <c r="N838" i="2"/>
  <c r="M839" i="2" s="1"/>
  <c r="C893" i="2"/>
  <c r="BD903" i="2"/>
  <c r="BD910" i="2" s="1"/>
  <c r="C910" i="2" s="1"/>
  <c r="C565" i="2"/>
  <c r="BD931" i="2"/>
  <c r="C900" i="2"/>
  <c r="X667" i="2"/>
  <c r="O864" i="2" l="1"/>
  <c r="O799" i="2"/>
  <c r="O776" i="2"/>
  <c r="O777" i="2"/>
  <c r="C566" i="2"/>
  <c r="P748" i="2"/>
  <c r="P749" i="2" s="1"/>
  <c r="O768" i="2"/>
  <c r="C903" i="2"/>
  <c r="C931" i="2"/>
  <c r="BD939" i="2"/>
  <c r="C567" i="2"/>
  <c r="BD570" i="2"/>
  <c r="BD595" i="2"/>
  <c r="BD806" i="2"/>
  <c r="X669" i="2"/>
  <c r="P761" i="2" l="1"/>
  <c r="O769" i="2"/>
  <c r="O770" i="2" s="1"/>
  <c r="P753" i="2"/>
  <c r="P754" i="2" s="1"/>
  <c r="P756" i="2" s="1"/>
  <c r="P764" i="2" s="1"/>
  <c r="P760" i="2"/>
  <c r="O820" i="2"/>
  <c r="O828" i="2" s="1"/>
  <c r="O807" i="2"/>
  <c r="O866" i="2"/>
  <c r="O887" i="2"/>
  <c r="BD827" i="2"/>
  <c r="C827" i="2" s="1"/>
  <c r="C806" i="2"/>
  <c r="BD861" i="2"/>
  <c r="C595" i="2"/>
  <c r="BD594" i="2"/>
  <c r="C570" i="2"/>
  <c r="H951" i="2"/>
  <c r="H963" i="2" s="1"/>
  <c r="I951" i="2"/>
  <c r="I963" i="2" s="1"/>
  <c r="K951" i="2"/>
  <c r="K963" i="2" s="1"/>
  <c r="G951" i="2"/>
  <c r="G963" i="2" s="1"/>
  <c r="C939" i="2"/>
  <c r="J951" i="2"/>
  <c r="J963" i="2" s="1"/>
  <c r="X670" i="2"/>
  <c r="X673" i="2"/>
  <c r="X672" i="2"/>
  <c r="BD691" i="2" l="1"/>
  <c r="BD692" i="2" s="1"/>
  <c r="BD702" i="2" s="1"/>
  <c r="BD703" i="2" s="1"/>
  <c r="BD710" i="2" s="1"/>
  <c r="P762" i="2"/>
  <c r="P765" i="2" s="1"/>
  <c r="P755" i="2"/>
  <c r="O889" i="2"/>
  <c r="O890" i="2" s="1"/>
  <c r="O986" i="2"/>
  <c r="O837" i="2"/>
  <c r="O831" i="2"/>
  <c r="O913" i="2"/>
  <c r="O867" i="2"/>
  <c r="O928" i="2"/>
  <c r="O936" i="2" s="1"/>
  <c r="O810" i="2"/>
  <c r="O929" i="2"/>
  <c r="O937" i="2" s="1"/>
  <c r="O942" i="2" s="1"/>
  <c r="BD634" i="2"/>
  <c r="BD647" i="2" s="1"/>
  <c r="BD648" i="2" s="1"/>
  <c r="BD603" i="2"/>
  <c r="C594" i="2"/>
  <c r="BD884" i="2"/>
  <c r="C861" i="2"/>
  <c r="Y667" i="2"/>
  <c r="C710" i="2" l="1"/>
  <c r="C692" i="2"/>
  <c r="BD693" i="2"/>
  <c r="C691" i="2"/>
  <c r="O988" i="2"/>
  <c r="O1029" i="2" s="1"/>
  <c r="O1085" i="2" s="1"/>
  <c r="O1239" i="2"/>
  <c r="P763" i="2"/>
  <c r="P766" i="2"/>
  <c r="O838" i="2"/>
  <c r="N839" i="2" s="1"/>
  <c r="O842" i="2"/>
  <c r="O843" i="2" s="1"/>
  <c r="N844" i="2" s="1"/>
  <c r="O920" i="2"/>
  <c r="O922" i="2" s="1"/>
  <c r="O924" i="2" s="1"/>
  <c r="O915" i="2"/>
  <c r="O917" i="2" s="1"/>
  <c r="BD635" i="2"/>
  <c r="C634" i="2"/>
  <c r="BD983" i="2"/>
  <c r="C983" i="2" s="1"/>
  <c r="F1007" i="2" s="1"/>
  <c r="C884" i="2"/>
  <c r="BD604" i="2"/>
  <c r="C603" i="2"/>
  <c r="Y669" i="2"/>
  <c r="C648" i="2"/>
  <c r="C647" i="2"/>
  <c r="P799" i="2" l="1"/>
  <c r="P864" i="2"/>
  <c r="P777" i="2"/>
  <c r="P776" i="2"/>
  <c r="BD695" i="2"/>
  <c r="BD696" i="2" s="1"/>
  <c r="BD705" i="2" s="1"/>
  <c r="BD774" i="2"/>
  <c r="Q748" i="2"/>
  <c r="Q749" i="2" s="1"/>
  <c r="P768" i="2"/>
  <c r="BD637" i="2"/>
  <c r="BD862" i="2"/>
  <c r="C604" i="2"/>
  <c r="BD612" i="2"/>
  <c r="BD727" i="2"/>
  <c r="BD639" i="2"/>
  <c r="C211" i="18"/>
  <c r="Y670" i="2"/>
  <c r="Y672" i="2"/>
  <c r="Y673" i="2"/>
  <c r="C774" i="2" l="1"/>
  <c r="BD706" i="2"/>
  <c r="BD707" i="2"/>
  <c r="C696" i="2"/>
  <c r="BD697" i="2"/>
  <c r="BD698" i="2"/>
  <c r="BD699" i="2" s="1"/>
  <c r="P769" i="2"/>
  <c r="P770" i="2" s="1"/>
  <c r="Q761" i="2"/>
  <c r="BD773" i="2"/>
  <c r="Q753" i="2"/>
  <c r="Q755" i="2" s="1"/>
  <c r="P820" i="2"/>
  <c r="P828" i="2" s="1"/>
  <c r="P807" i="2"/>
  <c r="P866" i="2"/>
  <c r="P887" i="2"/>
  <c r="Q760" i="2"/>
  <c r="BD652" i="2"/>
  <c r="BD640" i="2"/>
  <c r="BD643" i="2"/>
  <c r="BD644" i="2" s="1"/>
  <c r="C639" i="2"/>
  <c r="C727" i="2"/>
  <c r="BD728" i="2"/>
  <c r="BD729" i="2" s="1"/>
  <c r="BD730" i="2" s="1"/>
  <c r="C730" i="2" s="1"/>
  <c r="BD803" i="2"/>
  <c r="C612" i="2"/>
  <c r="C862" i="2"/>
  <c r="BD885" i="2"/>
  <c r="BD650" i="2"/>
  <c r="BD638" i="2"/>
  <c r="BD641" i="2"/>
  <c r="BD642" i="2" s="1"/>
  <c r="C637" i="2"/>
  <c r="Z667" i="2"/>
  <c r="BD708" i="2" l="1"/>
  <c r="BD711" i="2"/>
  <c r="BD712" i="2" s="1"/>
  <c r="Q762" i="2"/>
  <c r="Q754" i="2"/>
  <c r="Q756" i="2" s="1"/>
  <c r="Q764" i="2" s="1"/>
  <c r="P889" i="2"/>
  <c r="P890" i="2" s="1"/>
  <c r="P986" i="2"/>
  <c r="P928" i="2"/>
  <c r="P936" i="2" s="1"/>
  <c r="P913" i="2"/>
  <c r="P867" i="2"/>
  <c r="P810" i="2"/>
  <c r="P929" i="2"/>
  <c r="P937" i="2" s="1"/>
  <c r="P942" i="2" s="1"/>
  <c r="P831" i="2"/>
  <c r="P837" i="2"/>
  <c r="C773" i="2"/>
  <c r="A639" i="2"/>
  <c r="BD824" i="2"/>
  <c r="C824" i="2" s="1"/>
  <c r="C803" i="2"/>
  <c r="BD664" i="2"/>
  <c r="BD651" i="2"/>
  <c r="BD660" i="2" s="1"/>
  <c r="BD661" i="2" s="1"/>
  <c r="C650" i="2"/>
  <c r="BD654" i="2"/>
  <c r="BD655" i="2" s="1"/>
  <c r="BD984" i="2"/>
  <c r="C984" i="2" s="1"/>
  <c r="F1008" i="2" s="1"/>
  <c r="C885" i="2"/>
  <c r="BD665" i="2"/>
  <c r="C665" i="2" s="1"/>
  <c r="C652" i="2"/>
  <c r="BD653" i="2"/>
  <c r="BD656" i="2"/>
  <c r="BD657" i="2" s="1"/>
  <c r="Z669" i="2"/>
  <c r="BD714" i="2" l="1"/>
  <c r="C711" i="2"/>
  <c r="C664" i="2"/>
  <c r="A665" i="2" s="1"/>
  <c r="P988" i="2"/>
  <c r="P1029" i="2" s="1"/>
  <c r="P1085" i="2" s="1"/>
  <c r="P1239" i="2"/>
  <c r="Q765" i="2"/>
  <c r="Q766" i="2" s="1"/>
  <c r="Q763" i="2"/>
  <c r="P915" i="2"/>
  <c r="P917" i="2" s="1"/>
  <c r="P920" i="2"/>
  <c r="P922" i="2" s="1"/>
  <c r="P924" i="2" s="1"/>
  <c r="P842" i="2"/>
  <c r="P843" i="2" s="1"/>
  <c r="O844" i="2" s="1"/>
  <c r="P838" i="2"/>
  <c r="O839" i="2" s="1"/>
  <c r="C212" i="18"/>
  <c r="BD668" i="2"/>
  <c r="C661" i="2"/>
  <c r="Z670" i="2"/>
  <c r="Z672" i="2"/>
  <c r="Z673" i="2"/>
  <c r="Q799" i="2" l="1"/>
  <c r="Q864" i="2"/>
  <c r="Q776" i="2"/>
  <c r="Q777" i="2"/>
  <c r="BD715" i="2"/>
  <c r="C714" i="2"/>
  <c r="C712" i="2"/>
  <c r="C702" i="2"/>
  <c r="C695" i="2"/>
  <c r="R748" i="2"/>
  <c r="R749" i="2" s="1"/>
  <c r="Q768" i="2"/>
  <c r="AA667" i="2"/>
  <c r="BD716" i="2" l="1"/>
  <c r="C715" i="2"/>
  <c r="C705" i="2"/>
  <c r="Q769" i="2"/>
  <c r="Q770" i="2" s="1"/>
  <c r="R761" i="2"/>
  <c r="R753" i="2"/>
  <c r="Q866" i="2"/>
  <c r="Q887" i="2"/>
  <c r="Q807" i="2"/>
  <c r="Q820" i="2"/>
  <c r="Q828" i="2" s="1"/>
  <c r="R760" i="2"/>
  <c r="AA669" i="2"/>
  <c r="R762" i="2" l="1"/>
  <c r="Q831" i="2"/>
  <c r="Q837" i="2"/>
  <c r="Q929" i="2"/>
  <c r="Q937" i="2" s="1"/>
  <c r="Q942" i="2" s="1"/>
  <c r="Q810" i="2"/>
  <c r="R754" i="2"/>
  <c r="R756" i="2" s="1"/>
  <c r="R764" i="2" s="1"/>
  <c r="R755" i="2"/>
  <c r="Q889" i="2"/>
  <c r="Q890" i="2" s="1"/>
  <c r="Q986" i="2"/>
  <c r="Q867" i="2"/>
  <c r="Q928" i="2"/>
  <c r="Q936" i="2" s="1"/>
  <c r="Q913" i="2"/>
  <c r="AA670" i="2"/>
  <c r="AA672" i="2"/>
  <c r="AA673" i="2"/>
  <c r="Q988" i="2" l="1"/>
  <c r="Q1029" i="2" s="1"/>
  <c r="Q1085" i="2" s="1"/>
  <c r="Q1239" i="2"/>
  <c r="R765" i="2"/>
  <c r="R766" i="2" s="1"/>
  <c r="R763" i="2"/>
  <c r="Q920" i="2"/>
  <c r="Q922" i="2" s="1"/>
  <c r="Q924" i="2" s="1"/>
  <c r="Q915" i="2"/>
  <c r="Q917" i="2" s="1"/>
  <c r="Q842" i="2"/>
  <c r="Q843" i="2" s="1"/>
  <c r="P844" i="2" s="1"/>
  <c r="Q838" i="2"/>
  <c r="P839" i="2" s="1"/>
  <c r="AB667" i="2"/>
  <c r="R864" i="2" l="1"/>
  <c r="R799" i="2"/>
  <c r="R776" i="2"/>
  <c r="R777" i="2"/>
  <c r="S748" i="2"/>
  <c r="S749" i="2" s="1"/>
  <c r="R768" i="2"/>
  <c r="AB669" i="2"/>
  <c r="S761" i="2" l="1"/>
  <c r="R769" i="2"/>
  <c r="R770" i="2" s="1"/>
  <c r="S753" i="2"/>
  <c r="S754" i="2" s="1"/>
  <c r="S756" i="2" s="1"/>
  <c r="S764" i="2" s="1"/>
  <c r="R887" i="2"/>
  <c r="R866" i="2"/>
  <c r="S760" i="2"/>
  <c r="R820" i="2"/>
  <c r="R828" i="2" s="1"/>
  <c r="R807" i="2"/>
  <c r="AB670" i="2"/>
  <c r="AB673" i="2"/>
  <c r="AB672" i="2"/>
  <c r="S762" i="2" l="1"/>
  <c r="S765" i="2" s="1"/>
  <c r="S755" i="2"/>
  <c r="R929" i="2"/>
  <c r="R937" i="2" s="1"/>
  <c r="R942" i="2" s="1"/>
  <c r="R810" i="2"/>
  <c r="R837" i="2"/>
  <c r="R831" i="2"/>
  <c r="R913" i="2"/>
  <c r="R867" i="2"/>
  <c r="R928" i="2"/>
  <c r="R936" i="2" s="1"/>
  <c r="R986" i="2"/>
  <c r="R889" i="2"/>
  <c r="R890" i="2" s="1"/>
  <c r="AC667" i="2"/>
  <c r="R988" i="2" l="1"/>
  <c r="R1029" i="2" s="1"/>
  <c r="R1085" i="2" s="1"/>
  <c r="R1239" i="2"/>
  <c r="S763" i="2"/>
  <c r="R920" i="2"/>
  <c r="R922" i="2" s="1"/>
  <c r="R924" i="2" s="1"/>
  <c r="R915" i="2"/>
  <c r="R917" i="2" s="1"/>
  <c r="R838" i="2"/>
  <c r="Q839" i="2" s="1"/>
  <c r="R842" i="2"/>
  <c r="R843" i="2" s="1"/>
  <c r="Q844" i="2" s="1"/>
  <c r="S766" i="2"/>
  <c r="AC669" i="2"/>
  <c r="S799" i="2" l="1"/>
  <c r="S864" i="2"/>
  <c r="S776" i="2"/>
  <c r="S777" i="2"/>
  <c r="T748" i="2"/>
  <c r="T749" i="2" s="1"/>
  <c r="S768" i="2"/>
  <c r="AC670" i="2"/>
  <c r="AC673" i="2"/>
  <c r="AC672" i="2"/>
  <c r="S769" i="2" l="1"/>
  <c r="S770" i="2" s="1"/>
  <c r="T761" i="2"/>
  <c r="T753" i="2"/>
  <c r="T754" i="2" s="1"/>
  <c r="T756" i="2" s="1"/>
  <c r="T764" i="2" s="1"/>
  <c r="S887" i="2"/>
  <c r="S866" i="2"/>
  <c r="T760" i="2"/>
  <c r="S820" i="2"/>
  <c r="S828" i="2" s="1"/>
  <c r="S807" i="2"/>
  <c r="AD667" i="2"/>
  <c r="T762" i="2" l="1"/>
  <c r="T765" i="2" s="1"/>
  <c r="T755" i="2"/>
  <c r="S986" i="2"/>
  <c r="S889" i="2"/>
  <c r="S890" i="2" s="1"/>
  <c r="S810" i="2"/>
  <c r="S929" i="2"/>
  <c r="S937" i="2" s="1"/>
  <c r="S942" i="2" s="1"/>
  <c r="S837" i="2"/>
  <c r="S831" i="2"/>
  <c r="S867" i="2"/>
  <c r="S913" i="2"/>
  <c r="S928" i="2"/>
  <c r="S936" i="2" s="1"/>
  <c r="AD669" i="2"/>
  <c r="S988" i="2" l="1"/>
  <c r="S1029" i="2" s="1"/>
  <c r="S1085" i="2" s="1"/>
  <c r="S1239" i="2"/>
  <c r="T763" i="2"/>
  <c r="T766" i="2"/>
  <c r="S842" i="2"/>
  <c r="S843" i="2" s="1"/>
  <c r="R844" i="2" s="1"/>
  <c r="S838" i="2"/>
  <c r="R839" i="2" s="1"/>
  <c r="S920" i="2"/>
  <c r="S922" i="2" s="1"/>
  <c r="S924" i="2" s="1"/>
  <c r="S915" i="2"/>
  <c r="S917" i="2" s="1"/>
  <c r="AD670" i="2"/>
  <c r="AD672" i="2"/>
  <c r="AD673" i="2"/>
  <c r="T864" i="2" l="1"/>
  <c r="T799" i="2"/>
  <c r="T777" i="2"/>
  <c r="T776" i="2"/>
  <c r="U748" i="2"/>
  <c r="U749" i="2" s="1"/>
  <c r="T768" i="2"/>
  <c r="AE667" i="2"/>
  <c r="U761" i="2" l="1"/>
  <c r="T769" i="2"/>
  <c r="T770" i="2" s="1"/>
  <c r="U753" i="2"/>
  <c r="U754" i="2" s="1"/>
  <c r="U756" i="2" s="1"/>
  <c r="U764" i="2" s="1"/>
  <c r="U760" i="2"/>
  <c r="T820" i="2"/>
  <c r="T828" i="2" s="1"/>
  <c r="T807" i="2"/>
  <c r="T866" i="2"/>
  <c r="T887" i="2"/>
  <c r="AE669" i="2"/>
  <c r="U762" i="2" l="1"/>
  <c r="U765" i="2" s="1"/>
  <c r="U755" i="2"/>
  <c r="T913" i="2"/>
  <c r="T867" i="2"/>
  <c r="T928" i="2"/>
  <c r="T936" i="2" s="1"/>
  <c r="T986" i="2"/>
  <c r="T889" i="2"/>
  <c r="T890" i="2" s="1"/>
  <c r="T929" i="2"/>
  <c r="T937" i="2" s="1"/>
  <c r="T942" i="2" s="1"/>
  <c r="T810" i="2"/>
  <c r="T837" i="2"/>
  <c r="T831" i="2"/>
  <c r="AE670" i="2"/>
  <c r="AE672" i="2"/>
  <c r="AE673" i="2"/>
  <c r="T988" i="2" l="1"/>
  <c r="T1029" i="2" s="1"/>
  <c r="T1085" i="2" s="1"/>
  <c r="T1239" i="2"/>
  <c r="U763" i="2"/>
  <c r="T838" i="2"/>
  <c r="S839" i="2" s="1"/>
  <c r="T842" i="2"/>
  <c r="T843" i="2" s="1"/>
  <c r="S844" i="2" s="1"/>
  <c r="U766" i="2"/>
  <c r="T915" i="2"/>
  <c r="T917" i="2" s="1"/>
  <c r="T920" i="2"/>
  <c r="T922" i="2" s="1"/>
  <c r="T924" i="2" s="1"/>
  <c r="AF667" i="2"/>
  <c r="U799" i="2" l="1"/>
  <c r="U864" i="2"/>
  <c r="U776" i="2"/>
  <c r="U777" i="2"/>
  <c r="V748" i="2"/>
  <c r="V749" i="2" s="1"/>
  <c r="U768" i="2"/>
  <c r="AF669" i="2"/>
  <c r="V761" i="2" l="1"/>
  <c r="U769" i="2"/>
  <c r="U770" i="2" s="1"/>
  <c r="V753" i="2"/>
  <c r="V760" i="2"/>
  <c r="U887" i="2"/>
  <c r="U866" i="2"/>
  <c r="U807" i="2"/>
  <c r="U820" i="2"/>
  <c r="U828" i="2" s="1"/>
  <c r="AF670" i="2"/>
  <c r="AF672" i="2"/>
  <c r="AF673" i="2"/>
  <c r="V762" i="2" l="1"/>
  <c r="V754" i="2"/>
  <c r="V756" i="2" s="1"/>
  <c r="V764" i="2" s="1"/>
  <c r="V755" i="2"/>
  <c r="U831" i="2"/>
  <c r="U837" i="2"/>
  <c r="U929" i="2"/>
  <c r="U937" i="2" s="1"/>
  <c r="U942" i="2" s="1"/>
  <c r="U810" i="2"/>
  <c r="U913" i="2"/>
  <c r="U928" i="2"/>
  <c r="U936" i="2" s="1"/>
  <c r="U867" i="2"/>
  <c r="U986" i="2"/>
  <c r="U889" i="2"/>
  <c r="U890" i="2" s="1"/>
  <c r="AG667" i="2"/>
  <c r="U988" i="2" l="1"/>
  <c r="U1029" i="2" s="1"/>
  <c r="U1085" i="2" s="1"/>
  <c r="U1239" i="2"/>
  <c r="V765" i="2"/>
  <c r="V766" i="2" s="1"/>
  <c r="V763" i="2"/>
  <c r="U915" i="2"/>
  <c r="U917" i="2" s="1"/>
  <c r="U920" i="2"/>
  <c r="U922" i="2" s="1"/>
  <c r="U924" i="2" s="1"/>
  <c r="U842" i="2"/>
  <c r="U843" i="2" s="1"/>
  <c r="T844" i="2" s="1"/>
  <c r="U838" i="2"/>
  <c r="T839" i="2" s="1"/>
  <c r="AG669" i="2"/>
  <c r="V864" i="2" l="1"/>
  <c r="V799" i="2"/>
  <c r="V777" i="2"/>
  <c r="V776" i="2"/>
  <c r="W748" i="2"/>
  <c r="W749" i="2" s="1"/>
  <c r="V768" i="2"/>
  <c r="AG670" i="2"/>
  <c r="AG673" i="2"/>
  <c r="AG672" i="2"/>
  <c r="W761" i="2" l="1"/>
  <c r="W753" i="2"/>
  <c r="W755" i="2" s="1"/>
  <c r="W760" i="2"/>
  <c r="V769" i="2"/>
  <c r="V770" i="2" s="1"/>
  <c r="V866" i="2"/>
  <c r="V887" i="2"/>
  <c r="V807" i="2"/>
  <c r="V820" i="2"/>
  <c r="V828" i="2" s="1"/>
  <c r="AH667" i="2"/>
  <c r="AH669" i="2" s="1"/>
  <c r="W762" i="2" l="1"/>
  <c r="W754" i="2"/>
  <c r="W756" i="2" s="1"/>
  <c r="W764" i="2" s="1"/>
  <c r="V810" i="2"/>
  <c r="V929" i="2"/>
  <c r="V937" i="2" s="1"/>
  <c r="V942" i="2" s="1"/>
  <c r="V837" i="2"/>
  <c r="V831" i="2"/>
  <c r="V867" i="2"/>
  <c r="V928" i="2"/>
  <c r="V936" i="2" s="1"/>
  <c r="V913" i="2"/>
  <c r="V986" i="2"/>
  <c r="V889" i="2"/>
  <c r="V890" i="2" s="1"/>
  <c r="AH670" i="2"/>
  <c r="AH672" i="2"/>
  <c r="AH673" i="2"/>
  <c r="V988" i="2" l="1"/>
  <c r="V1029" i="2" s="1"/>
  <c r="V1085" i="2" s="1"/>
  <c r="V1239" i="2"/>
  <c r="W765" i="2"/>
  <c r="W766" i="2" s="1"/>
  <c r="W763" i="2"/>
  <c r="V915" i="2"/>
  <c r="V917" i="2" s="1"/>
  <c r="V920" i="2"/>
  <c r="V922" i="2" s="1"/>
  <c r="V924" i="2" s="1"/>
  <c r="V842" i="2"/>
  <c r="V843" i="2" s="1"/>
  <c r="U844" i="2" s="1"/>
  <c r="V838" i="2"/>
  <c r="U839" i="2" s="1"/>
  <c r="AI667" i="2"/>
  <c r="W864" i="2" l="1"/>
  <c r="W799" i="2"/>
  <c r="W777" i="2"/>
  <c r="W776" i="2"/>
  <c r="X748" i="2"/>
  <c r="X749" i="2" s="1"/>
  <c r="W768" i="2"/>
  <c r="AI669" i="2"/>
  <c r="X761" i="2" l="1"/>
  <c r="X753" i="2"/>
  <c r="X754" i="2" s="1"/>
  <c r="X756" i="2" s="1"/>
  <c r="X764" i="2" s="1"/>
  <c r="W887" i="2"/>
  <c r="W866" i="2"/>
  <c r="W769" i="2"/>
  <c r="W770" i="2" s="1"/>
  <c r="X760" i="2"/>
  <c r="W807" i="2"/>
  <c r="W820" i="2"/>
  <c r="W828" i="2" s="1"/>
  <c r="AI670" i="2"/>
  <c r="AI672" i="2"/>
  <c r="AI673" i="2"/>
  <c r="X762" i="2" l="1"/>
  <c r="X765" i="2" s="1"/>
  <c r="X755" i="2"/>
  <c r="W831" i="2"/>
  <c r="W837" i="2"/>
  <c r="W810" i="2"/>
  <c r="W929" i="2"/>
  <c r="W937" i="2" s="1"/>
  <c r="W942" i="2" s="1"/>
  <c r="W928" i="2"/>
  <c r="W936" i="2" s="1"/>
  <c r="W913" i="2"/>
  <c r="W867" i="2"/>
  <c r="W986" i="2"/>
  <c r="W889" i="2"/>
  <c r="W890" i="2" s="1"/>
  <c r="AJ667" i="2"/>
  <c r="W988" i="2" l="1"/>
  <c r="W1029" i="2" s="1"/>
  <c r="W1085" i="2" s="1"/>
  <c r="W1239" i="2"/>
  <c r="X763" i="2"/>
  <c r="W920" i="2"/>
  <c r="W922" i="2" s="1"/>
  <c r="W924" i="2" s="1"/>
  <c r="W915" i="2"/>
  <c r="W917" i="2" s="1"/>
  <c r="W838" i="2"/>
  <c r="V839" i="2" s="1"/>
  <c r="W842" i="2"/>
  <c r="W843" i="2" s="1"/>
  <c r="V844" i="2" s="1"/>
  <c r="AJ669" i="2"/>
  <c r="X766" i="2" l="1"/>
  <c r="AJ670" i="2"/>
  <c r="AJ672" i="2"/>
  <c r="AJ673" i="2"/>
  <c r="X799" i="2" l="1"/>
  <c r="X807" i="2" s="1"/>
  <c r="X864" i="2"/>
  <c r="X887" i="2" s="1"/>
  <c r="X776" i="2"/>
  <c r="Y761" i="2" s="1"/>
  <c r="X777" i="2"/>
  <c r="X768" i="2"/>
  <c r="X769" i="2" s="1"/>
  <c r="X770" i="2" s="1"/>
  <c r="Y748" i="2"/>
  <c r="Y749" i="2" s="1"/>
  <c r="Y753" i="2" s="1"/>
  <c r="Y755" i="2" s="1"/>
  <c r="Y760" i="2"/>
  <c r="AK667" i="2"/>
  <c r="X866" i="2" l="1"/>
  <c r="X867" i="2" s="1"/>
  <c r="Y762" i="2"/>
  <c r="X820" i="2"/>
  <c r="X828" i="2" s="1"/>
  <c r="X831" i="2" s="1"/>
  <c r="Y754" i="2"/>
  <c r="Y756" i="2" s="1"/>
  <c r="Y764" i="2" s="1"/>
  <c r="X810" i="2"/>
  <c r="X929" i="2"/>
  <c r="X937" i="2" s="1"/>
  <c r="X942" i="2" s="1"/>
  <c r="X889" i="2"/>
  <c r="X890" i="2" s="1"/>
  <c r="X986" i="2"/>
  <c r="AK669" i="2"/>
  <c r="X928" i="2" l="1"/>
  <c r="X936" i="2" s="1"/>
  <c r="X913" i="2"/>
  <c r="X915" i="2" s="1"/>
  <c r="X917" i="2" s="1"/>
  <c r="AK672" i="2"/>
  <c r="X988" i="2"/>
  <c r="X1029" i="2" s="1"/>
  <c r="X1085" i="2" s="1"/>
  <c r="X1239" i="2"/>
  <c r="X837" i="2"/>
  <c r="X842" i="2" s="1"/>
  <c r="X843" i="2" s="1"/>
  <c r="W844" i="2" s="1"/>
  <c r="Y765" i="2"/>
  <c r="Y766" i="2" s="1"/>
  <c r="Y763" i="2"/>
  <c r="AK670" i="2"/>
  <c r="AK673" i="2"/>
  <c r="Y799" i="2" l="1"/>
  <c r="Y864" i="2"/>
  <c r="Y777" i="2"/>
  <c r="Y776" i="2"/>
  <c r="X920" i="2"/>
  <c r="X922" i="2" s="1"/>
  <c r="X924" i="2" s="1"/>
  <c r="X838" i="2"/>
  <c r="W839" i="2" s="1"/>
  <c r="Z748" i="2"/>
  <c r="Z749" i="2" s="1"/>
  <c r="Y768" i="2"/>
  <c r="AL667" i="2"/>
  <c r="Z761" i="2" l="1"/>
  <c r="Z753" i="2"/>
  <c r="Z754" i="2" s="1"/>
  <c r="Z756" i="2" s="1"/>
  <c r="Z764" i="2" s="1"/>
  <c r="Y807" i="2"/>
  <c r="Y820" i="2"/>
  <c r="Y828" i="2" s="1"/>
  <c r="Y769" i="2"/>
  <c r="Y770" i="2" s="1"/>
  <c r="Z760" i="2"/>
  <c r="Y887" i="2"/>
  <c r="Y866" i="2"/>
  <c r="AL669" i="2"/>
  <c r="Z762" i="2" l="1"/>
  <c r="Z765" i="2" s="1"/>
  <c r="Z755" i="2"/>
  <c r="Y928" i="2"/>
  <c r="Y936" i="2" s="1"/>
  <c r="Y867" i="2"/>
  <c r="Y913" i="2"/>
  <c r="Y837" i="2"/>
  <c r="Y831" i="2"/>
  <c r="Y889" i="2"/>
  <c r="Y890" i="2" s="1"/>
  <c r="Y986" i="2"/>
  <c r="Y810" i="2"/>
  <c r="Y929" i="2"/>
  <c r="Y937" i="2" s="1"/>
  <c r="Y942" i="2" s="1"/>
  <c r="AL670" i="2"/>
  <c r="AM667" i="2" s="1"/>
  <c r="AL673" i="2"/>
  <c r="AL672" i="2"/>
  <c r="Y988" i="2" l="1"/>
  <c r="Y1029" i="2" s="1"/>
  <c r="Y1085" i="2" s="1"/>
  <c r="Y1239" i="2"/>
  <c r="Z763" i="2"/>
  <c r="Z766" i="2"/>
  <c r="Y838" i="2"/>
  <c r="X839" i="2" s="1"/>
  <c r="Y842" i="2"/>
  <c r="Y843" i="2" s="1"/>
  <c r="X844" i="2" s="1"/>
  <c r="Y920" i="2"/>
  <c r="Y922" i="2" s="1"/>
  <c r="Y924" i="2" s="1"/>
  <c r="Y915" i="2"/>
  <c r="Y917" i="2" s="1"/>
  <c r="AM669" i="2"/>
  <c r="AM670" i="2" s="1"/>
  <c r="Z799" i="2" l="1"/>
  <c r="Z864" i="2"/>
  <c r="Z776" i="2"/>
  <c r="Z777" i="2"/>
  <c r="AA748" i="2"/>
  <c r="AA749" i="2" s="1"/>
  <c r="Z768" i="2"/>
  <c r="AM673" i="2"/>
  <c r="AM672" i="2"/>
  <c r="AN667" i="2"/>
  <c r="AA761" i="2" l="1"/>
  <c r="AA753" i="2"/>
  <c r="AA755" i="2" s="1"/>
  <c r="Z769" i="2"/>
  <c r="Z770" i="2" s="1"/>
  <c r="Z820" i="2"/>
  <c r="Z828" i="2" s="1"/>
  <c r="Z807" i="2"/>
  <c r="Z887" i="2"/>
  <c r="Z866" i="2"/>
  <c r="AA760" i="2"/>
  <c r="AN669" i="2"/>
  <c r="AN670" i="2" s="1"/>
  <c r="AA762" i="2" l="1"/>
  <c r="AA754" i="2"/>
  <c r="AA756" i="2" s="1"/>
  <c r="AA764" i="2" s="1"/>
  <c r="Z913" i="2"/>
  <c r="Z867" i="2"/>
  <c r="Z928" i="2"/>
  <c r="Z936" i="2" s="1"/>
  <c r="Z929" i="2"/>
  <c r="Z937" i="2" s="1"/>
  <c r="Z942" i="2" s="1"/>
  <c r="Z810" i="2"/>
  <c r="Z986" i="2"/>
  <c r="Z889" i="2"/>
  <c r="Z890" i="2" s="1"/>
  <c r="Z837" i="2"/>
  <c r="Z831" i="2"/>
  <c r="AO667" i="2"/>
  <c r="AN673" i="2"/>
  <c r="AN672" i="2"/>
  <c r="Z988" i="2" l="1"/>
  <c r="Z1029" i="2" s="1"/>
  <c r="Z1085" i="2" s="1"/>
  <c r="Z1239" i="2"/>
  <c r="AA765" i="2"/>
  <c r="AA766" i="2" s="1"/>
  <c r="AA763" i="2"/>
  <c r="Z915" i="2"/>
  <c r="Z917" i="2" s="1"/>
  <c r="Z920" i="2"/>
  <c r="Z922" i="2" s="1"/>
  <c r="Z924" i="2" s="1"/>
  <c r="Z838" i="2"/>
  <c r="Y839" i="2" s="1"/>
  <c r="Z842" i="2"/>
  <c r="Z843" i="2" s="1"/>
  <c r="Y844" i="2" s="1"/>
  <c r="AO669" i="2"/>
  <c r="AO670" i="2" s="1"/>
  <c r="AA799" i="2" l="1"/>
  <c r="AA864" i="2"/>
  <c r="AA776" i="2"/>
  <c r="AA777" i="2"/>
  <c r="AB748" i="2"/>
  <c r="AB749" i="2" s="1"/>
  <c r="AA768" i="2"/>
  <c r="AP667" i="2"/>
  <c r="AO673" i="2"/>
  <c r="AO672" i="2"/>
  <c r="AA769" i="2" l="1"/>
  <c r="AA770" i="2" s="1"/>
  <c r="AB761" i="2"/>
  <c r="AB753" i="2"/>
  <c r="AB754" i="2" s="1"/>
  <c r="AB756" i="2" s="1"/>
  <c r="AB764" i="2" s="1"/>
  <c r="AB760" i="2"/>
  <c r="AA807" i="2"/>
  <c r="AA820" i="2"/>
  <c r="AA828" i="2" s="1"/>
  <c r="AA887" i="2"/>
  <c r="AA866" i="2"/>
  <c r="AP669" i="2"/>
  <c r="AB762" i="2" l="1"/>
  <c r="AB765" i="2" s="1"/>
  <c r="AB755" i="2"/>
  <c r="AA929" i="2"/>
  <c r="AA937" i="2" s="1"/>
  <c r="AA942" i="2" s="1"/>
  <c r="AA810" i="2"/>
  <c r="AA831" i="2"/>
  <c r="AA837" i="2"/>
  <c r="AA867" i="2"/>
  <c r="AA913" i="2"/>
  <c r="AA928" i="2"/>
  <c r="AA936" i="2" s="1"/>
  <c r="AA889" i="2"/>
  <c r="AA890" i="2" s="1"/>
  <c r="AA986" i="2"/>
  <c r="AP672" i="2"/>
  <c r="AP673" i="2"/>
  <c r="AP670" i="2"/>
  <c r="AA988" i="2" l="1"/>
  <c r="AA1029" i="2" s="1"/>
  <c r="AA1085" i="2" s="1"/>
  <c r="AA1239" i="2"/>
  <c r="AB763" i="2"/>
  <c r="AA920" i="2"/>
  <c r="AA922" i="2" s="1"/>
  <c r="AA924" i="2" s="1"/>
  <c r="AA915" i="2"/>
  <c r="AA917" i="2" s="1"/>
  <c r="AB766" i="2"/>
  <c r="AA838" i="2"/>
  <c r="Z839" i="2" s="1"/>
  <c r="AA842" i="2"/>
  <c r="AA843" i="2" s="1"/>
  <c r="Z844" i="2" s="1"/>
  <c r="AQ667" i="2"/>
  <c r="AB864" i="2" l="1"/>
  <c r="AB799" i="2"/>
  <c r="AB776" i="2"/>
  <c r="AB777" i="2"/>
  <c r="AC748" i="2"/>
  <c r="AC749" i="2" s="1"/>
  <c r="AB768" i="2"/>
  <c r="AQ669" i="2"/>
  <c r="AQ670" i="2" l="1"/>
  <c r="AR667" i="2" s="1"/>
  <c r="AB769" i="2"/>
  <c r="AB770" i="2" s="1"/>
  <c r="AC761" i="2"/>
  <c r="AC753" i="2"/>
  <c r="AC754" i="2" s="1"/>
  <c r="AC756" i="2" s="1"/>
  <c r="AC764" i="2" s="1"/>
  <c r="AB820" i="2"/>
  <c r="AB828" i="2" s="1"/>
  <c r="AB807" i="2"/>
  <c r="AB866" i="2"/>
  <c r="AB887" i="2"/>
  <c r="AC760" i="2"/>
  <c r="AQ672" i="2"/>
  <c r="AQ673" i="2"/>
  <c r="AC762" i="2" l="1"/>
  <c r="AC765" i="2" s="1"/>
  <c r="AC755" i="2"/>
  <c r="AB889" i="2"/>
  <c r="AB890" i="2" s="1"/>
  <c r="AB986" i="2"/>
  <c r="AB928" i="2"/>
  <c r="AB936" i="2" s="1"/>
  <c r="AB867" i="2"/>
  <c r="AB913" i="2"/>
  <c r="AB929" i="2"/>
  <c r="AB937" i="2" s="1"/>
  <c r="AB942" i="2" s="1"/>
  <c r="AB810" i="2"/>
  <c r="AB831" i="2"/>
  <c r="AB837" i="2"/>
  <c r="AR669" i="2"/>
  <c r="AB988" i="2" l="1"/>
  <c r="AB1029" i="2" s="1"/>
  <c r="AB1085" i="2" s="1"/>
  <c r="AB1239" i="2"/>
  <c r="AC763" i="2"/>
  <c r="AC766" i="2"/>
  <c r="AB838" i="2"/>
  <c r="AB842" i="2"/>
  <c r="AB843" i="2" s="1"/>
  <c r="AB915" i="2"/>
  <c r="AB917" i="2" s="1"/>
  <c r="AB920" i="2"/>
  <c r="AB922" i="2" s="1"/>
  <c r="AB924" i="2" s="1"/>
  <c r="AR672" i="2"/>
  <c r="AR673" i="2"/>
  <c r="AR670" i="2"/>
  <c r="AC799" i="2" l="1"/>
  <c r="AC864" i="2"/>
  <c r="AC777" i="2"/>
  <c r="AC776" i="2"/>
  <c r="AD748" i="2"/>
  <c r="AD749" i="2" s="1"/>
  <c r="AA844" i="2"/>
  <c r="AA839" i="2"/>
  <c r="AC768" i="2"/>
  <c r="AS667" i="2"/>
  <c r="AD761" i="2" l="1"/>
  <c r="AC769" i="2"/>
  <c r="AC770" i="2" s="1"/>
  <c r="AD753" i="2"/>
  <c r="AD754" i="2" s="1"/>
  <c r="AD756" i="2" s="1"/>
  <c r="AD764" i="2" s="1"/>
  <c r="AC866" i="2"/>
  <c r="AC887" i="2"/>
  <c r="AC820" i="2"/>
  <c r="AC828" i="2" s="1"/>
  <c r="AC807" i="2"/>
  <c r="AD760" i="2"/>
  <c r="AD762" i="2" s="1"/>
  <c r="AS669" i="2"/>
  <c r="AS670" i="2" l="1"/>
  <c r="AT667" i="2" s="1"/>
  <c r="AD765" i="2"/>
  <c r="AD763" i="2"/>
  <c r="AD755" i="2"/>
  <c r="AC810" i="2"/>
  <c r="AC929" i="2"/>
  <c r="AC937" i="2" s="1"/>
  <c r="AC942" i="2" s="1"/>
  <c r="AC889" i="2"/>
  <c r="AC890" i="2" s="1"/>
  <c r="AC986" i="2"/>
  <c r="AC867" i="2"/>
  <c r="AC928" i="2"/>
  <c r="AC936" i="2" s="1"/>
  <c r="AC913" i="2"/>
  <c r="AC831" i="2"/>
  <c r="AC837" i="2"/>
  <c r="AS672" i="2"/>
  <c r="AS673" i="2"/>
  <c r="AC988" i="2" l="1"/>
  <c r="AC1029" i="2" s="1"/>
  <c r="AC1085" i="2" s="1"/>
  <c r="AC1239" i="2"/>
  <c r="AC838" i="2"/>
  <c r="AB839" i="2" s="1"/>
  <c r="AC842" i="2"/>
  <c r="AC843" i="2" s="1"/>
  <c r="AB844" i="2" s="1"/>
  <c r="AC915" i="2"/>
  <c r="AC917" i="2" s="1"/>
  <c r="AC920" i="2"/>
  <c r="AC922" i="2" s="1"/>
  <c r="AC924" i="2" s="1"/>
  <c r="AD766" i="2"/>
  <c r="AT669" i="2"/>
  <c r="AD864" i="2" l="1"/>
  <c r="AD799" i="2"/>
  <c r="AD776" i="2"/>
  <c r="AD777" i="2"/>
  <c r="AE748" i="2"/>
  <c r="AE749" i="2" s="1"/>
  <c r="AD768" i="2"/>
  <c r="AT673" i="2"/>
  <c r="AT672" i="2"/>
  <c r="AT670" i="2"/>
  <c r="AD769" i="2" l="1"/>
  <c r="AD770" i="2" s="1"/>
  <c r="AE761" i="2"/>
  <c r="AE753" i="2"/>
  <c r="AE754" i="2" s="1"/>
  <c r="AE756" i="2" s="1"/>
  <c r="AE764" i="2" s="1"/>
  <c r="AD820" i="2"/>
  <c r="AD828" i="2" s="1"/>
  <c r="AD807" i="2"/>
  <c r="AD887" i="2"/>
  <c r="AD866" i="2"/>
  <c r="AE760" i="2"/>
  <c r="AU667" i="2"/>
  <c r="AE762" i="2" l="1"/>
  <c r="AE765" i="2" s="1"/>
  <c r="AE755" i="2"/>
  <c r="AD913" i="2"/>
  <c r="AD867" i="2"/>
  <c r="AD928" i="2"/>
  <c r="AD936" i="2" s="1"/>
  <c r="AD889" i="2"/>
  <c r="AD890" i="2" s="1"/>
  <c r="AD986" i="2"/>
  <c r="AD929" i="2"/>
  <c r="AD937" i="2" s="1"/>
  <c r="AD942" i="2" s="1"/>
  <c r="AD810" i="2"/>
  <c r="AD837" i="2"/>
  <c r="AD831" i="2"/>
  <c r="AU669" i="2"/>
  <c r="AU670" i="2" l="1"/>
  <c r="AV667" i="2" s="1"/>
  <c r="AV669" i="2" s="1"/>
  <c r="AV670" i="2" s="1"/>
  <c r="AW667" i="2" s="1"/>
  <c r="AD988" i="2"/>
  <c r="AD1029" i="2" s="1"/>
  <c r="AD1085" i="2" s="1"/>
  <c r="AD1239" i="2"/>
  <c r="AE763" i="2"/>
  <c r="AD920" i="2"/>
  <c r="AD922" i="2" s="1"/>
  <c r="AD924" i="2" s="1"/>
  <c r="AD915" i="2"/>
  <c r="AD917" i="2" s="1"/>
  <c r="AD838" i="2"/>
  <c r="AC839" i="2" s="1"/>
  <c r="AD842" i="2"/>
  <c r="AD843" i="2" s="1"/>
  <c r="AC844" i="2" s="1"/>
  <c r="AE766" i="2"/>
  <c r="AU673" i="2"/>
  <c r="AU672" i="2"/>
  <c r="AE864" i="2" l="1"/>
  <c r="AE799" i="2"/>
  <c r="AE777" i="2"/>
  <c r="AE776" i="2"/>
  <c r="AF748" i="2"/>
  <c r="AF749" i="2" s="1"/>
  <c r="AE768" i="2"/>
  <c r="AW669" i="2"/>
  <c r="AW670" i="2" s="1"/>
  <c r="AX667" i="2" s="1"/>
  <c r="AV672" i="2"/>
  <c r="AV673" i="2"/>
  <c r="AE769" i="2" l="1"/>
  <c r="AE770" i="2" s="1"/>
  <c r="AF761" i="2"/>
  <c r="AF753" i="2"/>
  <c r="AF754" i="2" s="1"/>
  <c r="AF756" i="2" s="1"/>
  <c r="AF764" i="2" s="1"/>
  <c r="AE887" i="2"/>
  <c r="AE866" i="2"/>
  <c r="AE820" i="2"/>
  <c r="AE828" i="2" s="1"/>
  <c r="AE807" i="2"/>
  <c r="AF760" i="2"/>
  <c r="AX669" i="2"/>
  <c r="AX670" i="2" s="1"/>
  <c r="AY667" i="2" s="1"/>
  <c r="AW673" i="2"/>
  <c r="AW672" i="2"/>
  <c r="AF762" i="2" l="1"/>
  <c r="AF765" i="2" s="1"/>
  <c r="AF755" i="2"/>
  <c r="AE810" i="2"/>
  <c r="AE929" i="2"/>
  <c r="AE937" i="2" s="1"/>
  <c r="AE942" i="2" s="1"/>
  <c r="AE831" i="2"/>
  <c r="AE837" i="2"/>
  <c r="AE913" i="2"/>
  <c r="AE928" i="2"/>
  <c r="AE936" i="2" s="1"/>
  <c r="AE867" i="2"/>
  <c r="AE889" i="2"/>
  <c r="AE890" i="2" s="1"/>
  <c r="AE986" i="2"/>
  <c r="AY669" i="2"/>
  <c r="AX673" i="2"/>
  <c r="AX672" i="2"/>
  <c r="AE988" i="2" l="1"/>
  <c r="AE1029" i="2" s="1"/>
  <c r="AE1085" i="2" s="1"/>
  <c r="AE1239" i="2"/>
  <c r="AF763" i="2"/>
  <c r="AE842" i="2"/>
  <c r="AE843" i="2" s="1"/>
  <c r="AE838" i="2"/>
  <c r="AD839" i="2" s="1"/>
  <c r="AF766" i="2"/>
  <c r="AE915" i="2"/>
  <c r="AE917" i="2" s="1"/>
  <c r="AE920" i="2"/>
  <c r="AE922" i="2" s="1"/>
  <c r="AE924" i="2" s="1"/>
  <c r="AY672" i="2"/>
  <c r="AY673" i="2"/>
  <c r="AY670" i="2"/>
  <c r="AZ667" i="2" s="1"/>
  <c r="AF864" i="2" l="1"/>
  <c r="AF799" i="2"/>
  <c r="AF776" i="2"/>
  <c r="AF777" i="2"/>
  <c r="AG748" i="2"/>
  <c r="AG749" i="2" s="1"/>
  <c r="AF768" i="2"/>
  <c r="AD844" i="2"/>
  <c r="AZ669" i="2"/>
  <c r="AZ670" i="2" s="1"/>
  <c r="BA667" i="2" s="1"/>
  <c r="AG761" i="2" l="1"/>
  <c r="AF769" i="2"/>
  <c r="AF770" i="2" s="1"/>
  <c r="AG753" i="2"/>
  <c r="AG754" i="2" s="1"/>
  <c r="AG756" i="2" s="1"/>
  <c r="AG764" i="2" s="1"/>
  <c r="AG760" i="2"/>
  <c r="AF866" i="2"/>
  <c r="AF887" i="2"/>
  <c r="AF807" i="2"/>
  <c r="AF820" i="2"/>
  <c r="AF828" i="2" s="1"/>
  <c r="BA669" i="2"/>
  <c r="BA670" i="2" s="1"/>
  <c r="BB667" i="2" s="1"/>
  <c r="AZ673" i="2"/>
  <c r="AZ672" i="2"/>
  <c r="AG762" i="2" l="1"/>
  <c r="AG765" i="2" s="1"/>
  <c r="AG755" i="2"/>
  <c r="AF831" i="2"/>
  <c r="AF837" i="2"/>
  <c r="AF929" i="2"/>
  <c r="AF937" i="2" s="1"/>
  <c r="AF942" i="2" s="1"/>
  <c r="AF810" i="2"/>
  <c r="AF986" i="2"/>
  <c r="AF889" i="2"/>
  <c r="AF890" i="2" s="1"/>
  <c r="AF928" i="2"/>
  <c r="AF936" i="2" s="1"/>
  <c r="AF867" i="2"/>
  <c r="AF913" i="2"/>
  <c r="BB669" i="2"/>
  <c r="BB670" i="2" s="1"/>
  <c r="BC667" i="2" s="1"/>
  <c r="BA673" i="2"/>
  <c r="BA672" i="2"/>
  <c r="AF988" i="2" l="1"/>
  <c r="AF1029" i="2" s="1"/>
  <c r="AF1085" i="2" s="1"/>
  <c r="AF1239" i="2"/>
  <c r="AG763" i="2"/>
  <c r="AG766" i="2"/>
  <c r="AF915" i="2"/>
  <c r="AF917" i="2" s="1"/>
  <c r="AF920" i="2"/>
  <c r="AF922" i="2" s="1"/>
  <c r="AF924" i="2" s="1"/>
  <c r="AF838" i="2"/>
  <c r="AE839" i="2" s="1"/>
  <c r="AF842" i="2"/>
  <c r="AF843" i="2" s="1"/>
  <c r="BB673" i="2"/>
  <c r="BB672" i="2"/>
  <c r="BC669" i="2"/>
  <c r="AG799" i="2" l="1"/>
  <c r="AG864" i="2"/>
  <c r="AG777" i="2"/>
  <c r="AG776" i="2"/>
  <c r="AH748" i="2"/>
  <c r="AH749" i="2" s="1"/>
  <c r="AE844" i="2"/>
  <c r="AG768" i="2"/>
  <c r="BC673" i="2"/>
  <c r="BC672" i="2"/>
  <c r="BC670" i="2"/>
  <c r="BD667" i="2" s="1"/>
  <c r="BD669" i="2" s="1"/>
  <c r="AG769" i="2" l="1"/>
  <c r="AG770" i="2" s="1"/>
  <c r="AH761" i="2"/>
  <c r="AH753" i="2"/>
  <c r="AH754" i="2" s="1"/>
  <c r="AH756" i="2" s="1"/>
  <c r="AH764" i="2" s="1"/>
  <c r="AG820" i="2"/>
  <c r="AG828" i="2" s="1"/>
  <c r="AG807" i="2"/>
  <c r="AH760" i="2"/>
  <c r="AG887" i="2"/>
  <c r="AG866" i="2"/>
  <c r="BD670" i="2"/>
  <c r="BD672" i="2"/>
  <c r="BD673" i="2"/>
  <c r="AH762" i="2" l="1"/>
  <c r="AH765" i="2" s="1"/>
  <c r="AH755" i="2"/>
  <c r="AG867" i="2"/>
  <c r="AG928" i="2"/>
  <c r="AG936" i="2" s="1"/>
  <c r="AG913" i="2"/>
  <c r="AG810" i="2"/>
  <c r="AG929" i="2"/>
  <c r="AG937" i="2" s="1"/>
  <c r="AG942" i="2" s="1"/>
  <c r="AG986" i="2"/>
  <c r="AG889" i="2"/>
  <c r="AG890" i="2" s="1"/>
  <c r="AG837" i="2"/>
  <c r="AG831" i="2"/>
  <c r="C673" i="2"/>
  <c r="C672" i="2"/>
  <c r="AG988" i="2" l="1"/>
  <c r="AG1029" i="2" s="1"/>
  <c r="AG1085" i="2" s="1"/>
  <c r="AG1239" i="2"/>
  <c r="C1239" i="2" s="1"/>
  <c r="AH763" i="2"/>
  <c r="AH766" i="2"/>
  <c r="AG920" i="2"/>
  <c r="AG922" i="2" s="1"/>
  <c r="AG924" i="2" s="1"/>
  <c r="AG915" i="2"/>
  <c r="AG917" i="2" s="1"/>
  <c r="AG838" i="2"/>
  <c r="AG842" i="2"/>
  <c r="AG843" i="2" s="1"/>
  <c r="AF844" i="2" s="1"/>
  <c r="A673" i="2"/>
  <c r="AH799" i="2" l="1"/>
  <c r="AH864" i="2"/>
  <c r="AH777" i="2"/>
  <c r="AH776" i="2"/>
  <c r="AI748" i="2"/>
  <c r="AI749" i="2" s="1"/>
  <c r="AF839" i="2"/>
  <c r="AH768" i="2"/>
  <c r="AH769" i="2" l="1"/>
  <c r="AH770" i="2" s="1"/>
  <c r="AI761" i="2"/>
  <c r="AI753" i="2"/>
  <c r="AI755" i="2" s="1"/>
  <c r="AH887" i="2"/>
  <c r="AH866" i="2"/>
  <c r="AI760" i="2"/>
  <c r="AH807" i="2"/>
  <c r="AH820" i="2"/>
  <c r="AH828" i="2" s="1"/>
  <c r="AI762" i="2" l="1"/>
  <c r="AI754" i="2"/>
  <c r="AI756" i="2" s="1"/>
  <c r="AI764" i="2" s="1"/>
  <c r="AH831" i="2"/>
  <c r="AH837" i="2"/>
  <c r="AH928" i="2"/>
  <c r="AH936" i="2" s="1"/>
  <c r="AH913" i="2"/>
  <c r="AH867" i="2"/>
  <c r="AH929" i="2"/>
  <c r="AH937" i="2" s="1"/>
  <c r="AH942" i="2" s="1"/>
  <c r="AH810" i="2"/>
  <c r="AH986" i="2"/>
  <c r="AH988" i="2" s="1"/>
  <c r="AH1029" i="2" s="1"/>
  <c r="AH889" i="2"/>
  <c r="AH890" i="2" s="1"/>
  <c r="AI765" i="2" l="1"/>
  <c r="AI766" i="2" s="1"/>
  <c r="AI763" i="2"/>
  <c r="AH842" i="2"/>
  <c r="AH843" i="2" s="1"/>
  <c r="AG844" i="2" s="1"/>
  <c r="AH838" i="2"/>
  <c r="AG839" i="2" s="1"/>
  <c r="AH920" i="2"/>
  <c r="AH922" i="2" s="1"/>
  <c r="AH924" i="2" s="1"/>
  <c r="AH915" i="2"/>
  <c r="AH917" i="2" s="1"/>
  <c r="AH1085" i="2"/>
  <c r="AI799" i="2" l="1"/>
  <c r="AI864" i="2"/>
  <c r="AI777" i="2"/>
  <c r="AI776" i="2"/>
  <c r="AJ748" i="2"/>
  <c r="AJ749" i="2" s="1"/>
  <c r="AI768" i="2"/>
  <c r="AI769" i="2" l="1"/>
  <c r="AI770" i="2" s="1"/>
  <c r="AJ761" i="2"/>
  <c r="AJ753" i="2"/>
  <c r="AJ755" i="2" s="1"/>
  <c r="AJ760" i="2"/>
  <c r="AI820" i="2"/>
  <c r="AI828" i="2" s="1"/>
  <c r="AI807" i="2"/>
  <c r="AI887" i="2"/>
  <c r="AI866" i="2"/>
  <c r="C741" i="2"/>
  <c r="AJ762" i="2" l="1"/>
  <c r="AJ754" i="2"/>
  <c r="AJ756" i="2" s="1"/>
  <c r="AJ764" i="2" s="1"/>
  <c r="AI913" i="2"/>
  <c r="AI867" i="2"/>
  <c r="AI928" i="2"/>
  <c r="AI936" i="2" s="1"/>
  <c r="AI889" i="2"/>
  <c r="AI890" i="2" s="1"/>
  <c r="AI986" i="2"/>
  <c r="AI988" i="2" s="1"/>
  <c r="AI1029" i="2" s="1"/>
  <c r="AI810" i="2"/>
  <c r="AI929" i="2"/>
  <c r="AI937" i="2" s="1"/>
  <c r="AI942" i="2" s="1"/>
  <c r="AI837" i="2"/>
  <c r="AI831" i="2"/>
  <c r="AJ765" i="2" l="1"/>
  <c r="AJ766" i="2" s="1"/>
  <c r="AJ763" i="2"/>
  <c r="AI1085" i="2"/>
  <c r="AI842" i="2"/>
  <c r="AI843" i="2" s="1"/>
  <c r="AH844" i="2" s="1"/>
  <c r="AI838" i="2"/>
  <c r="AH839" i="2" s="1"/>
  <c r="AI920" i="2"/>
  <c r="AI922" i="2" s="1"/>
  <c r="AI924" i="2" s="1"/>
  <c r="AI915" i="2"/>
  <c r="AI917" i="2" s="1"/>
  <c r="AJ864" i="2" l="1"/>
  <c r="AJ799" i="2"/>
  <c r="AJ777" i="2"/>
  <c r="AJ776" i="2"/>
  <c r="AK748" i="2"/>
  <c r="AK749" i="2" s="1"/>
  <c r="AJ768" i="2"/>
  <c r="AK761" i="2" l="1"/>
  <c r="AJ769" i="2"/>
  <c r="AJ770" i="2" s="1"/>
  <c r="AK753" i="2"/>
  <c r="AK754" i="2" s="1"/>
  <c r="AK756" i="2" s="1"/>
  <c r="AK764" i="2" s="1"/>
  <c r="AJ887" i="2"/>
  <c r="AJ866" i="2"/>
  <c r="AK760" i="2"/>
  <c r="AJ807" i="2"/>
  <c r="AJ820" i="2"/>
  <c r="AJ828" i="2" s="1"/>
  <c r="AK762" i="2" l="1"/>
  <c r="AK765" i="2" s="1"/>
  <c r="AK755" i="2"/>
  <c r="AJ837" i="2"/>
  <c r="AJ831" i="2"/>
  <c r="AJ929" i="2"/>
  <c r="AJ937" i="2" s="1"/>
  <c r="AJ942" i="2" s="1"/>
  <c r="AJ810" i="2"/>
  <c r="AJ867" i="2"/>
  <c r="AJ928" i="2"/>
  <c r="AJ936" i="2" s="1"/>
  <c r="AJ913" i="2"/>
  <c r="AJ889" i="2"/>
  <c r="AJ890" i="2" s="1"/>
  <c r="AJ986" i="2"/>
  <c r="AJ988" i="2" s="1"/>
  <c r="AJ1029" i="2" s="1"/>
  <c r="AK763" i="2" l="1"/>
  <c r="AK766" i="2"/>
  <c r="AJ838" i="2"/>
  <c r="AI839" i="2" s="1"/>
  <c r="AJ842" i="2"/>
  <c r="AJ843" i="2" s="1"/>
  <c r="AI844" i="2" s="1"/>
  <c r="AJ915" i="2"/>
  <c r="AJ917" i="2" s="1"/>
  <c r="AJ920" i="2"/>
  <c r="AJ922" i="2" s="1"/>
  <c r="AJ924" i="2" s="1"/>
  <c r="AJ1085" i="2"/>
  <c r="AK799" i="2" l="1"/>
  <c r="AK864" i="2"/>
  <c r="AK777" i="2"/>
  <c r="AK776" i="2"/>
  <c r="AL748" i="2"/>
  <c r="AL749" i="2" s="1"/>
  <c r="AK768" i="2"/>
  <c r="AK769" i="2" l="1"/>
  <c r="AK770" i="2" s="1"/>
  <c r="AL761" i="2"/>
  <c r="AL753" i="2"/>
  <c r="AL760" i="2"/>
  <c r="AK807" i="2"/>
  <c r="AK820" i="2"/>
  <c r="AK828" i="2" s="1"/>
  <c r="AK887" i="2"/>
  <c r="AK866" i="2"/>
  <c r="AL762" i="2" l="1"/>
  <c r="AL754" i="2"/>
  <c r="AL756" i="2" s="1"/>
  <c r="AL764" i="2" s="1"/>
  <c r="AL755" i="2"/>
  <c r="AK867" i="2"/>
  <c r="AK913" i="2"/>
  <c r="AK928" i="2"/>
  <c r="AK936" i="2" s="1"/>
  <c r="AK810" i="2"/>
  <c r="AK929" i="2"/>
  <c r="AK937" i="2" s="1"/>
  <c r="AK942" i="2" s="1"/>
  <c r="AK986" i="2"/>
  <c r="AK988" i="2" s="1"/>
  <c r="AK1029" i="2" s="1"/>
  <c r="AK889" i="2"/>
  <c r="AK890" i="2" s="1"/>
  <c r="AK837" i="2"/>
  <c r="AK831" i="2"/>
  <c r="AL765" i="2" l="1"/>
  <c r="AL766" i="2" s="1"/>
  <c r="AL763" i="2"/>
  <c r="AK920" i="2"/>
  <c r="AK922" i="2" s="1"/>
  <c r="AK924" i="2" s="1"/>
  <c r="AK915" i="2"/>
  <c r="AK917" i="2" s="1"/>
  <c r="AK838" i="2"/>
  <c r="AJ839" i="2" s="1"/>
  <c r="AK842" i="2"/>
  <c r="AK843" i="2" s="1"/>
  <c r="AJ844" i="2" s="1"/>
  <c r="AK1085" i="2"/>
  <c r="AL864" i="2" l="1"/>
  <c r="AL799" i="2"/>
  <c r="AL776" i="2"/>
  <c r="AL777" i="2"/>
  <c r="AM748" i="2"/>
  <c r="AM749" i="2" s="1"/>
  <c r="AL768" i="2"/>
  <c r="AL769" i="2" l="1"/>
  <c r="AL770" i="2" s="1"/>
  <c r="AM761" i="2"/>
  <c r="AM753" i="2"/>
  <c r="AM755" i="2" s="1"/>
  <c r="AL807" i="2"/>
  <c r="AL820" i="2"/>
  <c r="AL828" i="2" s="1"/>
  <c r="AM760" i="2"/>
  <c r="AL887" i="2"/>
  <c r="AL866" i="2"/>
  <c r="AM762" i="2" l="1"/>
  <c r="AM754" i="2"/>
  <c r="AM756" i="2" s="1"/>
  <c r="AM764" i="2" s="1"/>
  <c r="AL928" i="2"/>
  <c r="AL936" i="2" s="1"/>
  <c r="AL913" i="2"/>
  <c r="AL867" i="2"/>
  <c r="AL986" i="2"/>
  <c r="AL988" i="2" s="1"/>
  <c r="AL1029" i="2" s="1"/>
  <c r="AL889" i="2"/>
  <c r="AL890" i="2" s="1"/>
  <c r="AL831" i="2"/>
  <c r="AL837" i="2"/>
  <c r="AL810" i="2"/>
  <c r="AL929" i="2"/>
  <c r="AL937" i="2" s="1"/>
  <c r="AL942" i="2" s="1"/>
  <c r="AM765" i="2" l="1"/>
  <c r="AM766" i="2" s="1"/>
  <c r="AM763" i="2"/>
  <c r="AL842" i="2"/>
  <c r="AL843" i="2" s="1"/>
  <c r="AK844" i="2" s="1"/>
  <c r="AL838" i="2"/>
  <c r="AK839" i="2" s="1"/>
  <c r="AL1085" i="2"/>
  <c r="AL920" i="2"/>
  <c r="AL922" i="2" s="1"/>
  <c r="AL924" i="2" s="1"/>
  <c r="AL915" i="2"/>
  <c r="AL917" i="2" s="1"/>
  <c r="AM864" i="2" l="1"/>
  <c r="AM799" i="2"/>
  <c r="AM776" i="2"/>
  <c r="AM777" i="2"/>
  <c r="AN748" i="2"/>
  <c r="AN749" i="2" s="1"/>
  <c r="AM768" i="2"/>
  <c r="AM769" i="2" l="1"/>
  <c r="AM770" i="2" s="1"/>
  <c r="AN761" i="2"/>
  <c r="AN753" i="2"/>
  <c r="AM807" i="2"/>
  <c r="AM820" i="2"/>
  <c r="AM828" i="2" s="1"/>
  <c r="AN760" i="2"/>
  <c r="AM887" i="2"/>
  <c r="AM866" i="2"/>
  <c r="AN762" i="2" l="1"/>
  <c r="AN754" i="2"/>
  <c r="AN756" i="2" s="1"/>
  <c r="AN764" i="2" s="1"/>
  <c r="AN755" i="2"/>
  <c r="AM913" i="2"/>
  <c r="AM928" i="2"/>
  <c r="AM936" i="2" s="1"/>
  <c r="AM867" i="2"/>
  <c r="AM889" i="2"/>
  <c r="AM890" i="2" s="1"/>
  <c r="AM986" i="2"/>
  <c r="AM988" i="2" s="1"/>
  <c r="AM1029" i="2" s="1"/>
  <c r="AM831" i="2"/>
  <c r="AM837" i="2"/>
  <c r="AM810" i="2"/>
  <c r="AM929" i="2"/>
  <c r="AM937" i="2" s="1"/>
  <c r="AM942" i="2" s="1"/>
  <c r="AN765" i="2" l="1"/>
  <c r="AN766" i="2" s="1"/>
  <c r="AN763" i="2"/>
  <c r="AM915" i="2"/>
  <c r="AM917" i="2" s="1"/>
  <c r="AM920" i="2"/>
  <c r="AM922" i="2" s="1"/>
  <c r="AM924" i="2" s="1"/>
  <c r="AM1085" i="2"/>
  <c r="AM838" i="2"/>
  <c r="AL839" i="2" s="1"/>
  <c r="AM842" i="2"/>
  <c r="AM843" i="2" s="1"/>
  <c r="AN799" i="2" l="1"/>
  <c r="AN864" i="2"/>
  <c r="AN776" i="2"/>
  <c r="AN777" i="2"/>
  <c r="AO748" i="2"/>
  <c r="AO749" i="2" s="1"/>
  <c r="AL844" i="2"/>
  <c r="AN768" i="2"/>
  <c r="AO761" i="2" l="1"/>
  <c r="AN769" i="2"/>
  <c r="AN770" i="2" s="1"/>
  <c r="AO753" i="2"/>
  <c r="AO754" i="2" s="1"/>
  <c r="AO756" i="2" s="1"/>
  <c r="AO764" i="2" s="1"/>
  <c r="AN820" i="2"/>
  <c r="AN828" i="2" s="1"/>
  <c r="AN807" i="2"/>
  <c r="AN887" i="2"/>
  <c r="AN866" i="2"/>
  <c r="AO760" i="2"/>
  <c r="AO762" i="2" s="1"/>
  <c r="AO765" i="2" l="1"/>
  <c r="AO763" i="2"/>
  <c r="AO755" i="2"/>
  <c r="AN913" i="2"/>
  <c r="AN928" i="2"/>
  <c r="AN936" i="2" s="1"/>
  <c r="AN867" i="2"/>
  <c r="AN889" i="2"/>
  <c r="AN890" i="2" s="1"/>
  <c r="AN986" i="2"/>
  <c r="AN988" i="2" s="1"/>
  <c r="AN1029" i="2" s="1"/>
  <c r="AN810" i="2"/>
  <c r="AN929" i="2"/>
  <c r="AN937" i="2" s="1"/>
  <c r="AN942" i="2" s="1"/>
  <c r="AN831" i="2"/>
  <c r="AN837" i="2"/>
  <c r="AN1085" i="2" l="1"/>
  <c r="AO766" i="2"/>
  <c r="AN838" i="2"/>
  <c r="AM839" i="2" s="1"/>
  <c r="AN842" i="2"/>
  <c r="AN843" i="2" s="1"/>
  <c r="AM844" i="2" s="1"/>
  <c r="AN915" i="2"/>
  <c r="AN917" i="2" s="1"/>
  <c r="AN920" i="2"/>
  <c r="AN922" i="2" s="1"/>
  <c r="AN924" i="2" s="1"/>
  <c r="AO799" i="2" l="1"/>
  <c r="AO864" i="2"/>
  <c r="AO777" i="2"/>
  <c r="AO776" i="2"/>
  <c r="AP748" i="2"/>
  <c r="AP749" i="2" s="1"/>
  <c r="AO768" i="2"/>
  <c r="AO769" i="2" l="1"/>
  <c r="AO770" i="2" s="1"/>
  <c r="AP761" i="2"/>
  <c r="AP753" i="2"/>
  <c r="AP754" i="2" s="1"/>
  <c r="AP756" i="2" s="1"/>
  <c r="AP764" i="2" s="1"/>
  <c r="AO866" i="2"/>
  <c r="AO887" i="2"/>
  <c r="AP760" i="2"/>
  <c r="AO820" i="2"/>
  <c r="AO828" i="2" s="1"/>
  <c r="AO807" i="2"/>
  <c r="AP762" i="2" l="1"/>
  <c r="AP765" i="2" s="1"/>
  <c r="AP755" i="2"/>
  <c r="AO837" i="2"/>
  <c r="AO831" i="2"/>
  <c r="AO929" i="2"/>
  <c r="AO937" i="2" s="1"/>
  <c r="AO942" i="2" s="1"/>
  <c r="AO810" i="2"/>
  <c r="AO986" i="2"/>
  <c r="AO988" i="2" s="1"/>
  <c r="AO1029" i="2" s="1"/>
  <c r="AO889" i="2"/>
  <c r="AO890" i="2" s="1"/>
  <c r="AO867" i="2"/>
  <c r="AO928" i="2"/>
  <c r="AO936" i="2" s="1"/>
  <c r="AO913" i="2"/>
  <c r="AP763" i="2" l="1"/>
  <c r="AP766" i="2"/>
  <c r="AO1085" i="2"/>
  <c r="AO915" i="2"/>
  <c r="AO917" i="2" s="1"/>
  <c r="AO920" i="2"/>
  <c r="AO922" i="2" s="1"/>
  <c r="AO924" i="2" s="1"/>
  <c r="AO838" i="2"/>
  <c r="AN839" i="2" s="1"/>
  <c r="AO842" i="2"/>
  <c r="AO843" i="2" s="1"/>
  <c r="AP799" i="2" l="1"/>
  <c r="AP864" i="2"/>
  <c r="AP776" i="2"/>
  <c r="AP777" i="2"/>
  <c r="AQ748" i="2"/>
  <c r="AQ749" i="2" s="1"/>
  <c r="AN844" i="2"/>
  <c r="AP768" i="2"/>
  <c r="AQ761" i="2" l="1"/>
  <c r="AP769" i="2"/>
  <c r="AP770" i="2" s="1"/>
  <c r="AQ753" i="2"/>
  <c r="AQ754" i="2" s="1"/>
  <c r="AQ756" i="2" s="1"/>
  <c r="AQ764" i="2" s="1"/>
  <c r="AP866" i="2"/>
  <c r="AP887" i="2"/>
  <c r="AP820" i="2"/>
  <c r="AP828" i="2" s="1"/>
  <c r="AP807" i="2"/>
  <c r="AQ760" i="2"/>
  <c r="AQ762" i="2" s="1"/>
  <c r="AQ765" i="2" l="1"/>
  <c r="AQ763" i="2"/>
  <c r="AQ755" i="2"/>
  <c r="AP929" i="2"/>
  <c r="AP937" i="2" s="1"/>
  <c r="AP942" i="2" s="1"/>
  <c r="AP810" i="2"/>
  <c r="AP831" i="2"/>
  <c r="AP837" i="2"/>
  <c r="AP889" i="2"/>
  <c r="AP890" i="2" s="1"/>
  <c r="AP986" i="2"/>
  <c r="AP988" i="2" s="1"/>
  <c r="AP1029" i="2" s="1"/>
  <c r="AP928" i="2"/>
  <c r="AP936" i="2" s="1"/>
  <c r="AP867" i="2"/>
  <c r="AP913" i="2"/>
  <c r="AP842" i="2" l="1"/>
  <c r="AP843" i="2" s="1"/>
  <c r="AP838" i="2"/>
  <c r="AP1085" i="2"/>
  <c r="AQ766" i="2"/>
  <c r="AP915" i="2"/>
  <c r="AP917" i="2" s="1"/>
  <c r="AP920" i="2"/>
  <c r="AP922" i="2" s="1"/>
  <c r="AP924" i="2" s="1"/>
  <c r="AQ864" i="2" l="1"/>
  <c r="AQ799" i="2"/>
  <c r="AQ777" i="2"/>
  <c r="AQ776" i="2"/>
  <c r="AR748" i="2"/>
  <c r="AR749" i="2" s="1"/>
  <c r="AQ768" i="2"/>
  <c r="AO839" i="2"/>
  <c r="AO844" i="2"/>
  <c r="AR761" i="2" l="1"/>
  <c r="AQ769" i="2"/>
  <c r="AQ770" i="2" s="1"/>
  <c r="AR753" i="2"/>
  <c r="AR754" i="2" s="1"/>
  <c r="AR756" i="2" s="1"/>
  <c r="AR764" i="2" s="1"/>
  <c r="AQ866" i="2"/>
  <c r="AQ887" i="2"/>
  <c r="AR760" i="2"/>
  <c r="AQ807" i="2"/>
  <c r="AQ820" i="2"/>
  <c r="AQ828" i="2" s="1"/>
  <c r="AR762" i="2" l="1"/>
  <c r="AR765" i="2" s="1"/>
  <c r="AR755" i="2"/>
  <c r="AQ831" i="2"/>
  <c r="AQ837" i="2"/>
  <c r="AQ929" i="2"/>
  <c r="AQ937" i="2" s="1"/>
  <c r="AQ942" i="2" s="1"/>
  <c r="AQ810" i="2"/>
  <c r="AQ986" i="2"/>
  <c r="AQ988" i="2" s="1"/>
  <c r="AQ1029" i="2" s="1"/>
  <c r="AQ889" i="2"/>
  <c r="AQ890" i="2" s="1"/>
  <c r="AQ913" i="2"/>
  <c r="AQ928" i="2"/>
  <c r="AQ936" i="2" s="1"/>
  <c r="AQ867" i="2"/>
  <c r="AR763" i="2" l="1"/>
  <c r="AQ920" i="2"/>
  <c r="AQ922" i="2" s="1"/>
  <c r="AQ924" i="2" s="1"/>
  <c r="AQ915" i="2"/>
  <c r="AQ917" i="2" s="1"/>
  <c r="AR766" i="2"/>
  <c r="AQ1085" i="2"/>
  <c r="AQ842" i="2"/>
  <c r="AQ843" i="2" s="1"/>
  <c r="AQ838" i="2"/>
  <c r="AR864" i="2" l="1"/>
  <c r="AR799" i="2"/>
  <c r="AR777" i="2"/>
  <c r="AR776" i="2"/>
  <c r="AS748" i="2"/>
  <c r="AS749" i="2" s="1"/>
  <c r="AR768" i="2"/>
  <c r="AP839" i="2"/>
  <c r="AP844" i="2"/>
  <c r="AS761" i="2" l="1"/>
  <c r="AR769" i="2"/>
  <c r="AR770" i="2" s="1"/>
  <c r="AS753" i="2"/>
  <c r="AS754" i="2" s="1"/>
  <c r="AS756" i="2" s="1"/>
  <c r="AS764" i="2" s="1"/>
  <c r="AR866" i="2"/>
  <c r="AR887" i="2"/>
  <c r="AS760" i="2"/>
  <c r="AR807" i="2"/>
  <c r="AR820" i="2"/>
  <c r="AR828" i="2" s="1"/>
  <c r="AS762" i="2" l="1"/>
  <c r="AS765" i="2" s="1"/>
  <c r="AS755" i="2"/>
  <c r="AR837" i="2"/>
  <c r="AR831" i="2"/>
  <c r="AR929" i="2"/>
  <c r="AR937" i="2" s="1"/>
  <c r="AR942" i="2" s="1"/>
  <c r="AR810" i="2"/>
  <c r="AR986" i="2"/>
  <c r="AR988" i="2" s="1"/>
  <c r="AR1029" i="2" s="1"/>
  <c r="AR889" i="2"/>
  <c r="AR890" i="2" s="1"/>
  <c r="AR928" i="2"/>
  <c r="AR936" i="2" s="1"/>
  <c r="AR913" i="2"/>
  <c r="AR867" i="2"/>
  <c r="AS763" i="2" l="1"/>
  <c r="AR842" i="2"/>
  <c r="AR843" i="2" s="1"/>
  <c r="AR838" i="2"/>
  <c r="AR1085" i="2"/>
  <c r="AS766" i="2"/>
  <c r="AR915" i="2"/>
  <c r="AR917" i="2" s="1"/>
  <c r="AR920" i="2"/>
  <c r="AR922" i="2" s="1"/>
  <c r="AR924" i="2" s="1"/>
  <c r="AS864" i="2" l="1"/>
  <c r="AS799" i="2"/>
  <c r="AS776" i="2"/>
  <c r="AS777" i="2"/>
  <c r="AT748" i="2"/>
  <c r="AT749" i="2" s="1"/>
  <c r="AS768" i="2"/>
  <c r="AQ839" i="2"/>
  <c r="AQ844" i="2"/>
  <c r="AT761" i="2" l="1"/>
  <c r="AS769" i="2"/>
  <c r="AS770" i="2" s="1"/>
  <c r="AT753" i="2"/>
  <c r="AT754" i="2" s="1"/>
  <c r="AT756" i="2" s="1"/>
  <c r="AT764" i="2" s="1"/>
  <c r="AS866" i="2"/>
  <c r="AS887" i="2"/>
  <c r="AT760" i="2"/>
  <c r="AS820" i="2"/>
  <c r="AS828" i="2" s="1"/>
  <c r="AS807" i="2"/>
  <c r="AT762" i="2" l="1"/>
  <c r="AT765" i="2" s="1"/>
  <c r="AT755" i="2"/>
  <c r="AS831" i="2"/>
  <c r="AS837" i="2"/>
  <c r="AS929" i="2"/>
  <c r="AS937" i="2" s="1"/>
  <c r="AS942" i="2" s="1"/>
  <c r="AS810" i="2"/>
  <c r="AS889" i="2"/>
  <c r="AS890" i="2" s="1"/>
  <c r="AS986" i="2"/>
  <c r="AS988" i="2" s="1"/>
  <c r="AS1029" i="2" s="1"/>
  <c r="AS928" i="2"/>
  <c r="AS936" i="2" s="1"/>
  <c r="AS913" i="2"/>
  <c r="AS867" i="2"/>
  <c r="AT763" i="2" l="1"/>
  <c r="AS915" i="2"/>
  <c r="AS917" i="2" s="1"/>
  <c r="AS920" i="2"/>
  <c r="AS922" i="2" s="1"/>
  <c r="AS924" i="2" s="1"/>
  <c r="AS838" i="2"/>
  <c r="AS842" i="2"/>
  <c r="AS843" i="2" s="1"/>
  <c r="AS1085" i="2"/>
  <c r="AT766" i="2" l="1"/>
  <c r="AR844" i="2"/>
  <c r="AR839" i="2"/>
  <c r="AT864" i="2" l="1"/>
  <c r="AT799" i="2"/>
  <c r="AT777" i="2"/>
  <c r="AT776" i="2"/>
  <c r="AU761" i="2" s="1"/>
  <c r="AU748" i="2"/>
  <c r="AU749" i="2" s="1"/>
  <c r="AT768" i="2"/>
  <c r="AT769" i="2" l="1"/>
  <c r="AT770" i="2" s="1"/>
  <c r="AU753" i="2"/>
  <c r="AU754" i="2" s="1"/>
  <c r="AU756" i="2" s="1"/>
  <c r="AU764" i="2" s="1"/>
  <c r="AT820" i="2"/>
  <c r="AT807" i="2"/>
  <c r="AU760" i="2"/>
  <c r="AT887" i="2"/>
  <c r="AT866" i="2"/>
  <c r="AU762" i="2" l="1"/>
  <c r="AU765" i="2" s="1"/>
  <c r="AU755" i="2"/>
  <c r="AT986" i="2"/>
  <c r="AT889" i="2"/>
  <c r="AT890" i="2" s="1"/>
  <c r="AT929" i="2"/>
  <c r="AT810" i="2"/>
  <c r="AT828" i="2"/>
  <c r="AT867" i="2"/>
  <c r="AT928" i="2"/>
  <c r="AT913" i="2"/>
  <c r="AU763" i="2" l="1"/>
  <c r="AT936" i="2"/>
  <c r="AT915" i="2"/>
  <c r="AT920" i="2"/>
  <c r="AT937" i="2"/>
  <c r="AT831" i="2"/>
  <c r="AT837" i="2"/>
  <c r="AT988" i="2"/>
  <c r="AT1029" i="2" l="1"/>
  <c r="AT917" i="2"/>
  <c r="AT838" i="2"/>
  <c r="AT842" i="2"/>
  <c r="AT922" i="2"/>
  <c r="AU766" i="2"/>
  <c r="AT942" i="2"/>
  <c r="AU864" i="2" l="1"/>
  <c r="AU799" i="2"/>
  <c r="AU776" i="2"/>
  <c r="AV761" i="2" s="1"/>
  <c r="AU777" i="2"/>
  <c r="AV748" i="2"/>
  <c r="AV749" i="2" s="1"/>
  <c r="AT1085" i="2"/>
  <c r="AT924" i="2"/>
  <c r="AU768" i="2"/>
  <c r="AT843" i="2"/>
  <c r="AS839" i="2"/>
  <c r="AU769" i="2" l="1"/>
  <c r="AU770" i="2" s="1"/>
  <c r="AV753" i="2"/>
  <c r="AU866" i="2"/>
  <c r="AU887" i="2"/>
  <c r="AV760" i="2"/>
  <c r="AU807" i="2"/>
  <c r="AU820" i="2"/>
  <c r="AS844" i="2"/>
  <c r="AV762" i="2" l="1"/>
  <c r="AU828" i="2"/>
  <c r="AV754" i="2"/>
  <c r="AV756" i="2" s="1"/>
  <c r="AV764" i="2" s="1"/>
  <c r="AV755" i="2"/>
  <c r="AU810" i="2"/>
  <c r="AU929" i="2"/>
  <c r="AU986" i="2"/>
  <c r="AU889" i="2"/>
  <c r="AU890" i="2" s="1"/>
  <c r="AU928" i="2"/>
  <c r="AU913" i="2"/>
  <c r="AU867" i="2"/>
  <c r="AV765" i="2" l="1"/>
  <c r="AV763" i="2"/>
  <c r="AU988" i="2"/>
  <c r="AU831" i="2"/>
  <c r="AU837" i="2"/>
  <c r="AU937" i="2"/>
  <c r="AU915" i="2"/>
  <c r="AU920" i="2"/>
  <c r="AU936" i="2"/>
  <c r="AU842" i="2" l="1"/>
  <c r="AU838" i="2"/>
  <c r="AU922" i="2"/>
  <c r="AU917" i="2"/>
  <c r="AU1029" i="2"/>
  <c r="AU942" i="2"/>
  <c r="AV766" i="2"/>
  <c r="AV799" i="2" l="1"/>
  <c r="AV864" i="2"/>
  <c r="AV776" i="2"/>
  <c r="AW761" i="2" s="1"/>
  <c r="AV777" i="2"/>
  <c r="AW748" i="2"/>
  <c r="AW749" i="2" s="1"/>
  <c r="AU924" i="2"/>
  <c r="AV768" i="2"/>
  <c r="AU1085" i="2"/>
  <c r="AT839" i="2"/>
  <c r="AU843" i="2"/>
  <c r="AV769" i="2" l="1"/>
  <c r="AV770" i="2" s="1"/>
  <c r="AW753" i="2"/>
  <c r="AW754" i="2" s="1"/>
  <c r="AW756" i="2" s="1"/>
  <c r="AW764" i="2" s="1"/>
  <c r="AV887" i="2"/>
  <c r="AV866" i="2"/>
  <c r="AW760" i="2"/>
  <c r="AT844" i="2"/>
  <c r="AV820" i="2"/>
  <c r="AV807" i="2"/>
  <c r="AW762" i="2" l="1"/>
  <c r="AW765" i="2" s="1"/>
  <c r="AW755" i="2"/>
  <c r="AV913" i="2"/>
  <c r="AV867" i="2"/>
  <c r="AV928" i="2"/>
  <c r="AV929" i="2"/>
  <c r="AV810" i="2"/>
  <c r="AV828" i="2"/>
  <c r="AV889" i="2"/>
  <c r="AV890" i="2" s="1"/>
  <c r="AV986" i="2"/>
  <c r="AW763" i="2" l="1"/>
  <c r="AV988" i="2"/>
  <c r="AV936" i="2"/>
  <c r="AV837" i="2"/>
  <c r="AV831" i="2"/>
  <c r="AV920" i="2"/>
  <c r="AV915" i="2"/>
  <c r="AV937" i="2"/>
  <c r="AW766" i="2" l="1"/>
  <c r="AV917" i="2"/>
  <c r="AV922" i="2"/>
  <c r="AV1029" i="2"/>
  <c r="AV942" i="2"/>
  <c r="AV842" i="2"/>
  <c r="AV838" i="2"/>
  <c r="AW864" i="2" l="1"/>
  <c r="AW799" i="2"/>
  <c r="AW776" i="2"/>
  <c r="AX761" i="2" s="1"/>
  <c r="AW777" i="2"/>
  <c r="AX748" i="2"/>
  <c r="AX749" i="2" s="1"/>
  <c r="AV1085" i="2"/>
  <c r="AV924" i="2"/>
  <c r="AU839" i="2"/>
  <c r="AV843" i="2"/>
  <c r="AW768" i="2"/>
  <c r="AW769" i="2" l="1"/>
  <c r="AW770" i="2" s="1"/>
  <c r="AX753" i="2"/>
  <c r="AX754" i="2" s="1"/>
  <c r="AX756" i="2" s="1"/>
  <c r="AX764" i="2" s="1"/>
  <c r="AX760" i="2"/>
  <c r="AW866" i="2"/>
  <c r="AW887" i="2"/>
  <c r="AW820" i="2"/>
  <c r="AW807" i="2"/>
  <c r="AU844" i="2"/>
  <c r="AX762" i="2" l="1"/>
  <c r="AX765" i="2" s="1"/>
  <c r="AX755" i="2"/>
  <c r="AW867" i="2"/>
  <c r="AW913" i="2"/>
  <c r="AW928" i="2"/>
  <c r="AW810" i="2"/>
  <c r="AW929" i="2"/>
  <c r="AW828" i="2"/>
  <c r="AW889" i="2"/>
  <c r="AW890" i="2" s="1"/>
  <c r="AW986" i="2"/>
  <c r="AX763" i="2" l="1"/>
  <c r="AW937" i="2"/>
  <c r="AW936" i="2"/>
  <c r="AW988" i="2"/>
  <c r="AW915" i="2"/>
  <c r="AW920" i="2"/>
  <c r="AW831" i="2"/>
  <c r="AW837" i="2"/>
  <c r="AW917" i="2" l="1"/>
  <c r="AW942" i="2"/>
  <c r="AW842" i="2"/>
  <c r="AW838" i="2"/>
  <c r="AW1029" i="2"/>
  <c r="AW922" i="2"/>
  <c r="AX766" i="2"/>
  <c r="AX864" i="2" l="1"/>
  <c r="AX799" i="2"/>
  <c r="AX776" i="2"/>
  <c r="AY761" i="2" s="1"/>
  <c r="AX777" i="2"/>
  <c r="AY748" i="2"/>
  <c r="AY749" i="2" s="1"/>
  <c r="AW924" i="2"/>
  <c r="AX768" i="2"/>
  <c r="AV839" i="2"/>
  <c r="AW1085" i="2"/>
  <c r="AW843" i="2"/>
  <c r="AX769" i="2" l="1"/>
  <c r="AX770" i="2" s="1"/>
  <c r="AY753" i="2"/>
  <c r="AY754" i="2" s="1"/>
  <c r="AY756" i="2" s="1"/>
  <c r="AY764" i="2" s="1"/>
  <c r="AX807" i="2"/>
  <c r="AX820" i="2"/>
  <c r="AY760" i="2"/>
  <c r="AV844" i="2"/>
  <c r="AX887" i="2"/>
  <c r="AX866" i="2"/>
  <c r="AY762" i="2" l="1"/>
  <c r="AY765" i="2" s="1"/>
  <c r="AY755" i="2"/>
  <c r="AX867" i="2"/>
  <c r="AX913" i="2"/>
  <c r="AX928" i="2"/>
  <c r="AX986" i="2"/>
  <c r="AX889" i="2"/>
  <c r="AX890" i="2" s="1"/>
  <c r="AX828" i="2"/>
  <c r="AX810" i="2"/>
  <c r="AX929" i="2"/>
  <c r="AY763" i="2" l="1"/>
  <c r="AX937" i="2"/>
  <c r="AX837" i="2"/>
  <c r="AX831" i="2"/>
  <c r="AX988" i="2"/>
  <c r="AY766" i="2"/>
  <c r="AX936" i="2"/>
  <c r="AX920" i="2"/>
  <c r="AX915" i="2"/>
  <c r="AY864" i="2" l="1"/>
  <c r="AY799" i="2"/>
  <c r="AY777" i="2"/>
  <c r="AY776" i="2"/>
  <c r="AZ748" i="2"/>
  <c r="AZ749" i="2" s="1"/>
  <c r="AY768" i="2"/>
  <c r="AX842" i="2"/>
  <c r="AX838" i="2"/>
  <c r="AX942" i="2"/>
  <c r="AX917" i="2"/>
  <c r="AX922" i="2"/>
  <c r="AX1029" i="2"/>
  <c r="AY769" i="2" l="1"/>
  <c r="AY770" i="2" s="1"/>
  <c r="AZ761" i="2"/>
  <c r="AZ753" i="2"/>
  <c r="AZ754" i="2" s="1"/>
  <c r="AZ756" i="2" s="1"/>
  <c r="AZ764" i="2" s="1"/>
  <c r="AY820" i="2"/>
  <c r="AY828" i="2" s="1"/>
  <c r="AY807" i="2"/>
  <c r="AX1085" i="2"/>
  <c r="AX924" i="2"/>
  <c r="AY887" i="2"/>
  <c r="AY866" i="2"/>
  <c r="AW839" i="2"/>
  <c r="AX843" i="2"/>
  <c r="AZ760" i="2"/>
  <c r="AZ762" i="2" l="1"/>
  <c r="AZ765" i="2" s="1"/>
  <c r="AZ755" i="2"/>
  <c r="AW844" i="2"/>
  <c r="AY913" i="2"/>
  <c r="AY928" i="2"/>
  <c r="AY936" i="2" s="1"/>
  <c r="AY867" i="2"/>
  <c r="AY889" i="2"/>
  <c r="AY890" i="2" s="1"/>
  <c r="AY986" i="2"/>
  <c r="AY988" i="2" s="1"/>
  <c r="AY1029" i="2" s="1"/>
  <c r="AY1085" i="2" s="1"/>
  <c r="AY810" i="2"/>
  <c r="AY929" i="2"/>
  <c r="AY937" i="2" s="1"/>
  <c r="AY942" i="2" s="1"/>
  <c r="AY831" i="2"/>
  <c r="AY837" i="2"/>
  <c r="AZ763" i="2" l="1"/>
  <c r="AY915" i="2"/>
  <c r="AY917" i="2" s="1"/>
  <c r="AY920" i="2"/>
  <c r="AY922" i="2" s="1"/>
  <c r="AY924" i="2" s="1"/>
  <c r="AZ766" i="2"/>
  <c r="AY842" i="2"/>
  <c r="AY843" i="2" s="1"/>
  <c r="AY838" i="2"/>
  <c r="AZ799" i="2" l="1"/>
  <c r="AZ864" i="2"/>
  <c r="AZ777" i="2"/>
  <c r="AZ776" i="2"/>
  <c r="BA748" i="2"/>
  <c r="BA749" i="2" s="1"/>
  <c r="AX844" i="2"/>
  <c r="AX839" i="2"/>
  <c r="AZ768" i="2"/>
  <c r="BA761" i="2" l="1"/>
  <c r="AZ769" i="2"/>
  <c r="AZ770" i="2" s="1"/>
  <c r="BA753" i="2"/>
  <c r="BA754" i="2" s="1"/>
  <c r="BA756" i="2" s="1"/>
  <c r="BA764" i="2" s="1"/>
  <c r="AZ807" i="2"/>
  <c r="AZ820" i="2"/>
  <c r="AZ828" i="2" s="1"/>
  <c r="AZ887" i="2"/>
  <c r="AZ866" i="2"/>
  <c r="BA760" i="2"/>
  <c r="BA762" i="2" s="1"/>
  <c r="BA765" i="2" l="1"/>
  <c r="BA763" i="2"/>
  <c r="BA755" i="2"/>
  <c r="AZ837" i="2"/>
  <c r="AZ831" i="2"/>
  <c r="AZ810" i="2"/>
  <c r="AZ929" i="2"/>
  <c r="AZ937" i="2" s="1"/>
  <c r="AZ942" i="2" s="1"/>
  <c r="AZ986" i="2"/>
  <c r="AZ988" i="2" s="1"/>
  <c r="AZ1029" i="2" s="1"/>
  <c r="AZ1085" i="2" s="1"/>
  <c r="AZ889" i="2"/>
  <c r="AZ890" i="2" s="1"/>
  <c r="AZ928" i="2"/>
  <c r="AZ936" i="2" s="1"/>
  <c r="AZ867" i="2"/>
  <c r="AZ913" i="2"/>
  <c r="BA766" i="2" l="1"/>
  <c r="AZ915" i="2"/>
  <c r="AZ917" i="2" s="1"/>
  <c r="AZ920" i="2"/>
  <c r="AZ922" i="2" s="1"/>
  <c r="AZ924" i="2" s="1"/>
  <c r="AZ842" i="2"/>
  <c r="AZ843" i="2" s="1"/>
  <c r="AZ838" i="2"/>
  <c r="BA864" i="2" l="1"/>
  <c r="BA799" i="2"/>
  <c r="BA777" i="2"/>
  <c r="BA776" i="2"/>
  <c r="BB748" i="2"/>
  <c r="BB749" i="2" s="1"/>
  <c r="AY839" i="2"/>
  <c r="AY844" i="2"/>
  <c r="BA768" i="2"/>
  <c r="BB761" i="2" l="1"/>
  <c r="BA769" i="2"/>
  <c r="BA770" i="2" s="1"/>
  <c r="BB753" i="2"/>
  <c r="BB754" i="2" s="1"/>
  <c r="BB756" i="2" s="1"/>
  <c r="BB764" i="2" s="1"/>
  <c r="BA820" i="2"/>
  <c r="BA828" i="2" s="1"/>
  <c r="BA807" i="2"/>
  <c r="BB760" i="2"/>
  <c r="BA887" i="2"/>
  <c r="BA866" i="2"/>
  <c r="BB762" i="2" l="1"/>
  <c r="BB765" i="2" s="1"/>
  <c r="BB755" i="2"/>
  <c r="BA928" i="2"/>
  <c r="BA936" i="2" s="1"/>
  <c r="BA867" i="2"/>
  <c r="BA913" i="2"/>
  <c r="BA986" i="2"/>
  <c r="BA988" i="2" s="1"/>
  <c r="BA1029" i="2" s="1"/>
  <c r="BA1085" i="2" s="1"/>
  <c r="BA889" i="2"/>
  <c r="BA890" i="2" s="1"/>
  <c r="BA810" i="2"/>
  <c r="BA929" i="2"/>
  <c r="BA937" i="2" s="1"/>
  <c r="BA942" i="2" s="1"/>
  <c r="BA837" i="2"/>
  <c r="BA831" i="2"/>
  <c r="BB763" i="2" l="1"/>
  <c r="BA915" i="2"/>
  <c r="BA917" i="2" s="1"/>
  <c r="BA920" i="2"/>
  <c r="BA922" i="2" s="1"/>
  <c r="BA924" i="2" s="1"/>
  <c r="BB766" i="2"/>
  <c r="BA842" i="2"/>
  <c r="BA843" i="2" s="1"/>
  <c r="BA838" i="2"/>
  <c r="BB864" i="2" l="1"/>
  <c r="BB799" i="2"/>
  <c r="BB777" i="2"/>
  <c r="BB776" i="2"/>
  <c r="BC748" i="2"/>
  <c r="BC749" i="2" s="1"/>
  <c r="AZ839" i="2"/>
  <c r="AZ844" i="2"/>
  <c r="BB768" i="2"/>
  <c r="BC761" i="2" l="1"/>
  <c r="BB769" i="2"/>
  <c r="BB770" i="2" s="1"/>
  <c r="BC753" i="2"/>
  <c r="BC754" i="2" s="1"/>
  <c r="BC756" i="2" s="1"/>
  <c r="BC764" i="2" s="1"/>
  <c r="BB807" i="2"/>
  <c r="BB820" i="2"/>
  <c r="BB828" i="2" s="1"/>
  <c r="BB887" i="2"/>
  <c r="BB866" i="2"/>
  <c r="BC760" i="2"/>
  <c r="BC762" i="2" s="1"/>
  <c r="BC765" i="2" l="1"/>
  <c r="BC763" i="2"/>
  <c r="BC755" i="2"/>
  <c r="BB986" i="2"/>
  <c r="BB988" i="2" s="1"/>
  <c r="BB1029" i="2" s="1"/>
  <c r="BB1085" i="2" s="1"/>
  <c r="BB889" i="2"/>
  <c r="BB890" i="2" s="1"/>
  <c r="BB867" i="2"/>
  <c r="BB913" i="2"/>
  <c r="BB928" i="2"/>
  <c r="BB936" i="2" s="1"/>
  <c r="BB837" i="2"/>
  <c r="BB831" i="2"/>
  <c r="BB810" i="2"/>
  <c r="BB929" i="2"/>
  <c r="BB937" i="2" s="1"/>
  <c r="BB942" i="2" s="1"/>
  <c r="BB842" i="2" l="1"/>
  <c r="BB843" i="2" s="1"/>
  <c r="BA844" i="2" s="1"/>
  <c r="BB838" i="2"/>
  <c r="BC766" i="2"/>
  <c r="BB915" i="2"/>
  <c r="BB917" i="2" s="1"/>
  <c r="BB920" i="2"/>
  <c r="BB922" i="2" s="1"/>
  <c r="BB924" i="2" s="1"/>
  <c r="BC864" i="2" l="1"/>
  <c r="BC799" i="2"/>
  <c r="BC776" i="2"/>
  <c r="BC777" i="2"/>
  <c r="C751" i="2"/>
  <c r="BD748" i="2"/>
  <c r="BD749" i="2" s="1"/>
  <c r="BC768" i="2"/>
  <c r="BA839" i="2"/>
  <c r="BD761" i="2" l="1"/>
  <c r="BC769" i="2"/>
  <c r="BC770" i="2" s="1"/>
  <c r="BD753" i="2"/>
  <c r="BD760" i="2"/>
  <c r="C759" i="2"/>
  <c r="BC807" i="2"/>
  <c r="BC820" i="2"/>
  <c r="BC828" i="2" s="1"/>
  <c r="BC887" i="2"/>
  <c r="BC866" i="2"/>
  <c r="C747" i="2"/>
  <c r="C761" i="2" l="1"/>
  <c r="BD762" i="2"/>
  <c r="BC986" i="2"/>
  <c r="BC988" i="2" s="1"/>
  <c r="BC1029" i="2" s="1"/>
  <c r="BC1085" i="2" s="1"/>
  <c r="BC889" i="2"/>
  <c r="BC890" i="2" s="1"/>
  <c r="BC913" i="2"/>
  <c r="BC867" i="2"/>
  <c r="BC928" i="2"/>
  <c r="BC936" i="2" s="1"/>
  <c r="BC831" i="2"/>
  <c r="BC837" i="2"/>
  <c r="C748" i="2"/>
  <c r="BC929" i="2"/>
  <c r="BC937" i="2" s="1"/>
  <c r="BC942" i="2" s="1"/>
  <c r="BC810" i="2"/>
  <c r="C760" i="2"/>
  <c r="C762" i="2" l="1"/>
  <c r="BC915" i="2"/>
  <c r="BC917" i="2" s="1"/>
  <c r="BC920" i="2"/>
  <c r="BC922" i="2" s="1"/>
  <c r="BC924" i="2" s="1"/>
  <c r="BC838" i="2"/>
  <c r="BC842" i="2"/>
  <c r="BC843" i="2" s="1"/>
  <c r="C749" i="2"/>
  <c r="BD754" i="2" l="1"/>
  <c r="C753" i="2"/>
  <c r="BD755" i="2"/>
  <c r="BB844" i="2"/>
  <c r="BB839" i="2"/>
  <c r="C755" i="2" l="1"/>
  <c r="BD756" i="2"/>
  <c r="BD763" i="2" s="1"/>
  <c r="C754" i="2"/>
  <c r="BD764" i="2" l="1"/>
  <c r="BD765" i="2" s="1"/>
  <c r="C756" i="2"/>
  <c r="C764" i="2" l="1"/>
  <c r="BD766" i="2" l="1"/>
  <c r="C765" i="2"/>
  <c r="BD799" i="2" l="1"/>
  <c r="BD864" i="2"/>
  <c r="BD777" i="2"/>
  <c r="C777" i="2" s="1"/>
  <c r="BD776" i="2"/>
  <c r="C766" i="2"/>
  <c r="BD768" i="2"/>
  <c r="BD769" i="2" l="1"/>
  <c r="C768" i="2"/>
  <c r="C776" i="2"/>
  <c r="BD807" i="2"/>
  <c r="BD820" i="2"/>
  <c r="C799" i="2"/>
  <c r="BD866" i="2"/>
  <c r="BD887" i="2"/>
  <c r="C864" i="2"/>
  <c r="BD770" i="2" l="1"/>
  <c r="C769" i="2"/>
  <c r="BD867" i="2"/>
  <c r="BD928" i="2"/>
  <c r="BD913" i="2"/>
  <c r="C866" i="2"/>
  <c r="C867" i="2" s="1"/>
  <c r="BD828" i="2"/>
  <c r="C820" i="2"/>
  <c r="BD986" i="2"/>
  <c r="BD889" i="2"/>
  <c r="C887" i="2"/>
  <c r="BD929" i="2"/>
  <c r="BD810" i="2"/>
  <c r="C808" i="2"/>
  <c r="C807" i="2"/>
  <c r="C889" i="2" l="1"/>
  <c r="BD890" i="2"/>
  <c r="BD988" i="2"/>
  <c r="C986" i="2"/>
  <c r="BD920" i="2"/>
  <c r="BD915" i="2"/>
  <c r="C913" i="2"/>
  <c r="BD831" i="2"/>
  <c r="BD837" i="2"/>
  <c r="C829" i="2"/>
  <c r="C828" i="2"/>
  <c r="C810" i="2"/>
  <c r="C811" i="2"/>
  <c r="BD937" i="2"/>
  <c r="C929" i="2"/>
  <c r="BD936" i="2"/>
  <c r="C928" i="2"/>
  <c r="A929" i="2" l="1"/>
  <c r="BD917" i="2"/>
  <c r="C917" i="2" s="1"/>
  <c r="A917" i="2" s="1"/>
  <c r="C915" i="2"/>
  <c r="F1010" i="2"/>
  <c r="C214" i="18"/>
  <c r="BD942" i="2"/>
  <c r="G949" i="2"/>
  <c r="G962" i="2" s="1"/>
  <c r="K949" i="2"/>
  <c r="K962" i="2" s="1"/>
  <c r="I949" i="2"/>
  <c r="I962" i="2" s="1"/>
  <c r="C937" i="2"/>
  <c r="H949" i="2"/>
  <c r="H962" i="2" s="1"/>
  <c r="C944" i="2"/>
  <c r="J949" i="2"/>
  <c r="J962" i="2" s="1"/>
  <c r="BD1029" i="2"/>
  <c r="C988" i="2"/>
  <c r="BD838" i="2"/>
  <c r="BD842" i="2"/>
  <c r="C837" i="2"/>
  <c r="C890" i="2"/>
  <c r="BD922" i="2"/>
  <c r="C920" i="2"/>
  <c r="I948" i="2"/>
  <c r="K948" i="2"/>
  <c r="H948" i="2"/>
  <c r="G948" i="2"/>
  <c r="C936" i="2"/>
  <c r="J948" i="2"/>
  <c r="C832" i="2"/>
  <c r="C831" i="2"/>
  <c r="A937" i="2" l="1"/>
  <c r="H953" i="2"/>
  <c r="F1016" i="2" s="1"/>
  <c r="H955" i="2"/>
  <c r="F1024" i="2" s="1"/>
  <c r="H964" i="2"/>
  <c r="H960" i="2" s="1"/>
  <c r="H956" i="2"/>
  <c r="BD843" i="2"/>
  <c r="C842" i="2"/>
  <c r="G955" i="2"/>
  <c r="F1023" i="2" s="1"/>
  <c r="G964" i="2"/>
  <c r="G960" i="2" s="1"/>
  <c r="G953" i="2"/>
  <c r="G956" i="2"/>
  <c r="I955" i="2"/>
  <c r="I953" i="2"/>
  <c r="I964" i="2"/>
  <c r="I960" i="2" s="1"/>
  <c r="F1122" i="2"/>
  <c r="I956" i="2"/>
  <c r="J955" i="2"/>
  <c r="F1026" i="2" s="1"/>
  <c r="J956" i="2"/>
  <c r="J953" i="2"/>
  <c r="F1018" i="2" s="1"/>
  <c r="J964" i="2"/>
  <c r="J960" i="2" s="1"/>
  <c r="K964" i="2"/>
  <c r="K960" i="2" s="1"/>
  <c r="K953" i="2"/>
  <c r="K956" i="2"/>
  <c r="K955" i="2"/>
  <c r="BD839" i="2"/>
  <c r="C838" i="2"/>
  <c r="BC839" i="2"/>
  <c r="G1243" i="2"/>
  <c r="G1244" i="2"/>
  <c r="C215" i="18"/>
  <c r="D214" i="18" s="1"/>
  <c r="G1242" i="2"/>
  <c r="G1245" i="2"/>
  <c r="C1029" i="2"/>
  <c r="BD1085" i="2"/>
  <c r="C942" i="2"/>
  <c r="C943" i="2"/>
  <c r="BD924" i="2"/>
  <c r="C924" i="2" s="1"/>
  <c r="A924" i="2" s="1"/>
  <c r="A6" i="2" s="1"/>
  <c r="C922" i="2"/>
  <c r="C839" i="2" l="1"/>
  <c r="D28" i="18" s="1"/>
  <c r="D199" i="18"/>
  <c r="D215" i="18"/>
  <c r="D198" i="18"/>
  <c r="D209" i="18"/>
  <c r="D205" i="18"/>
  <c r="D211" i="18"/>
  <c r="D202" i="18"/>
  <c r="D213" i="18"/>
  <c r="D201" i="18"/>
  <c r="D212" i="18"/>
  <c r="D207" i="18"/>
  <c r="D206" i="18"/>
  <c r="D204" i="18"/>
  <c r="D208" i="18"/>
  <c r="D203" i="18"/>
  <c r="D210" i="18"/>
  <c r="D200" i="18"/>
  <c r="BD844" i="2"/>
  <c r="C843" i="2"/>
  <c r="BC844" i="2"/>
  <c r="F1165" i="2"/>
  <c r="F1179" i="2"/>
  <c r="F1017" i="2"/>
  <c r="D31" i="18"/>
  <c r="F1193" i="2"/>
  <c r="F1025" i="2"/>
  <c r="F1207" i="2"/>
  <c r="F1248" i="2"/>
  <c r="F1254" i="2" s="1"/>
  <c r="F1255" i="2" s="1"/>
  <c r="F1257" i="2" s="1"/>
  <c r="D25" i="18"/>
  <c r="D27" i="18" s="1"/>
  <c r="H1099" i="2"/>
  <c r="G1099" i="2"/>
  <c r="F1015" i="2"/>
  <c r="D30" i="18"/>
  <c r="C844" i="2" l="1"/>
  <c r="D29" i="18" s="1"/>
  <c r="G699" i="2" l="1"/>
  <c r="C68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Scurfield</author>
  </authors>
  <commentList>
    <comment ref="AI15" authorId="0" shapeId="0" xr:uid="{267F9446-671D-4579-94A5-393680CF3567}">
      <text>
        <r>
          <rPr>
            <b/>
            <sz val="10"/>
            <color rgb="FF000000"/>
            <rFont val="Arial"/>
            <family val="34"/>
          </rPr>
          <t>Thomas Scurfield:</t>
        </r>
        <r>
          <rPr>
            <sz val="10"/>
            <color rgb="FF000000"/>
            <rFont val="Arial"/>
            <family val="34"/>
          </rPr>
          <t xml:space="preserve">
</t>
        </r>
        <r>
          <rPr>
            <sz val="10"/>
            <color rgb="FF000000"/>
            <rFont val="Arial"/>
            <family val="34"/>
          </rPr>
          <t>In the regime that came into force in 2018, minerals designated as "strategic" are subject to a 10% royalty rate. Cobalt, coltan and  germanium have been designated "strategic minerals."</t>
        </r>
      </text>
    </comment>
    <comment ref="AM15" authorId="0" shapeId="0" xr:uid="{32205677-955E-422B-860D-5DDF589DBCB4}">
      <text>
        <r>
          <rPr>
            <b/>
            <sz val="10"/>
            <color rgb="FF000000"/>
            <rFont val="Tahoma"/>
            <family val="2"/>
          </rPr>
          <t>Thomas Scurfield:</t>
        </r>
        <r>
          <rPr>
            <sz val="10"/>
            <color rgb="FF000000"/>
            <rFont val="Tahoma"/>
            <family val="2"/>
          </rPr>
          <t xml:space="preserve">
</t>
        </r>
        <r>
          <rPr>
            <sz val="10"/>
            <color rgb="FF000000"/>
            <rFont val="Tahoma"/>
            <family val="2"/>
          </rPr>
          <t xml:space="preserve">The 2019 regime provides for a higher royalty rate when production is greater than specified in the feasibility study. It also provides for a "progressive tax" that is payable when the sales price is greater than specified in the feasibility study. However, the higher royalty rate and its trigger, and the structure and rate of the progressive tax, are not specified in the law. They will be set out in regulations, which are yet to be developed. </t>
        </r>
      </text>
    </comment>
    <comment ref="AQ15" authorId="0" shapeId="0" xr:uid="{7427784C-8737-4F22-B2BC-0A9974C91F51}">
      <text>
        <r>
          <rPr>
            <b/>
            <sz val="10"/>
            <color rgb="FF000000"/>
            <rFont val="Arial"/>
            <family val="2"/>
          </rPr>
          <t>Thomas Scurfield:</t>
        </r>
        <r>
          <rPr>
            <sz val="10"/>
            <color rgb="FF000000"/>
            <rFont val="Arial"/>
            <family val="2"/>
          </rPr>
          <t xml:space="preserve">
</t>
        </r>
        <r>
          <rPr>
            <sz val="10"/>
            <color rgb="FF000000"/>
            <rFont val="Arial"/>
            <family val="2"/>
          </rPr>
          <t>All existing gold mines are operating under an ordinary mining license. Therefore we assume that future mines are likely to also.</t>
        </r>
      </text>
    </comment>
    <comment ref="AB18" authorId="0" shapeId="0" xr:uid="{802DEFE3-E1C5-4E0F-AC10-063EA6CADCBC}">
      <text>
        <r>
          <rPr>
            <b/>
            <sz val="10"/>
            <color rgb="FF000000"/>
            <rFont val="Tahoma"/>
            <family val="2"/>
          </rPr>
          <t>Thomas Scurfield:</t>
        </r>
        <r>
          <rPr>
            <sz val="10"/>
            <color rgb="FF000000"/>
            <rFont val="Tahoma"/>
            <family val="2"/>
          </rPr>
          <t xml:space="preserve">
</t>
        </r>
        <r>
          <rPr>
            <sz val="10"/>
            <color rgb="FF000000"/>
            <rFont val="Arial"/>
            <family val="34"/>
          </rPr>
          <t xml:space="preserve">The EAC Common External Tariff applies. We assume a simple average of the Common External Tariff of 0% for capital goods and 10% for intermediate goods. </t>
        </r>
      </text>
    </comment>
    <comment ref="AC18" authorId="0" shapeId="0" xr:uid="{A953BB53-2BCD-4EDB-90A4-218218A752C0}">
      <text>
        <r>
          <rPr>
            <b/>
            <sz val="10"/>
            <color rgb="FF000000"/>
            <rFont val="Tahoma"/>
            <family val="2"/>
          </rPr>
          <t>Thomas Scurfield:</t>
        </r>
        <r>
          <rPr>
            <sz val="10"/>
            <color rgb="FF000000"/>
            <rFont val="Tahoma"/>
            <family val="2"/>
          </rPr>
          <t xml:space="preserve">
</t>
        </r>
        <r>
          <rPr>
            <sz val="10"/>
            <color rgb="FF000000"/>
            <rFont val="Arial"/>
            <family val="34"/>
          </rPr>
          <t xml:space="preserve">The EAC Common External Tariff applies. We assume a simple average of the Common External Tariff of 0% for capital goods and 10% for intermediate goods. </t>
        </r>
      </text>
    </comment>
    <comment ref="AD18" authorId="0" shapeId="0" xr:uid="{A44FBEA7-AB47-4412-991A-2268EF28E34B}">
      <text>
        <r>
          <rPr>
            <b/>
            <sz val="10"/>
            <color rgb="FF000000"/>
            <rFont val="Tahoma"/>
            <family val="2"/>
          </rPr>
          <t>Thomas Scurfield:</t>
        </r>
        <r>
          <rPr>
            <sz val="10"/>
            <color rgb="FF000000"/>
            <rFont val="Tahoma"/>
            <family val="2"/>
          </rPr>
          <t xml:space="preserve">
</t>
        </r>
        <r>
          <rPr>
            <sz val="10"/>
            <color rgb="FF000000"/>
            <rFont val="Arial"/>
            <family val="34"/>
          </rPr>
          <t xml:space="preserve">The EAC Common External Tariff applies. We assume a simple average of the Common External Tariff of 0% for capital goods and 10% for intermediate goods. </t>
        </r>
      </text>
    </comment>
    <comment ref="AF18" authorId="0" shapeId="0" xr:uid="{4A450B87-C5AD-4612-83E3-2B67EB886E51}">
      <text>
        <r>
          <rPr>
            <b/>
            <sz val="9"/>
            <color indexed="81"/>
            <rFont val="Tahoma"/>
            <family val="2"/>
          </rPr>
          <t>Thomas Scurfield:</t>
        </r>
        <r>
          <rPr>
            <sz val="9"/>
            <color indexed="81"/>
            <rFont val="Tahoma"/>
            <family val="2"/>
          </rPr>
          <t xml:space="preserve">
Import duty is 0-5% for raw materials and capital goods, and 10-15% for intermediate goods. We assume a simple average of the lower end of these ranges.</t>
        </r>
      </text>
    </comment>
    <comment ref="AL18" authorId="0" shapeId="0" xr:uid="{473F32F4-DA89-474C-A00C-58730CFF31D4}">
      <text>
        <r>
          <rPr>
            <b/>
            <sz val="10"/>
            <color rgb="FF000000"/>
            <rFont val="Tahoma"/>
            <family val="2"/>
          </rPr>
          <t>Thomas Scurfield:</t>
        </r>
        <r>
          <rPr>
            <sz val="10"/>
            <color rgb="FF000000"/>
            <rFont val="Tahoma"/>
            <family val="2"/>
          </rPr>
          <t xml:space="preserve">
</t>
        </r>
        <r>
          <rPr>
            <sz val="10"/>
            <color rgb="FF000000"/>
            <rFont val="Arial"/>
            <family val="34"/>
          </rPr>
          <t xml:space="preserve">Widespread exemptions are available until the fourth year of production. After that, the ECOWAS Common External Tariff applies. We assume a simple average of the Common External Tariff of 5% for capital goods and 10% for inputs. </t>
        </r>
      </text>
    </comment>
    <comment ref="AM18" authorId="0" shapeId="0" xr:uid="{678C9803-996C-4079-8D15-DFE89399928A}">
      <text>
        <r>
          <rPr>
            <b/>
            <sz val="10"/>
            <color rgb="FF000000"/>
            <rFont val="Tahoma"/>
            <family val="2"/>
          </rPr>
          <t>Thomas Scurfield:</t>
        </r>
        <r>
          <rPr>
            <sz val="10"/>
            <color rgb="FF000000"/>
            <rFont val="Tahoma"/>
            <family val="2"/>
          </rPr>
          <t xml:space="preserve">
</t>
        </r>
        <r>
          <rPr>
            <sz val="10"/>
            <color rgb="FF000000"/>
            <rFont val="Arial"/>
            <family val="34"/>
          </rPr>
          <t xml:space="preserve">Widespread exemptions are available until the fourth year of production. After that, the ECOWAS Common External Tariff applies. We assume a simple average of the Common External Tariff of 5% for capital goods and 10% for inputs. </t>
        </r>
      </text>
    </comment>
    <comment ref="AO18" authorId="0" shapeId="0" xr:uid="{EE06E20C-3D1B-4439-8746-E2CC8F538BDB}">
      <text>
        <r>
          <rPr>
            <b/>
            <sz val="10"/>
            <color rgb="FF000000"/>
            <rFont val="Arial"/>
            <family val="34"/>
          </rPr>
          <t>Thomas Scurfield:</t>
        </r>
        <r>
          <rPr>
            <sz val="10"/>
            <color rgb="FF000000"/>
            <rFont val="Arial"/>
            <family val="34"/>
          </rPr>
          <t xml:space="preserve">
</t>
        </r>
        <r>
          <rPr>
            <sz val="10"/>
            <color rgb="FF000000"/>
            <rFont val="Arial"/>
            <family val="34"/>
          </rPr>
          <t>This is the average rate after trade reforms in the  WTO Uruguay round.</t>
        </r>
      </text>
    </comment>
    <comment ref="AP18" authorId="0" shapeId="0" xr:uid="{21215976-4002-466B-941A-824C759C283A}">
      <text>
        <r>
          <rPr>
            <b/>
            <sz val="10"/>
            <color rgb="FF000000"/>
            <rFont val="Arial"/>
            <family val="34"/>
          </rPr>
          <t>Thomas Scurfield:</t>
        </r>
        <r>
          <rPr>
            <sz val="10"/>
            <color rgb="FF000000"/>
            <rFont val="Arial"/>
            <family val="34"/>
          </rPr>
          <t xml:space="preserve">
</t>
        </r>
        <r>
          <rPr>
            <sz val="10"/>
            <color rgb="FF000000"/>
            <rFont val="Arial"/>
            <family val="34"/>
          </rPr>
          <t>There is 0% import duty on mining goods.</t>
        </r>
      </text>
    </comment>
    <comment ref="AQ18" authorId="0" shapeId="0" xr:uid="{F0602A0D-86E0-49A5-BD9B-42A685B1429B}">
      <text>
        <r>
          <rPr>
            <b/>
            <sz val="10"/>
            <color rgb="FF000000"/>
            <rFont val="Arial"/>
            <family val="34"/>
          </rPr>
          <t>Thomas Scurfield:</t>
        </r>
        <r>
          <rPr>
            <sz val="10"/>
            <color rgb="FF000000"/>
            <rFont val="Arial"/>
            <family val="34"/>
          </rPr>
          <t xml:space="preserve">
</t>
        </r>
        <r>
          <rPr>
            <sz val="10"/>
            <color rgb="FF000000"/>
            <rFont val="Arial"/>
            <family val="34"/>
          </rPr>
          <t>We assume 0% as the extractives sector attracts various exemptions on import duties.</t>
        </r>
      </text>
    </comment>
    <comment ref="AR18" authorId="0" shapeId="0" xr:uid="{39838FA8-9617-449E-83DF-AA2A708FAE7A}">
      <text>
        <r>
          <rPr>
            <b/>
            <sz val="10"/>
            <color rgb="FF000000"/>
            <rFont val="Arial"/>
            <family val="34"/>
          </rPr>
          <t>Thomas Scurfield:</t>
        </r>
        <r>
          <rPr>
            <sz val="10"/>
            <color rgb="FF000000"/>
            <rFont val="Arial"/>
            <family val="34"/>
          </rPr>
          <t xml:space="preserve">
</t>
        </r>
        <r>
          <rPr>
            <sz val="10"/>
            <color rgb="FF000000"/>
            <rFont val="Arial"/>
            <family val="34"/>
          </rPr>
          <t>We assume 0% as the extractives sector attracts various exemptions on import duties.</t>
        </r>
      </text>
    </comment>
    <comment ref="AS18" authorId="0" shapeId="0" xr:uid="{556D23C9-C98E-4A49-A613-E50231DB6512}">
      <text>
        <r>
          <rPr>
            <b/>
            <sz val="10"/>
            <color rgb="FF000000"/>
            <rFont val="Arial"/>
            <family val="34"/>
          </rPr>
          <t>Thomas Scurfield:</t>
        </r>
        <r>
          <rPr>
            <sz val="10"/>
            <color rgb="FF000000"/>
            <rFont val="Arial"/>
            <family val="34"/>
          </rPr>
          <t xml:space="preserve">
</t>
        </r>
        <r>
          <rPr>
            <sz val="10"/>
            <color rgb="FF000000"/>
            <rFont val="Arial"/>
            <family val="34"/>
          </rPr>
          <t>The import tariff structure is complex. We assume a simple average of the lowest rate on federally administered import duties of 10% and the special 2% rate that companies can apply for.</t>
        </r>
      </text>
    </comment>
    <comment ref="AU18" authorId="0" shapeId="0" xr:uid="{7C22F69C-BBBD-454B-9AB1-A1506C5DF4EB}">
      <text>
        <r>
          <rPr>
            <b/>
            <sz val="10"/>
            <color rgb="FF000000"/>
            <rFont val="Arial"/>
            <family val="34"/>
          </rPr>
          <t>Thomas Scurfield:</t>
        </r>
        <r>
          <rPr>
            <sz val="10"/>
            <color rgb="FF000000"/>
            <rFont val="Arial"/>
            <family val="34"/>
          </rPr>
          <t xml:space="preserve">
</t>
        </r>
        <r>
          <rPr>
            <sz val="10"/>
            <color rgb="FF000000"/>
            <rFont val="Arial"/>
            <family val="34"/>
          </rPr>
          <t>There is no import duty on most capital and intermediate goods.</t>
        </r>
      </text>
    </comment>
    <comment ref="AE19" authorId="0" shapeId="0" xr:uid="{9F9295A6-DEDB-4F5D-8A73-5C5C53A2CE59}">
      <text>
        <r>
          <rPr>
            <b/>
            <sz val="9"/>
            <color indexed="81"/>
            <rFont val="Tahoma"/>
            <family val="2"/>
          </rPr>
          <t>Thomas Scurfield:</t>
        </r>
        <r>
          <rPr>
            <sz val="9"/>
            <color indexed="81"/>
            <rFont val="Tahoma"/>
            <family val="2"/>
          </rPr>
          <t xml:space="preserve">
The simple average MFN tariff for non-agricultural imports in 2019 was 5.5%.</t>
        </r>
      </text>
    </comment>
    <comment ref="AE20" authorId="0" shapeId="0" xr:uid="{38D31BF9-1F5B-4140-877F-7FA5D7F87EB2}">
      <text>
        <r>
          <rPr>
            <b/>
            <sz val="9"/>
            <color indexed="81"/>
            <rFont val="Tahoma"/>
            <family val="2"/>
          </rPr>
          <t>Thomas Scurfield:</t>
        </r>
        <r>
          <rPr>
            <sz val="9"/>
            <color indexed="81"/>
            <rFont val="Tahoma"/>
            <family val="2"/>
          </rPr>
          <t xml:space="preserve">
Widespread import duty exemptions are available for 17 years after the start of operations. We assume that production starts around year 6-7 of operations. </t>
        </r>
      </text>
    </comment>
    <comment ref="AJ21" authorId="0" shapeId="0" xr:uid="{76EAF24E-6024-4441-9A21-2019F8BC7A24}">
      <text>
        <r>
          <rPr>
            <b/>
            <sz val="9"/>
            <color indexed="81"/>
            <rFont val="Tahoma"/>
            <family val="2"/>
          </rPr>
          <t>Thomas Scurfield:</t>
        </r>
        <r>
          <rPr>
            <sz val="9"/>
            <color indexed="81"/>
            <rFont val="Tahoma"/>
            <family val="2"/>
          </rPr>
          <t xml:space="preserve">
VAT and related levies were restructured in 2018. Previously, VAT of 15%, which included a levy for the Ghana Education Trust Fund (GETFUND) of 2.5%, and the National Health Insurance Levy (NHIL) of 2.5%, were refunded for exports. In 2018, GETFUND was separated from VAT and the VAT rate reduced to 12.5%. At the same time, refunds stopped being offered for GETFUND and NHIL. Companies therefore now have to pay a levy of 5% on taxable supplies that is not refunded.    </t>
        </r>
      </text>
    </comment>
    <comment ref="AP21" authorId="0" shapeId="0" xr:uid="{F32258C5-F7B6-436C-9E8B-994D81B3F841}">
      <text>
        <r>
          <rPr>
            <b/>
            <sz val="10"/>
            <color rgb="FF000000"/>
            <rFont val="Arial"/>
            <family val="34"/>
          </rPr>
          <t>Thomas Scurfield:</t>
        </r>
        <r>
          <rPr>
            <sz val="10"/>
            <color rgb="FF000000"/>
            <rFont val="Arial"/>
            <family val="34"/>
          </rPr>
          <t xml:space="preserve">
</t>
        </r>
        <r>
          <rPr>
            <sz val="10"/>
            <color rgb="FF000000"/>
            <rFont val="Arial"/>
            <family val="34"/>
          </rPr>
          <t>A non-refundable sales tax of 9% was planned to replace the VAT zero-rating regime in 2019. However, its introduction has been cancelled.</t>
        </r>
      </text>
    </comment>
    <comment ref="AB26" authorId="0" shapeId="0" xr:uid="{BA49E88F-2AE8-4271-98D6-FD1D37F2B110}">
      <text>
        <r>
          <rPr>
            <b/>
            <sz val="9"/>
            <color indexed="81"/>
            <rFont val="Tahoma"/>
            <family val="2"/>
          </rPr>
          <t>Thomas Scurfield:</t>
        </r>
        <r>
          <rPr>
            <sz val="9"/>
            <color indexed="81"/>
            <rFont val="Tahoma"/>
            <family val="2"/>
          </rPr>
          <t xml:space="preserve">
The government has proposed reducing the royalty rate for gold that is sent to domestic refineries to 4%. Given the small capacity of existing refineries, we assume that all gold is exported to overseas refineries and therefore attracts a royalty rate of 6%.</t>
        </r>
      </text>
    </comment>
    <comment ref="AC26" authorId="0" shapeId="0" xr:uid="{F36028A3-432F-453C-9C00-E92F7193646F}">
      <text>
        <r>
          <rPr>
            <b/>
            <sz val="9"/>
            <color indexed="81"/>
            <rFont val="Tahoma"/>
            <family val="2"/>
          </rPr>
          <t>Thomas Scurfield:</t>
        </r>
        <r>
          <rPr>
            <sz val="9"/>
            <color indexed="81"/>
            <rFont val="Tahoma"/>
            <family val="2"/>
          </rPr>
          <t xml:space="preserve">
The government has proposed reducing the royalty rate for gold that is sent to domestic refineries to 4%. Given the small capacity of existing refineries, we assume that all gold is exported to overseas refineries and therefore attracts a royalty rate of 6%.</t>
        </r>
      </text>
    </comment>
    <comment ref="AD26" authorId="0" shapeId="0" xr:uid="{0B9CEE61-3648-4372-A013-88B6D66E5BC0}">
      <text>
        <r>
          <rPr>
            <b/>
            <sz val="9"/>
            <color indexed="81"/>
            <rFont val="Tahoma"/>
            <family val="2"/>
          </rPr>
          <t>Thomas Scurfield:</t>
        </r>
        <r>
          <rPr>
            <sz val="9"/>
            <color indexed="81"/>
            <rFont val="Tahoma"/>
            <family val="2"/>
          </rPr>
          <t xml:space="preserve">
The government has proposed reducing the royalty rate for gold that is sent to domestic refineries to 4%. Given the small capacity of existing refineries, we assume that all gold is exported to overseas refineries and therefore attracts a royalty rate of 6%.</t>
        </r>
      </text>
    </comment>
    <comment ref="AE26" authorId="0" shapeId="0" xr:uid="{16E3C17C-8331-4154-95D7-A6922588E754}">
      <text>
        <r>
          <rPr>
            <b/>
            <sz val="10"/>
            <color rgb="FF000000"/>
            <rFont val="Arial"/>
            <family val="34"/>
          </rPr>
          <t>Thomas Scurfield:</t>
        </r>
        <r>
          <rPr>
            <sz val="10"/>
            <color rgb="FF000000"/>
            <rFont val="Arial"/>
            <family val="34"/>
          </rPr>
          <t xml:space="preserve">
The royalty rate is 4%, but there are additional taxes that have the same base as the royalty:
- A local business tax of up to 2%;
- An indigenous people royalty of at least 1%;
- An additional royalty of 5% if the mine is in a mineral reservation area.
The local business tax rate differs across local government entities. We assume it is set at its maximum rate. The indigenous people royalty is negotiated separately. We assume it is set at its minimum rate. We assume the mine is not in a mineral reservation area and therefore does not pay the additional royalty.</t>
        </r>
      </text>
    </comment>
    <comment ref="AF26" authorId="0" shapeId="0" xr:uid="{63914EA7-ADF6-46BF-92D3-8240BDE25080}">
      <text>
        <r>
          <rPr>
            <b/>
            <sz val="10"/>
            <color indexed="81"/>
            <rFont val="Arial"/>
            <family val="2"/>
          </rPr>
          <t>Thomas Scurfield:</t>
        </r>
        <r>
          <rPr>
            <sz val="10"/>
            <color indexed="81"/>
            <rFont val="Arial"/>
            <family val="2"/>
          </rPr>
          <t xml:space="preserve">
The law provides for a royalty rate of between 3% and 8%, with the actual rate for a mine set out in the project agreement. Based on the royalty rate agreed with several mines in practice, we assume a rate of 5% applies.</t>
        </r>
      </text>
    </comment>
    <comment ref="AL26" authorId="0" shapeId="0" xr:uid="{460578B9-3411-4A5F-A36B-011711833E0F}">
      <text>
        <r>
          <rPr>
            <b/>
            <sz val="10"/>
            <color rgb="FF000000"/>
            <rFont val="Tahoma"/>
            <family val="2"/>
          </rPr>
          <t>Thomas Scurfield:</t>
        </r>
        <r>
          <rPr>
            <sz val="10"/>
            <color rgb="FF000000"/>
            <rFont val="Tahoma"/>
            <family val="2"/>
          </rPr>
          <t xml:space="preserve">
</t>
        </r>
        <r>
          <rPr>
            <sz val="10"/>
            <color rgb="FF000000"/>
            <rFont val="Tahoma"/>
            <family val="2"/>
          </rPr>
          <t>There is a Special Tax on Certain Products (ICSP) applied to turnover of 3% and a royalty of 3%.</t>
        </r>
      </text>
    </comment>
    <comment ref="AM26" authorId="0" shapeId="0" xr:uid="{BE3D76A4-0141-4AF9-9EC9-75A6E9169604}">
      <text>
        <r>
          <rPr>
            <b/>
            <sz val="10"/>
            <color rgb="FF000000"/>
            <rFont val="Tahoma"/>
            <family val="2"/>
          </rPr>
          <t>Thomas Scurfield:</t>
        </r>
        <r>
          <rPr>
            <sz val="10"/>
            <color rgb="FF000000"/>
            <rFont val="Tahoma"/>
            <family val="2"/>
          </rPr>
          <t xml:space="preserve">
</t>
        </r>
        <r>
          <rPr>
            <sz val="10"/>
            <color rgb="FF000000"/>
            <rFont val="Tahoma"/>
            <family val="2"/>
          </rPr>
          <t>There is a Special Tax on Certain Products (ICSP) applied to turnover of 3% and a royalty of 3%.</t>
        </r>
      </text>
    </comment>
    <comment ref="AN26" authorId="0" shapeId="0" xr:uid="{EFDEE875-5C18-4B93-AEF4-3882746DAA95}">
      <text>
        <r>
          <rPr>
            <b/>
            <sz val="10"/>
            <color rgb="FF000000"/>
            <rFont val="Tahoma"/>
            <family val="2"/>
          </rPr>
          <t>Thomas Scurfield:</t>
        </r>
        <r>
          <rPr>
            <sz val="10"/>
            <color rgb="FF000000"/>
            <rFont val="Tahoma"/>
            <family val="2"/>
          </rPr>
          <t xml:space="preserve">
A lower rate of 3% is applied if the gold is refined in Senegal. We assume it isn't.</t>
        </r>
      </text>
    </comment>
    <comment ref="AE27" authorId="0" shapeId="0" xr:uid="{512E6F6F-5AEF-4DF8-893F-9A7EFF950220}">
      <text>
        <r>
          <rPr>
            <b/>
            <sz val="10"/>
            <color rgb="FF000000"/>
            <rFont val="Arial"/>
            <family val="34"/>
          </rPr>
          <t>Thomas Scurfield:</t>
        </r>
        <r>
          <rPr>
            <sz val="10"/>
            <color rgb="FF000000"/>
            <rFont val="Arial"/>
            <family val="34"/>
          </rPr>
          <t xml:space="preserve">
The royalty rate is 4%, but there are additional taxes that have the same base as the royalty:
- An indigenous people tax of up to 1%;
- A local business tax of up to 2%;
- An additional royalty of 5% if the mine is in a mineral reservation area.
The indigenous people tax and local business tax are negotiated separately and are therefore not always the maximum rate, but we assume they are. We assume the mine is not in a mineral reservation area and therefore does not pay the additional royalty.</t>
        </r>
      </text>
    </comment>
    <comment ref="AF27" authorId="0" shapeId="0" xr:uid="{AAB2B199-0DDC-4959-BC0C-FC34A01A0719}">
      <text>
        <r>
          <rPr>
            <b/>
            <sz val="10"/>
            <color indexed="81"/>
            <rFont val="Arial"/>
            <family val="2"/>
          </rPr>
          <t>Thomas Scurfield:</t>
        </r>
        <r>
          <rPr>
            <sz val="10"/>
            <color indexed="81"/>
            <rFont val="Arial"/>
            <family val="2"/>
          </rPr>
          <t xml:space="preserve">
The law provides for a royalty rate of between 3% and 8%, with the actual rate for a mine set out in the project agreement. Based on the royalty rate agreed with several mines in practice, we assume a rate of 5% applies.</t>
        </r>
      </text>
    </comment>
    <comment ref="AN27" authorId="0" shapeId="0" xr:uid="{268C7911-1A5B-456B-A306-EF812DEB518C}">
      <text>
        <r>
          <rPr>
            <b/>
            <sz val="10"/>
            <color rgb="FF000000"/>
            <rFont val="Tahoma"/>
            <family val="2"/>
          </rPr>
          <t>Thomas Scurfield:</t>
        </r>
        <r>
          <rPr>
            <sz val="10"/>
            <color rgb="FF000000"/>
            <rFont val="Tahoma"/>
            <family val="2"/>
          </rPr>
          <t xml:space="preserve">
A lower rate of 1.5% is applied if a base metal is refined in Senegal. We assume it isn't.</t>
        </r>
      </text>
    </comment>
    <comment ref="AE28" authorId="0" shapeId="0" xr:uid="{0D02C421-3301-48F1-ABAD-182D86FEE800}">
      <text>
        <r>
          <rPr>
            <b/>
            <sz val="10"/>
            <color rgb="FF000000"/>
            <rFont val="Arial"/>
            <family val="34"/>
          </rPr>
          <t>Thomas Scurfield:</t>
        </r>
        <r>
          <rPr>
            <sz val="10"/>
            <color rgb="FF000000"/>
            <rFont val="Arial"/>
            <family val="34"/>
          </rPr>
          <t xml:space="preserve">
The royalty rate is 4%, but there are additional taxes that have the same base as the royalty:
- An indigenous people tax of up to 1%;
- A local business tax of up to 2%;
- An additional royalty of 5% if the mine is in a mineral reservation area.
The indigenous people tax and local business tax are negotiated separately and are therefore not always the maximum rate, but we assume they are. We assume the mine is not in a mineral reservation area and therefore does not pay the additional royalty.</t>
        </r>
      </text>
    </comment>
    <comment ref="AF28" authorId="0" shapeId="0" xr:uid="{FF099499-37DA-4C78-820F-7D87BC176B15}">
      <text>
        <r>
          <rPr>
            <b/>
            <sz val="10"/>
            <color indexed="81"/>
            <rFont val="Arial"/>
            <family val="2"/>
          </rPr>
          <t>Thomas Scurfield:</t>
        </r>
        <r>
          <rPr>
            <sz val="10"/>
            <color indexed="81"/>
            <rFont val="Arial"/>
            <family val="2"/>
          </rPr>
          <t xml:space="preserve">
The law provides for a royalty rate of between 3% and 8%, with the actual rate for a mine set out in the project agreement. Based on the royalty rate agreed with several mines in practice, we assume a rate of 5% applies.</t>
        </r>
      </text>
    </comment>
    <comment ref="AN28" authorId="0" shapeId="0" xr:uid="{1A9A5B3E-F20B-4896-BF4C-6607CC20D1F5}">
      <text>
        <r>
          <rPr>
            <b/>
            <sz val="10"/>
            <color rgb="FF000000"/>
            <rFont val="Tahoma"/>
            <family val="2"/>
          </rPr>
          <t>Thomas Scurfield:</t>
        </r>
        <r>
          <rPr>
            <sz val="10"/>
            <color rgb="FF000000"/>
            <rFont val="Tahoma"/>
            <family val="2"/>
          </rPr>
          <t xml:space="preserve">
A lower rate of 1.5% is applied if a base metal is refined in Senegal. We assume it isn't.</t>
        </r>
      </text>
    </comment>
    <comment ref="AE29" authorId="0" shapeId="0" xr:uid="{DE105030-2804-430B-9F6A-3860AADD5AB5}">
      <text>
        <r>
          <rPr>
            <b/>
            <sz val="10"/>
            <color rgb="FF000000"/>
            <rFont val="Arial"/>
            <family val="34"/>
          </rPr>
          <t>Thomas Scurfield:</t>
        </r>
        <r>
          <rPr>
            <sz val="10"/>
            <color rgb="FF000000"/>
            <rFont val="Arial"/>
            <family val="34"/>
          </rPr>
          <t xml:space="preserve">
The royalty rate is 4%, but there are additional taxes that have the same base as the royalty:
- An indigenous people tax of up to 1%;
- A local business tax of up to 2%;
- An additional royalty of 5% if the mine is in a mineral reservation area.
The indigenous people tax and local business tax are negotiated separately and are therefore not always the maximum rate, but we assume they are. We assume the mine is not in a mineral reservation area and therefore does not pay the additional royalty.</t>
        </r>
      </text>
    </comment>
    <comment ref="AF29" authorId="0" shapeId="0" xr:uid="{0E00F2AF-D9A5-4F9F-BC51-D0F1BB4A55B1}">
      <text>
        <r>
          <rPr>
            <b/>
            <sz val="10"/>
            <color indexed="81"/>
            <rFont val="Arial"/>
            <family val="2"/>
          </rPr>
          <t>Thomas Scurfield:</t>
        </r>
        <r>
          <rPr>
            <sz val="10"/>
            <color indexed="81"/>
            <rFont val="Arial"/>
            <family val="2"/>
          </rPr>
          <t xml:space="preserve">
The law provides for a royalty rate of between 3% and 8%, with the actual rate for a mine set out in the project agreement. Based on the royalty rate agreed with several mines in practice, we assume a rate of 5% applies.</t>
        </r>
      </text>
    </comment>
    <comment ref="AN29" authorId="0" shapeId="0" xr:uid="{C197478F-B92E-463E-A7B2-D2598B5B567F}">
      <text>
        <r>
          <rPr>
            <b/>
            <sz val="10"/>
            <color rgb="FF000000"/>
            <rFont val="Tahoma"/>
            <family val="2"/>
          </rPr>
          <t>Thomas Scurfield:</t>
        </r>
        <r>
          <rPr>
            <sz val="10"/>
            <color rgb="FF000000"/>
            <rFont val="Tahoma"/>
            <family val="2"/>
          </rPr>
          <t xml:space="preserve">
A lower rate of 1.5% is applied if a base metal is refined in Senegal. We assume it isn't.</t>
        </r>
      </text>
    </comment>
    <comment ref="AP32" authorId="0" shapeId="0" xr:uid="{6DFF1F4F-A250-4B2D-A5F3-C7F9719DD8FC}">
      <text>
        <r>
          <rPr>
            <b/>
            <sz val="10"/>
            <color rgb="FF000000"/>
            <rFont val="Arial"/>
            <family val="34"/>
          </rPr>
          <t>Thomas Scurfield:</t>
        </r>
        <r>
          <rPr>
            <sz val="10"/>
            <color rgb="FF000000"/>
            <rFont val="Arial"/>
            <family val="34"/>
          </rPr>
          <t xml:space="preserve">
</t>
        </r>
        <r>
          <rPr>
            <sz val="10"/>
            <color rgb="FF000000"/>
            <rFont val="Arial"/>
            <family val="34"/>
          </rPr>
          <t>VRR applies to copper only. There is a fixed royalty rate for gold and cobalt.</t>
        </r>
      </text>
    </comment>
    <comment ref="C36" authorId="0" shapeId="0" xr:uid="{00000000-0006-0000-0200-000019000000}">
      <text>
        <r>
          <rPr>
            <b/>
            <sz val="9"/>
            <color rgb="FF000000"/>
            <rFont val="Tahoma"/>
            <family val="2"/>
          </rPr>
          <t>Thomas Scurfield:</t>
        </r>
        <r>
          <rPr>
            <sz val="9"/>
            <color rgb="FF000000"/>
            <rFont val="Tahoma"/>
            <family val="2"/>
          </rPr>
          <t xml:space="preserve">
</t>
        </r>
        <r>
          <rPr>
            <sz val="9"/>
            <color rgb="FF000000"/>
            <rFont val="Tahoma"/>
            <family val="2"/>
          </rPr>
          <t>Modelled as part of fixed rate royalty.</t>
        </r>
      </text>
    </comment>
    <comment ref="X36" authorId="0" shapeId="0" xr:uid="{4B5719D0-7C1C-4849-9D23-34073D923F69}">
      <text>
        <r>
          <rPr>
            <b/>
            <sz val="9"/>
            <color indexed="81"/>
            <rFont val="Tahoma"/>
            <family val="2"/>
          </rPr>
          <t>Thomas Scurfield:</t>
        </r>
        <r>
          <rPr>
            <sz val="9"/>
            <color indexed="81"/>
            <rFont val="Tahoma"/>
            <family val="2"/>
          </rPr>
          <t xml:space="preserve">
Modelled as part of fixed rate royalty.</t>
        </r>
      </text>
    </comment>
    <comment ref="AP36" authorId="0" shapeId="0" xr:uid="{03B6AEC8-C800-47AF-9050-B78292FFE323}">
      <text>
        <r>
          <rPr>
            <b/>
            <sz val="10"/>
            <color rgb="FF000000"/>
            <rFont val="Arial"/>
            <family val="34"/>
          </rPr>
          <t>Thomas Scurfield:</t>
        </r>
        <r>
          <rPr>
            <sz val="10"/>
            <color rgb="FF000000"/>
            <rFont val="Arial"/>
            <family val="34"/>
          </rPr>
          <t xml:space="preserve">
</t>
        </r>
        <r>
          <rPr>
            <sz val="10"/>
            <color rgb="FF000000"/>
            <rFont val="Arial"/>
            <family val="34"/>
          </rPr>
          <t>Export duty of 15% is applicable to precious metals only (i.e. gold but not copper, cobalt or nickel).</t>
        </r>
      </text>
    </comment>
    <comment ref="C37" authorId="0" shapeId="0" xr:uid="{11D0A7D1-19BF-40BE-A1E1-9EAD0A962D67}">
      <text>
        <r>
          <rPr>
            <b/>
            <sz val="9"/>
            <color rgb="FF000000"/>
            <rFont val="Tahoma"/>
            <family val="2"/>
          </rPr>
          <t>Thomas Scurfield:</t>
        </r>
        <r>
          <rPr>
            <sz val="9"/>
            <color rgb="FF000000"/>
            <rFont val="Tahoma"/>
            <family val="2"/>
          </rPr>
          <t xml:space="preserve">
</t>
        </r>
        <r>
          <rPr>
            <sz val="9"/>
            <color rgb="FF000000"/>
            <rFont val="Tahoma"/>
            <family val="2"/>
          </rPr>
          <t>Modelled as part of fixed rate royalty.</t>
        </r>
      </text>
    </comment>
    <comment ref="X37" authorId="0" shapeId="0" xr:uid="{6A09100E-4469-468B-ADD9-E074FD3FF87C}">
      <text>
        <r>
          <rPr>
            <b/>
            <sz val="9"/>
            <color indexed="81"/>
            <rFont val="Tahoma"/>
            <family val="2"/>
          </rPr>
          <t>Thomas Scurfield:</t>
        </r>
        <r>
          <rPr>
            <sz val="9"/>
            <color indexed="81"/>
            <rFont val="Tahoma"/>
            <family val="2"/>
          </rPr>
          <t xml:space="preserve">
Modelled as part of fixed rate royalty.</t>
        </r>
      </text>
    </comment>
    <comment ref="X40" authorId="0" shapeId="0" xr:uid="{05200636-F5D0-4640-9E9E-C82B24587F2E}">
      <text>
        <r>
          <rPr>
            <b/>
            <sz val="9"/>
            <color indexed="81"/>
            <rFont val="Tahoma"/>
            <family val="2"/>
          </rPr>
          <t>Thomas Scurfield:</t>
        </r>
        <r>
          <rPr>
            <sz val="9"/>
            <color indexed="81"/>
            <rFont val="Tahoma"/>
            <family val="2"/>
          </rPr>
          <t xml:space="preserve">
We assume this backstop has the same base as the typical royalty.</t>
        </r>
      </text>
    </comment>
    <comment ref="AO44" authorId="0" shapeId="0" xr:uid="{ABD454E7-5ADA-40A5-AB77-7D766B232F2F}">
      <text>
        <r>
          <rPr>
            <b/>
            <sz val="10"/>
            <color rgb="FF000000"/>
            <rFont val="Arial"/>
            <family val="34"/>
          </rPr>
          <t>Thomas Scurfield:</t>
        </r>
        <r>
          <rPr>
            <sz val="10"/>
            <color rgb="FF000000"/>
            <rFont val="Arial"/>
            <family val="34"/>
          </rPr>
          <t xml:space="preserve">
</t>
        </r>
        <r>
          <rPr>
            <sz val="10"/>
            <color rgb="FF000000"/>
            <rFont val="Arial"/>
            <family val="34"/>
          </rPr>
          <t>There is no CIT for gold mines, but for other mines there is CIT of 28%.</t>
        </r>
      </text>
    </comment>
    <comment ref="AQ44" authorId="0" shapeId="0" xr:uid="{046C8FEB-D989-4088-85AC-910B8C1986F3}">
      <text>
        <r>
          <rPr>
            <b/>
            <sz val="10"/>
            <color rgb="FF000000"/>
            <rFont val="Arial"/>
            <family val="34"/>
          </rPr>
          <t>Thomas Scurfield:</t>
        </r>
        <r>
          <rPr>
            <sz val="10"/>
            <color rgb="FF000000"/>
            <rFont val="Arial"/>
            <family val="34"/>
          </rPr>
          <t xml:space="preserve">
In addition to a corporate income tax of 25%, an Aids levy of 3% is imposed that has the same tax base.</t>
        </r>
      </text>
    </comment>
    <comment ref="AR44" authorId="0" shapeId="0" xr:uid="{97914383-0EFF-4653-8ED6-2874149BD73C}">
      <text>
        <r>
          <rPr>
            <b/>
            <sz val="10"/>
            <color rgb="FF000000"/>
            <rFont val="Arial"/>
            <family val="34"/>
          </rPr>
          <t>Thomas Scurfield:</t>
        </r>
        <r>
          <rPr>
            <sz val="10"/>
            <color rgb="FF000000"/>
            <rFont val="Arial"/>
            <family val="34"/>
          </rPr>
          <t xml:space="preserve">
</t>
        </r>
        <r>
          <rPr>
            <sz val="10"/>
            <color rgb="FF000000"/>
            <rFont val="Arial"/>
            <family val="34"/>
          </rPr>
          <t>In addition to a corporate income tax of 15%, an Aids levy of 3% is imposed that has the same tax base.</t>
        </r>
      </text>
    </comment>
    <comment ref="AU50" authorId="0" shapeId="0" xr:uid="{304FF611-9983-4A1E-B59C-322F72EDD945}">
      <text>
        <r>
          <rPr>
            <b/>
            <sz val="10"/>
            <color rgb="FF000000"/>
            <rFont val="Arial"/>
            <family val="34"/>
          </rPr>
          <t>Thomas Scurfield:</t>
        </r>
        <r>
          <rPr>
            <sz val="10"/>
            <color rgb="FF000000"/>
            <rFont val="Arial"/>
            <family val="34"/>
          </rPr>
          <t xml:space="preserve">
</t>
        </r>
        <r>
          <rPr>
            <sz val="10"/>
            <color rgb="FF000000"/>
            <rFont val="Arial"/>
            <family val="34"/>
          </rPr>
          <t>The law provides for 20 year depreciation of immovable capital and 5 year depreciation of movable capital. We assume an average of 10 years.</t>
        </r>
      </text>
    </comment>
    <comment ref="AY50" authorId="0" shapeId="0" xr:uid="{5E08BFC6-2ED7-4E07-858E-712E0B86FEE8}">
      <text>
        <r>
          <rPr>
            <b/>
            <sz val="9"/>
            <color indexed="81"/>
            <rFont val="Tahoma"/>
            <family val="2"/>
          </rPr>
          <t>Thomas Scurfield:</t>
        </r>
        <r>
          <rPr>
            <sz val="9"/>
            <color indexed="81"/>
            <rFont val="Tahoma"/>
            <family val="2"/>
          </rPr>
          <t xml:space="preserve">
The law provides for depreciation over an asset's useful life, suing either the straight line or declining balance method. We follow the straight line method, and assume an average uselife of 10 years.</t>
        </r>
      </text>
    </comment>
    <comment ref="AG51" authorId="0" shapeId="0" xr:uid="{5740EA8D-4EC9-45B5-9EF6-765C32B3EE25}">
      <text>
        <r>
          <rPr>
            <b/>
            <sz val="10"/>
            <color indexed="81"/>
            <rFont val="Arial"/>
            <family val="2"/>
          </rPr>
          <t xml:space="preserve">Thomas Scurfield:
</t>
        </r>
        <r>
          <rPr>
            <sz val="10"/>
            <color indexed="81"/>
            <rFont val="Arial"/>
            <family val="2"/>
          </rPr>
          <t>The law provides for a declining balance allowance, with the coefficient depending on the duration of the asset's useful life. We assume an average uselife of 10 years, which means a coefficient of 2.5 and therefore a declining balance of 25%. 
For certain assets with a useful life of 5 years or more, the amount of the first depreciation allowance may be doubled, and the depreciation period reduced by one year. Given our assumption of a uselife of 10 years, we incorporate this provision in the generally applicable capital allowance.</t>
        </r>
        <r>
          <rPr>
            <sz val="9"/>
            <color indexed="81"/>
            <rFont val="Tahoma"/>
            <family val="2"/>
          </rPr>
          <t xml:space="preserve">
</t>
        </r>
      </text>
    </comment>
    <comment ref="AL51" authorId="0" shapeId="0" xr:uid="{5BA8B579-87C8-44E2-B8FE-36264CA49D90}">
      <text>
        <r>
          <rPr>
            <b/>
            <sz val="10"/>
            <color indexed="81"/>
            <rFont val="Arial"/>
            <family val="2"/>
          </rPr>
          <t xml:space="preserve">Thomas Scurfield:
</t>
        </r>
        <r>
          <rPr>
            <sz val="10"/>
            <color indexed="81"/>
            <rFont val="Arial"/>
            <family val="2"/>
          </rPr>
          <t>The law provides for a declining balance allowance, with the coefficient depending on the duration of the asset's useful life. We assume an average uselife of 10 years, which means a coefficient of 2.5 and therefore a declining balance of 25%. 
For certain assets with a useful life of 5 years or more, the amount of the first depreciation allowance may be doubled, and the depreciation period reduced by one year. Given our assumption of a uselife of 10 years, we incorporate this provision in the generally applicable capital allowance.</t>
        </r>
        <r>
          <rPr>
            <sz val="9"/>
            <color indexed="81"/>
            <rFont val="Tahoma"/>
            <family val="2"/>
          </rPr>
          <t xml:space="preserve">
</t>
        </r>
      </text>
    </comment>
    <comment ref="AM51" authorId="0" shapeId="0" xr:uid="{6E11329A-DC25-44AF-90AB-E689A8C37EA3}">
      <text>
        <r>
          <rPr>
            <b/>
            <sz val="10"/>
            <color indexed="81"/>
            <rFont val="Arial"/>
            <family val="2"/>
          </rPr>
          <t xml:space="preserve">Thomas Scurfield:
</t>
        </r>
        <r>
          <rPr>
            <sz val="10"/>
            <color indexed="81"/>
            <rFont val="Arial"/>
            <family val="2"/>
          </rPr>
          <t xml:space="preserve">The law provides for a declining balance allowance, with the coefficient depending on the duration of the asset's useful life. We assume an average uselife of 10 years, which means a coefficient of 2.5 and therefore a declining balance of 25%. </t>
        </r>
        <r>
          <rPr>
            <sz val="9"/>
            <color indexed="81"/>
            <rFont val="Tahoma"/>
            <family val="2"/>
          </rPr>
          <t xml:space="preserve">
</t>
        </r>
      </text>
    </comment>
    <comment ref="AN51" authorId="0" shapeId="0" xr:uid="{4B1A97B9-733E-4624-8829-3C00DB66431F}">
      <text>
        <r>
          <rPr>
            <b/>
            <sz val="10"/>
            <color indexed="81"/>
            <rFont val="Arial"/>
            <family val="2"/>
          </rPr>
          <t xml:space="preserve">Thomas Scurfield:
</t>
        </r>
        <r>
          <rPr>
            <sz val="10"/>
            <color indexed="81"/>
            <rFont val="Arial"/>
            <family val="2"/>
          </rPr>
          <t>The law provides for a declining balance allowance, with the coefficient depending on the duration of the asset's useful life. We assume an average uselife of 10 years, which means a coefficient of 2.5 and therefore a declining balance of 25%. 
For certain assets with a useful life of 5 years or more, the amount of the first depreciation allowance may be doubled, and the depreciation period reduced by one year. Given our assumption of a uselife of 10 years, we incorporate this provision in the generally applicable capital allowance.</t>
        </r>
        <r>
          <rPr>
            <sz val="9"/>
            <color indexed="81"/>
            <rFont val="Tahoma"/>
            <family val="2"/>
          </rPr>
          <t xml:space="preserve">
</t>
        </r>
      </text>
    </comment>
    <comment ref="AE52" authorId="0" shapeId="0" xr:uid="{65534982-C303-4058-A58C-B8FEC870AF7C}">
      <text>
        <r>
          <rPr>
            <b/>
            <sz val="9"/>
            <color indexed="81"/>
            <rFont val="Tahoma"/>
            <family val="2"/>
          </rPr>
          <t>Thomas Scurfield:</t>
        </r>
        <r>
          <rPr>
            <sz val="9"/>
            <color indexed="81"/>
            <rFont val="Tahoma"/>
            <family val="2"/>
          </rPr>
          <t xml:space="preserve">
The CREATE law provides for an additional allowance of 10% for buildings and 20% for machinery and equipment. We assume that half of development capital is buildings and half is machinery and equipment, resulting in an average additional allowance of 15%. </t>
        </r>
      </text>
    </comment>
    <comment ref="AE53" authorId="0" shapeId="0" xr:uid="{4FEFD235-0309-4BBB-9FC1-ACA350AAC822}">
      <text>
        <r>
          <rPr>
            <b/>
            <sz val="9"/>
            <color indexed="81"/>
            <rFont val="Tahoma"/>
            <family val="2"/>
          </rPr>
          <t>Thomas Scurfield:</t>
        </r>
        <r>
          <rPr>
            <sz val="9"/>
            <color indexed="81"/>
            <rFont val="Tahoma"/>
            <family val="2"/>
          </rPr>
          <t xml:space="preserve">
The FTAA provides for assets with expected life of up to 10 years to be depreciated up to twice as fast as the normal rate. We assume that replacement capex is primarily machinery and equipment and that these assets have a useful life of 10 years. We assume that companies depreciate their capital as fast as possible and therefore replacement capex is depreciated over 5 years in normal circumstances.
</t>
        </r>
      </text>
    </comment>
    <comment ref="AU53" authorId="0" shapeId="0" xr:uid="{A4EFEBC9-3DC5-40AF-8325-5186639821D8}">
      <text>
        <r>
          <rPr>
            <b/>
            <sz val="10"/>
            <color rgb="FF000000"/>
            <rFont val="Arial"/>
            <family val="34"/>
          </rPr>
          <t>Thomas Scurfield:</t>
        </r>
        <r>
          <rPr>
            <sz val="10"/>
            <color rgb="FF000000"/>
            <rFont val="Arial"/>
            <family val="34"/>
          </rPr>
          <t xml:space="preserve">
</t>
        </r>
        <r>
          <rPr>
            <sz val="10"/>
            <color rgb="FF000000"/>
            <rFont val="Arial"/>
            <family val="34"/>
          </rPr>
          <t>The law provides for 20 year depreciation of immovable capital and 5 year depreciation of movable capital. We assume an average of 10 years.</t>
        </r>
      </text>
    </comment>
    <comment ref="AY53" authorId="0" shapeId="0" xr:uid="{D387E99B-E426-4B2A-9FD3-E06A21F2B73C}">
      <text>
        <r>
          <rPr>
            <b/>
            <sz val="9"/>
            <color indexed="81"/>
            <rFont val="Tahoma"/>
            <family val="2"/>
          </rPr>
          <t>Thomas Scurfield:</t>
        </r>
        <r>
          <rPr>
            <sz val="9"/>
            <color indexed="81"/>
            <rFont val="Tahoma"/>
            <family val="2"/>
          </rPr>
          <t xml:space="preserve">
The law provides for depreciation over an asset's useful life, suing either the straight line or declining balance method. We follow the straight line method, and assume an average uselife of 10 years.</t>
        </r>
      </text>
    </comment>
    <comment ref="AG54" authorId="0" shapeId="0" xr:uid="{52270EE3-DE36-4755-85CA-6BC712894BE9}">
      <text>
        <r>
          <rPr>
            <b/>
            <sz val="10"/>
            <color indexed="81"/>
            <rFont val="Arial"/>
            <family val="2"/>
          </rPr>
          <t xml:space="preserve">Thomas Scurfield:
</t>
        </r>
        <r>
          <rPr>
            <sz val="10"/>
            <color indexed="81"/>
            <rFont val="Arial"/>
            <family val="2"/>
          </rPr>
          <t>The law provides for a declining balance allowance, with the coefficient depending on the duration of the asset's useful life. We assume an average uselife of 10 years, which means a coefficient of 2.5 and therefore a declining balance of 25%. 
For certain assets with a useful life of 5 years or more, the amount of the first depreciation allowance may be doubled, and the depreciation period reduced by one year. Given our assumption of a uselife of 10 years, we incorporate this provision in the generally applicable capital allowance.</t>
        </r>
        <r>
          <rPr>
            <sz val="9"/>
            <color indexed="81"/>
            <rFont val="Tahoma"/>
            <family val="2"/>
          </rPr>
          <t xml:space="preserve">
</t>
        </r>
      </text>
    </comment>
    <comment ref="AL54" authorId="0" shapeId="0" xr:uid="{DA645714-8B34-480A-8FEE-9A888DB8B003}">
      <text>
        <r>
          <rPr>
            <b/>
            <sz val="10"/>
            <color indexed="81"/>
            <rFont val="Arial"/>
            <family val="2"/>
          </rPr>
          <t xml:space="preserve">Thomas Scurfield:
</t>
        </r>
        <r>
          <rPr>
            <sz val="10"/>
            <color indexed="81"/>
            <rFont val="Arial"/>
            <family val="2"/>
          </rPr>
          <t>The law provides for a declining balance allowance, with the coefficient depending on the duration of the asset's useful life. We assume an average uselife of 10 years, which means a coefficient of 2.5 and therefore a declining balance of 25%. 
For certain assets with a useful life of 5 years or more, the amount of the first depreciation allowance may be doubled, and the depreciation period reduced by one year. Given our assumption of a uselife of 10 years, we incorporate this provision in the generally applicable capital allowance.</t>
        </r>
        <r>
          <rPr>
            <sz val="9"/>
            <color indexed="81"/>
            <rFont val="Tahoma"/>
            <family val="2"/>
          </rPr>
          <t xml:space="preserve">
</t>
        </r>
      </text>
    </comment>
    <comment ref="AM54" authorId="0" shapeId="0" xr:uid="{40C5CF88-5BCC-4830-AA98-F67472A7F460}">
      <text>
        <r>
          <rPr>
            <b/>
            <sz val="10"/>
            <color indexed="81"/>
            <rFont val="Arial"/>
            <family val="2"/>
          </rPr>
          <t xml:space="preserve">Thomas Scurfield:
</t>
        </r>
        <r>
          <rPr>
            <sz val="10"/>
            <color indexed="81"/>
            <rFont val="Arial"/>
            <family val="2"/>
          </rPr>
          <t xml:space="preserve">The law provides for a declining balance allowance, with the coefficient depending on the duration of the asset's useful life. We assume an average uselife of 10 years, which means a coefficient of 2.5 and therefore a declining balance of 25%. </t>
        </r>
        <r>
          <rPr>
            <sz val="9"/>
            <color indexed="81"/>
            <rFont val="Tahoma"/>
            <family val="2"/>
          </rPr>
          <t xml:space="preserve">
</t>
        </r>
      </text>
    </comment>
    <comment ref="AN54" authorId="0" shapeId="0" xr:uid="{B18175E4-633B-41FD-8CF4-CF4BB8E849B8}">
      <text>
        <r>
          <rPr>
            <b/>
            <sz val="10"/>
            <color indexed="81"/>
            <rFont val="Arial"/>
            <family val="2"/>
          </rPr>
          <t xml:space="preserve">Thomas Scurfield:
</t>
        </r>
        <r>
          <rPr>
            <sz val="10"/>
            <color indexed="81"/>
            <rFont val="Arial"/>
            <family val="2"/>
          </rPr>
          <t>The law provides for a declining balance allowance, with the coefficient depending on the duration of the asset's useful life. We assume an average uselife of 10 years, which means a coefficient of 2.5 and therefore a declining balance of 25%. 
For certain assets with a useful life of 5 years or more, the amount of the first depreciation allowance may be doubled, and the depreciation period reduced by one year. Given our assumption of a uselife of 10 years, we incorporate this provision in the generally applicable capital allowance.</t>
        </r>
        <r>
          <rPr>
            <sz val="9"/>
            <color indexed="81"/>
            <rFont val="Tahoma"/>
            <family val="2"/>
          </rPr>
          <t xml:space="preserve">
</t>
        </r>
      </text>
    </comment>
    <comment ref="AE55" authorId="0" shapeId="0" xr:uid="{1039602F-7B35-4517-B2F5-19B911F5A5D4}">
      <text>
        <r>
          <rPr>
            <b/>
            <sz val="9"/>
            <color indexed="81"/>
            <rFont val="Tahoma"/>
            <family val="2"/>
          </rPr>
          <t>Thomas Scurfield:</t>
        </r>
        <r>
          <rPr>
            <sz val="9"/>
            <color indexed="81"/>
            <rFont val="Tahoma"/>
            <family val="2"/>
          </rPr>
          <t xml:space="preserve">
The CREATE law provides for an additional allowance of 10% for buildings and 20% for machinery and equipment. We assume that replacement capex is primarily machinery and equipment.</t>
        </r>
      </text>
    </comment>
    <comment ref="AC57" authorId="0" shapeId="0" xr:uid="{3BF18AD1-CDCA-4352-9299-BB4360804A47}">
      <text>
        <r>
          <rPr>
            <b/>
            <sz val="9"/>
            <color indexed="81"/>
            <rFont val="Tahoma"/>
            <family val="2"/>
          </rPr>
          <t>Thomas Scurfield:</t>
        </r>
        <r>
          <rPr>
            <sz val="9"/>
            <color indexed="81"/>
            <rFont val="Tahoma"/>
            <family val="2"/>
          </rPr>
          <t xml:space="preserve">
Tanzania's 50-50 arrangment treats shareholder loans as interest free. This means any interest payable on these loans is not tax deductible. We assume this means it is treated as an economic benefit. We also assume that it means interest withholding tax is not applied to it.</t>
        </r>
      </text>
    </comment>
    <comment ref="AD57" authorId="0" shapeId="0" xr:uid="{14BD2975-6304-4860-B3D6-BFFC5EA50D04}">
      <text>
        <r>
          <rPr>
            <b/>
            <sz val="9"/>
            <color indexed="81"/>
            <rFont val="Tahoma"/>
            <family val="2"/>
          </rPr>
          <t>Thomas Scurfield:</t>
        </r>
        <r>
          <rPr>
            <sz val="9"/>
            <color indexed="81"/>
            <rFont val="Tahoma"/>
            <family val="2"/>
          </rPr>
          <t xml:space="preserve">
Tanzania's 50-50 arrangment treats shareholder loans as interest free. This means any interest payable on these loans is not tax deductible. We assume this means it is treated as an economic benefit. We also assume that it means interest withholding tax is not applied to it.</t>
        </r>
      </text>
    </comment>
    <comment ref="AG58" authorId="0" shapeId="0" xr:uid="{3C86468E-8A1D-4C22-9F21-9E896023DCD8}">
      <text>
        <r>
          <rPr>
            <b/>
            <sz val="10"/>
            <color rgb="FF000000"/>
            <rFont val="Arial"/>
            <family val="2"/>
          </rPr>
          <t>Thomas Scurfield:</t>
        </r>
        <r>
          <rPr>
            <sz val="10"/>
            <color rgb="FF000000"/>
            <rFont val="Arial"/>
            <family val="2"/>
          </rPr>
          <t xml:space="preserve">
</t>
        </r>
        <r>
          <rPr>
            <sz val="10"/>
            <color rgb="FF000000"/>
            <rFont val="Arial"/>
            <family val="2"/>
          </rPr>
          <t>There is a 5 year limit on losses that are not from capital depreciation allowances. But given in practice, most if not all losses can be attributed to capex, we assume there is no limit on the carry forward of losses.</t>
        </r>
      </text>
    </comment>
    <comment ref="AH58" authorId="0" shapeId="0" xr:uid="{7E26CA1A-CEE6-47F3-A14F-72418DCF1F38}">
      <text>
        <r>
          <rPr>
            <b/>
            <sz val="10"/>
            <color rgb="FF000000"/>
            <rFont val="Arial"/>
            <family val="2"/>
          </rPr>
          <t>Thomas Scurfield:</t>
        </r>
        <r>
          <rPr>
            <sz val="10"/>
            <color rgb="FF000000"/>
            <rFont val="Arial"/>
            <family val="2"/>
          </rPr>
          <t xml:space="preserve">
</t>
        </r>
        <r>
          <rPr>
            <sz val="10"/>
            <color rgb="FF000000"/>
            <rFont val="Arial"/>
            <family val="2"/>
          </rPr>
          <t>There is a 5 year limit on losses that are not from capital depreciation allowances. But given in practice, most if not all losses can be attributed to capex, we assume there is no limit on the carry forward of losses.</t>
        </r>
      </text>
    </comment>
    <comment ref="AK58" authorId="0" shapeId="0" xr:uid="{651F3C84-8CC3-47A0-A271-C731BC1ECBCB}">
      <text>
        <r>
          <rPr>
            <b/>
            <sz val="10"/>
            <color rgb="FF000000"/>
            <rFont val="Arial"/>
            <family val="2"/>
          </rPr>
          <t>Thomas Scurfield:</t>
        </r>
        <r>
          <rPr>
            <sz val="10"/>
            <color rgb="FF000000"/>
            <rFont val="Arial"/>
            <family val="2"/>
          </rPr>
          <t xml:space="preserve">
</t>
        </r>
        <r>
          <rPr>
            <sz val="10"/>
            <color rgb="FF000000"/>
            <rFont val="Arial"/>
            <family val="2"/>
          </rPr>
          <t>There is a 5 year limit on losses that are not from capital depreciation allowances. But given in practice, most if not all losses can be attributed to capex, we assume there is no limit on the carry forward of losses.</t>
        </r>
      </text>
    </comment>
    <comment ref="AL58" authorId="0" shapeId="0" xr:uid="{9F1E3BB1-D02D-4BBE-8D5A-A08970521F58}">
      <text>
        <r>
          <rPr>
            <b/>
            <sz val="10"/>
            <color rgb="FF000000"/>
            <rFont val="Arial"/>
            <family val="2"/>
          </rPr>
          <t>Thomas Scurfield:</t>
        </r>
        <r>
          <rPr>
            <sz val="10"/>
            <color rgb="FF000000"/>
            <rFont val="Arial"/>
            <family val="2"/>
          </rPr>
          <t xml:space="preserve">
</t>
        </r>
        <r>
          <rPr>
            <sz val="10"/>
            <color rgb="FF000000"/>
            <rFont val="Arial"/>
            <family val="2"/>
          </rPr>
          <t>There is a 3 year limit on losses that are not from capital depreciation allowances. But given in practice, most if not all losses can be attributed to capex, we assume there is no limit on the carry forward of losses.</t>
        </r>
      </text>
    </comment>
    <comment ref="AM58" authorId="0" shapeId="0" xr:uid="{B22B3CC2-E9BE-4F44-8268-3A45E13BDEED}">
      <text>
        <r>
          <rPr>
            <b/>
            <sz val="10"/>
            <color rgb="FF000000"/>
            <rFont val="Arial"/>
            <family val="2"/>
          </rPr>
          <t>Thomas Scurfield:</t>
        </r>
        <r>
          <rPr>
            <sz val="10"/>
            <color rgb="FF000000"/>
            <rFont val="Arial"/>
            <family val="2"/>
          </rPr>
          <t xml:space="preserve">
</t>
        </r>
        <r>
          <rPr>
            <sz val="10"/>
            <color rgb="FF000000"/>
            <rFont val="Arial"/>
            <family val="2"/>
          </rPr>
          <t>There is a 3 year limit on losses that are not from capital depreciation allowances. But given in practice, most if not all losses can be attributed to capex, we assume there is no limit on the carry forward of losses.</t>
        </r>
      </text>
    </comment>
    <comment ref="AR69" authorId="0" shapeId="0" xr:uid="{A61A0BBC-32A6-4249-9802-E19D2A1D2798}">
      <text>
        <r>
          <rPr>
            <b/>
            <sz val="9"/>
            <color indexed="81"/>
            <rFont val="Tahoma"/>
            <family val="2"/>
          </rPr>
          <t>Thomas Scurfield:</t>
        </r>
        <r>
          <rPr>
            <sz val="9"/>
            <color indexed="81"/>
            <rFont val="Tahoma"/>
            <family val="2"/>
          </rPr>
          <t xml:space="preserve">
The tax rate on the first accumulated net cash position is determined by the formula: (41.5-T)/(100-T) where T is the corporate income tax rate. The tax rate on the second accumulated net cash position is specified in the law.</t>
        </r>
      </text>
    </comment>
    <comment ref="AH73" authorId="0" shapeId="0" xr:uid="{295BAD79-0AF3-46DA-A5D3-FBCB5C6BA225}">
      <text>
        <r>
          <rPr>
            <b/>
            <sz val="9"/>
            <color indexed="81"/>
            <rFont val="Tahoma"/>
            <family val="2"/>
          </rPr>
          <t>Thomas Scurfield:</t>
        </r>
        <r>
          <rPr>
            <sz val="9"/>
            <color indexed="81"/>
            <rFont val="Tahoma"/>
            <family val="2"/>
          </rPr>
          <t xml:space="preserve">
</t>
        </r>
      </text>
    </comment>
    <comment ref="AI73" authorId="0" shapeId="0" xr:uid="{48D5563E-079F-4F1B-BA7C-CF5E478AA428}">
      <text>
        <r>
          <rPr>
            <b/>
            <sz val="10"/>
            <color rgb="FF000000"/>
            <rFont val="Arial"/>
            <family val="34"/>
          </rPr>
          <t>Thomas Scurfield:</t>
        </r>
        <r>
          <rPr>
            <sz val="10"/>
            <color rgb="FF000000"/>
            <rFont val="Arial"/>
            <family val="34"/>
          </rPr>
          <t xml:space="preserve">
</t>
        </r>
        <r>
          <rPr>
            <sz val="10"/>
            <color rgb="FF000000"/>
            <rFont val="Arial"/>
            <family val="34"/>
          </rPr>
          <t>The statutory rate is 20% but interest paid by mining companies for loans borrowed in foreign currency abroad is exempt. We assume that companies always utilize this exemption.</t>
        </r>
      </text>
    </comment>
    <comment ref="AO73" authorId="0" shapeId="0" xr:uid="{6E4807EC-9AA5-4715-97AC-7C0EE8087A50}">
      <text>
        <r>
          <rPr>
            <b/>
            <sz val="10"/>
            <color rgb="FF000000"/>
            <rFont val="Arial"/>
            <family val="34"/>
          </rPr>
          <t>Thomas Scurfield:</t>
        </r>
        <r>
          <rPr>
            <sz val="10"/>
            <color rgb="FF000000"/>
            <rFont val="Arial"/>
            <family val="34"/>
          </rPr>
          <t xml:space="preserve">
</t>
        </r>
        <r>
          <rPr>
            <sz val="10"/>
            <color rgb="FF000000"/>
            <rFont val="Arial"/>
            <family val="34"/>
          </rPr>
          <t>Residents pay 0%, non-residents pay 15%. We assume all debt is provided by non-residents.</t>
        </r>
      </text>
    </comment>
    <comment ref="AQ73" authorId="0" shapeId="0" xr:uid="{AE5AFCB8-A45F-45A3-8FD6-6E467A179AF0}">
      <text>
        <r>
          <rPr>
            <b/>
            <sz val="10"/>
            <color rgb="FF000000"/>
            <rFont val="Arial"/>
            <family val="34"/>
          </rPr>
          <t>Thomas Scurfield:</t>
        </r>
        <r>
          <rPr>
            <sz val="10"/>
            <color rgb="FF000000"/>
            <rFont val="Arial"/>
            <family val="34"/>
          </rPr>
          <t xml:space="preserve">
</t>
        </r>
        <r>
          <rPr>
            <sz val="10"/>
            <color rgb="FF000000"/>
            <rFont val="Arial"/>
            <family val="34"/>
          </rPr>
          <t>Non-residents pay 0%, residents pay 15%. We assume all debt is provided by non-residents.</t>
        </r>
      </text>
    </comment>
    <comment ref="AR73" authorId="0" shapeId="0" xr:uid="{B4C13613-70EA-470E-B21B-BF0F15B94E2D}">
      <text>
        <r>
          <rPr>
            <b/>
            <sz val="10"/>
            <color rgb="FF000000"/>
            <rFont val="Arial"/>
            <family val="34"/>
          </rPr>
          <t>Thomas Scurfield:</t>
        </r>
        <r>
          <rPr>
            <sz val="10"/>
            <color rgb="FF000000"/>
            <rFont val="Arial"/>
            <family val="34"/>
          </rPr>
          <t xml:space="preserve">
</t>
        </r>
        <r>
          <rPr>
            <sz val="10"/>
            <color rgb="FF000000"/>
            <rFont val="Arial"/>
            <family val="34"/>
          </rPr>
          <t>Non-residents pay 0%, residents pay 15%. We assume all debt is provided by non-residents.</t>
        </r>
      </text>
    </comment>
    <comment ref="AU73" authorId="0" shapeId="0" xr:uid="{5E280BA4-3AC7-4CC3-88FE-2D9333A7FB0D}">
      <text>
        <r>
          <rPr>
            <b/>
            <sz val="10"/>
            <color rgb="FF000000"/>
            <rFont val="Arial"/>
            <family val="34"/>
          </rPr>
          <t>Thomas Scurfield:</t>
        </r>
        <r>
          <rPr>
            <sz val="10"/>
            <color rgb="FF000000"/>
            <rFont val="Arial"/>
            <family val="34"/>
          </rPr>
          <t xml:space="preserve">
</t>
        </r>
        <r>
          <rPr>
            <sz val="10"/>
            <color rgb="FF000000"/>
            <rFont val="Arial"/>
            <family val="34"/>
          </rPr>
          <t>Residents pay 0%, non-residents pay 5%. We assume all debt is provided by non-residents.</t>
        </r>
      </text>
    </comment>
    <comment ref="AV73" authorId="0" shapeId="0" xr:uid="{80F2C1E1-46C6-4226-829D-6F1639A24AB1}">
      <text>
        <r>
          <rPr>
            <b/>
            <sz val="10"/>
            <color rgb="FF000000"/>
            <rFont val="Arial"/>
            <family val="34"/>
          </rPr>
          <t>Thomas Scurfield:</t>
        </r>
        <r>
          <rPr>
            <sz val="10"/>
            <color rgb="FF000000"/>
            <rFont val="Arial"/>
            <family val="34"/>
          </rPr>
          <t xml:space="preserve">
Non-residents pay 20%, residents pay 15%. We assume all debt is provided by non-residents.</t>
        </r>
      </text>
    </comment>
    <comment ref="AY73" authorId="0" shapeId="0" xr:uid="{B8037F52-F699-4848-9D61-3C5B4A5686D9}">
      <text>
        <r>
          <rPr>
            <b/>
            <sz val="9"/>
            <color indexed="81"/>
            <rFont val="Tahoma"/>
            <family val="2"/>
          </rPr>
          <t>Thomas Scurfield:</t>
        </r>
        <r>
          <rPr>
            <sz val="9"/>
            <color indexed="81"/>
            <rFont val="Tahoma"/>
            <family val="2"/>
          </rPr>
          <t xml:space="preserve">
Residents pay 0%, and non-residents pay 10%.   We assume that half of interest payments go to residents, and half to non-residents, so take a simple average of the two rates. </t>
        </r>
      </text>
    </comment>
    <comment ref="AE74" authorId="0" shapeId="0" xr:uid="{901B4C0F-6833-40F7-A512-056E1BF8FB12}">
      <text>
        <r>
          <rPr>
            <b/>
            <sz val="9"/>
            <color indexed="81"/>
            <rFont val="Tahoma"/>
            <family val="2"/>
          </rPr>
          <t>Thomas Scurfield:</t>
        </r>
        <r>
          <rPr>
            <sz val="9"/>
            <color indexed="81"/>
            <rFont val="Tahoma"/>
            <family val="2"/>
          </rPr>
          <t xml:space="preserve">
DWT can be set at either 15% or 25%, but the lower rate applies if the home jurisdiction of the shareholder exempts the dividend from tax or permits a tax credit for the DWT. We assume this is the case.</t>
        </r>
      </text>
    </comment>
    <comment ref="AF74" authorId="0" shapeId="0" xr:uid="{A77DBB9D-796F-4879-8397-10CDF3A1E8CF}">
      <text>
        <r>
          <rPr>
            <b/>
            <sz val="9"/>
            <color indexed="81"/>
            <rFont val="Tahoma"/>
            <family val="2"/>
          </rPr>
          <t>Thomas Scurfield:</t>
        </r>
        <r>
          <rPr>
            <sz val="9"/>
            <color indexed="81"/>
            <rFont val="Tahoma"/>
            <family val="2"/>
          </rPr>
          <t xml:space="preserve">
Witholding tax of 25% is applied to 40% of dividends, which is equivalent to a tax of 10% on all dividends.</t>
        </r>
      </text>
    </comment>
    <comment ref="AS74" authorId="0" shapeId="0" xr:uid="{CF4164F2-EF64-4478-8C03-229207641B40}">
      <text>
        <r>
          <rPr>
            <b/>
            <sz val="10"/>
            <color rgb="FF000000"/>
            <rFont val="Arial"/>
            <family val="34"/>
          </rPr>
          <t>Thomas Scurfield:</t>
        </r>
        <r>
          <rPr>
            <sz val="10"/>
            <color rgb="FF000000"/>
            <rFont val="Arial"/>
            <family val="34"/>
          </rPr>
          <t xml:space="preserve">
No withholding tax is imposed on dividends paid out of profits to a non-resident. We assume all dividends are paid to non-residents.</t>
        </r>
      </text>
    </comment>
    <comment ref="AT74" authorId="0" shapeId="0" xr:uid="{C5D71637-C652-492F-B3E9-24983B3D4BC3}">
      <text>
        <r>
          <rPr>
            <b/>
            <sz val="10"/>
            <color rgb="FF000000"/>
            <rFont val="Arial"/>
            <family val="34"/>
          </rPr>
          <t>Thomas Scurfield:</t>
        </r>
        <r>
          <rPr>
            <sz val="10"/>
            <color rgb="FF000000"/>
            <rFont val="Arial"/>
            <family val="34"/>
          </rPr>
          <t xml:space="preserve">
</t>
        </r>
        <r>
          <rPr>
            <sz val="10"/>
            <color rgb="FF000000"/>
            <rFont val="Arial"/>
            <family val="34"/>
          </rPr>
          <t xml:space="preserve">CIT paid on profits attributed to the shareholder is creditable against dividend WHT of 35%. CIT is 25%, so the effective rate of the WHT is 10%. </t>
        </r>
      </text>
    </comment>
    <comment ref="AV74" authorId="0" shapeId="0" xr:uid="{60DE6E61-2863-47F7-8B15-8BCC42175540}">
      <text>
        <r>
          <rPr>
            <b/>
            <sz val="10"/>
            <color rgb="FF000000"/>
            <rFont val="Arial"/>
            <family val="34"/>
          </rPr>
          <t>Thomas Scurfield:</t>
        </r>
        <r>
          <rPr>
            <sz val="10"/>
            <color rgb="FF000000"/>
            <rFont val="Arial"/>
            <family val="34"/>
          </rPr>
          <t xml:space="preserve">
Non-residents pay 20%, residents pay 15%. We assume all equity is provided by non-residents.</t>
        </r>
      </text>
    </comment>
    <comment ref="AY74" authorId="0" shapeId="0" xr:uid="{A4AF7228-B75D-43AE-BBCE-99E12F57EA02}">
      <text>
        <r>
          <rPr>
            <b/>
            <sz val="10"/>
            <color rgb="FF000000"/>
            <rFont val="Arial"/>
            <family val="34"/>
          </rPr>
          <t>Thomas Scurfield:</t>
        </r>
        <r>
          <rPr>
            <sz val="10"/>
            <color rgb="FF000000"/>
            <rFont val="Arial"/>
            <family val="34"/>
          </rPr>
          <t xml:space="preserve">
Residents pay 0%. Non-residents pay 0% when dividends are paid out of taxed profits, 30% when dividends are paid out of non-taxed profits. The mining regime imposes CIT on profits so dividends to non-residents also attract WHT of 0%.</t>
        </r>
      </text>
    </comment>
    <comment ref="C81" authorId="0" shapeId="0" xr:uid="{03525C46-7979-4E42-89EB-DA1C79C61427}">
      <text>
        <r>
          <rPr>
            <b/>
            <sz val="9"/>
            <color indexed="81"/>
            <rFont val="Tahoma"/>
            <family val="2"/>
          </rPr>
          <t>Thomas Scurfield:</t>
        </r>
        <r>
          <rPr>
            <sz val="9"/>
            <color indexed="81"/>
            <rFont val="Tahoma"/>
            <family val="2"/>
          </rPr>
          <t xml:space="preserve">
Free state equity in an unincorporated JV is the equivalent of a royalty or production share. It therefore should be treated as such, and included in the  fixed royalty rate above.</t>
        </r>
      </text>
    </comment>
    <comment ref="Y81" authorId="0" shapeId="0" xr:uid="{48494892-5156-4FE4-B886-00FBB20497B7}">
      <text>
        <r>
          <rPr>
            <b/>
            <sz val="9"/>
            <color indexed="81"/>
            <rFont val="Tahoma"/>
            <family val="2"/>
          </rPr>
          <t>Thomas Scurfield:</t>
        </r>
        <r>
          <rPr>
            <sz val="9"/>
            <color indexed="81"/>
            <rFont val="Tahoma"/>
            <family val="2"/>
          </rPr>
          <t xml:space="preserve">
Free state equity in an unincorporated JV is the equivalent of a royalty or production share. It therefore should be treated as such, and included in the fixed royalty rate above.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Scurfield</author>
  </authors>
  <commentList>
    <comment ref="F992" authorId="0" shapeId="0" xr:uid="{00000000-0006-0000-0300-000001000000}">
      <text>
        <r>
          <rPr>
            <b/>
            <sz val="9"/>
            <color rgb="FF000000"/>
            <rFont val="Tahoma"/>
            <family val="2"/>
          </rPr>
          <t>Thomas Scurfield:</t>
        </r>
        <r>
          <rPr>
            <sz val="9"/>
            <color rgb="FF000000"/>
            <rFont val="Tahoma"/>
            <family val="2"/>
          </rPr>
          <t xml:space="preserve">
</t>
        </r>
        <r>
          <rPr>
            <sz val="9"/>
            <color rgb="FF000000"/>
            <rFont val="Tahoma"/>
            <family val="2"/>
          </rPr>
          <t>Required for the data table functions. Do not delete.</t>
        </r>
      </text>
    </comment>
  </commentList>
</comments>
</file>

<file path=xl/sharedStrings.xml><?xml version="1.0" encoding="utf-8"?>
<sst xmlns="http://schemas.openxmlformats.org/spreadsheetml/2006/main" count="2420" uniqueCount="792">
  <si>
    <t>Gold mining tax model for Tanzania</t>
  </si>
  <si>
    <t>Purpose</t>
  </si>
  <si>
    <t>Table of contents</t>
  </si>
  <si>
    <t>Results</t>
  </si>
  <si>
    <t xml:space="preserve">The main results of the model are presented in this sheet. </t>
  </si>
  <si>
    <t>Inputs</t>
  </si>
  <si>
    <t>The inputs for the model are set out in this sheet, and can be changed by the user.</t>
  </si>
  <si>
    <t>Model</t>
  </si>
  <si>
    <t>The calculation of investor returns and government revenues for the modeled project takes place in this sheet. Additional results are also presented here.</t>
  </si>
  <si>
    <t>Relation to IMF's FARI model</t>
  </si>
  <si>
    <t>Sources</t>
  </si>
  <si>
    <t>Disclaimer</t>
  </si>
  <si>
    <t xml:space="preserve">This work is licensed under the Creative Commons Attribution 4.0 International License. </t>
  </si>
  <si>
    <t>To view a copy of this license, visit http://creativecommons.org/licenses/by/4.0/</t>
  </si>
  <si>
    <t>Chosen mine profile:</t>
  </si>
  <si>
    <t>Summary assumptions</t>
  </si>
  <si>
    <t>units</t>
  </si>
  <si>
    <t>Produced reserves</t>
  </si>
  <si>
    <t>Production starts</t>
  </si>
  <si>
    <t>year</t>
  </si>
  <si>
    <t>Production life</t>
  </si>
  <si>
    <t>Development costs</t>
  </si>
  <si>
    <t>$m</t>
  </si>
  <si>
    <t>Production to DEV CAPEX</t>
  </si>
  <si>
    <t>Mineral Price</t>
  </si>
  <si>
    <t>Operating cost per unit</t>
  </si>
  <si>
    <t>Transport and TC/RC</t>
  </si>
  <si>
    <t>C1 cash cost less royalties</t>
  </si>
  <si>
    <t>Total C1 cash costs</t>
  </si>
  <si>
    <t>Government real discount rate</t>
  </si>
  <si>
    <t>%</t>
  </si>
  <si>
    <t>Company real discount rate</t>
  </si>
  <si>
    <t>Lender real interest rate</t>
  </si>
  <si>
    <t>Leverage (equity/total assets)</t>
  </si>
  <si>
    <t>Inflation</t>
  </si>
  <si>
    <t>Summary results</t>
  </si>
  <si>
    <t>Project pre-tax net cashflow (discounted)</t>
  </si>
  <si>
    <t>Pre-tax project IRR</t>
  </si>
  <si>
    <t>Post-tax IRR</t>
  </si>
  <si>
    <t>Investor hurdle</t>
  </si>
  <si>
    <t>IRR above hurdle?</t>
  </si>
  <si>
    <t>Payback period (not discounted)</t>
  </si>
  <si>
    <t>years</t>
  </si>
  <si>
    <t>Payback period (discounted)</t>
  </si>
  <si>
    <t>AETR (undiscounted)</t>
  </si>
  <si>
    <t>AETR (discounted at 10%)</t>
  </si>
  <si>
    <t>"Press for results" to compare a new selection of fiscal regimes or after changing project assumptions. Use "Select Data" in each graph to adjust axis lengths and selected data fields. For example, to focus on different fiscal regimes.</t>
  </si>
  <si>
    <t>Overall government take</t>
  </si>
  <si>
    <t>Timing of revenues</t>
  </si>
  <si>
    <t>Progressivity as profits change</t>
  </si>
  <si>
    <t>Tax base simplicity</t>
  </si>
  <si>
    <t>Tables used to populate charts - DO NOT TOUCH</t>
  </si>
  <si>
    <t>AETR</t>
  </si>
  <si>
    <t>Pasted and re-ordered by macro</t>
  </si>
  <si>
    <t>Peru</t>
  </si>
  <si>
    <t>Burkina Faso</t>
  </si>
  <si>
    <t>Indonesia</t>
  </si>
  <si>
    <t>Philippines FTAA</t>
  </si>
  <si>
    <t>DRC</t>
  </si>
  <si>
    <t>Ecuador</t>
  </si>
  <si>
    <t>South Africa (gold)</t>
  </si>
  <si>
    <t>Ghana</t>
  </si>
  <si>
    <t>Tanzania 50/50 adj.</t>
  </si>
  <si>
    <t>METR and break-even price</t>
  </si>
  <si>
    <t>Breakeven</t>
  </si>
  <si>
    <t>METR</t>
  </si>
  <si>
    <t>`</t>
  </si>
  <si>
    <t>Profile of government revenue - comparing regimes (NPV10)</t>
  </si>
  <si>
    <t>PV</t>
  </si>
  <si>
    <t>Share</t>
  </si>
  <si>
    <t>Coefficient of variation</t>
  </si>
  <si>
    <t>Minus 20% ($mm)</t>
  </si>
  <si>
    <t>Plus 20% ($mm)</t>
  </si>
  <si>
    <t>Choose primary mineral</t>
  </si>
  <si>
    <t>Gold</t>
  </si>
  <si>
    <t>Choose co-product</t>
  </si>
  <si>
    <t>Copper</t>
  </si>
  <si>
    <t>Main components of tax regime</t>
  </si>
  <si>
    <t xml:space="preserve">Our current set of tax regimes can be found in a table to the right of this section. Revisions can be made to these regimes, and new regimes added, in this table. </t>
  </si>
  <si>
    <t>"Select tax regime" of focus from the adjacent table. The other regimes will be used as comparators. To include an alternative regime, type its name into one of the yellow cells (G15:Q15).</t>
  </si>
  <si>
    <t>TAX REGIMES TO SELECT FROM</t>
  </si>
  <si>
    <t>--- Fiscal regime comparators in use ---</t>
  </si>
  <si>
    <t>SELECT TAX REGIME</t>
  </si>
  <si>
    <t>Regime name</t>
  </si>
  <si>
    <t>Cote d'Ivoire</t>
  </si>
  <si>
    <t>Guinea</t>
  </si>
  <si>
    <t>Mali 2018</t>
  </si>
  <si>
    <t>Mali proposal 2019</t>
  </si>
  <si>
    <t>Senegal</t>
  </si>
  <si>
    <t>Zambia (gold)</t>
  </si>
  <si>
    <t>Zimbabwe (ordinary mining license)</t>
  </si>
  <si>
    <t>Zimbabwe (special mining license)</t>
  </si>
  <si>
    <t>Brazil</t>
  </si>
  <si>
    <t>Chile</t>
  </si>
  <si>
    <t>Kazakhstan</t>
  </si>
  <si>
    <t>Kyrgyz Republic</t>
  </si>
  <si>
    <t>Western Australia</t>
  </si>
  <si>
    <t>Input taxes</t>
  </si>
  <si>
    <t>Import duty rate 1</t>
  </si>
  <si>
    <t>Import duty rate 2</t>
  </si>
  <si>
    <t>Production year that rate changes: where 0 is no rate change</t>
  </si>
  <si>
    <t>Production year that rate changes</t>
  </si>
  <si>
    <t>VAT on inputs</t>
  </si>
  <si>
    <t>Skills development levy rate 1</t>
  </si>
  <si>
    <t>Skills development levy rate 2</t>
  </si>
  <si>
    <t>Sales taxes</t>
  </si>
  <si>
    <t>Royalty (gold)</t>
  </si>
  <si>
    <t>Royalty (copper)</t>
  </si>
  <si>
    <t>Royalty (cobalt)</t>
  </si>
  <si>
    <t>Royalty (nickel)</t>
  </si>
  <si>
    <t>Royalty base: netback/gross</t>
  </si>
  <si>
    <t>switch</t>
  </si>
  <si>
    <t>gross</t>
  </si>
  <si>
    <t>net</t>
  </si>
  <si>
    <t>Variable rate royalty - revenue based: see schedules 1-8 below, where schedule 1 is no tax</t>
  </si>
  <si>
    <t>Variable rate royalty - price based: see schedules 1-8 below, where schedule 1 is no tax</t>
  </si>
  <si>
    <t>Variable rate royalty - price based: not marginal=1, marginal=2</t>
  </si>
  <si>
    <t>South Africa variable rate royalty: off=0, on=1</t>
  </si>
  <si>
    <t>Schedule: schedules 1-3 further below</t>
  </si>
  <si>
    <t>Export duty/clearance fee</t>
  </si>
  <si>
    <t>Local development levy</t>
  </si>
  <si>
    <t>Operating profit taxes</t>
  </si>
  <si>
    <t>Operating profit tax: see schedules 1-8 below, where schedule 1 is no tax</t>
  </si>
  <si>
    <t xml:space="preserve">Backstop royalty if OPT below threshold </t>
  </si>
  <si>
    <t>DRC excess profits tax rate</t>
  </si>
  <si>
    <t>Threshold</t>
  </si>
  <si>
    <t>Corporate income tax</t>
  </si>
  <si>
    <t>Corporate income tax rate 1</t>
  </si>
  <si>
    <t>Corporate income tax rate 2</t>
  </si>
  <si>
    <t>Exploration costs (expensed): immediate/deferred</t>
  </si>
  <si>
    <t>deferred</t>
  </si>
  <si>
    <t>Development costs - intangibles (expensed): immediate/deferred</t>
  </si>
  <si>
    <t>Development costs - tangibles (depreciated): immediate/deferred</t>
  </si>
  <si>
    <t>Depreciation allowance for tangible development costs</t>
  </si>
  <si>
    <t>Non-linear depreciation of tangible development costs: off=0, on=1</t>
  </si>
  <si>
    <t>Additional allowance for development capital</t>
  </si>
  <si>
    <t>Depreciation allowance for replacement capital costs</t>
  </si>
  <si>
    <t>Non-linear depreciation of replacement capital costs: off=0, on=1</t>
  </si>
  <si>
    <t>Additional allowance for replacement capital</t>
  </si>
  <si>
    <t>Deductibility of royalty: yes=1, no=2</t>
  </si>
  <si>
    <t xml:space="preserve">Interest on shareholder loans recognized as project cost: yes=1, no=2 </t>
  </si>
  <si>
    <t>Loss carry forward - time period: where 100 is indefinite carry forward</t>
  </si>
  <si>
    <t>Loss carry forward - annual income that losses can be utilised against</t>
  </si>
  <si>
    <t>South Africa gold profit tax: off=0, on=1</t>
  </si>
  <si>
    <t>Parameter a</t>
  </si>
  <si>
    <t>Parameter b</t>
  </si>
  <si>
    <t>Excess profit taxes</t>
  </si>
  <si>
    <t>Variable rate profit taxes</t>
  </si>
  <si>
    <t>Resource rent tax rate</t>
  </si>
  <si>
    <t>Threshhold</t>
  </si>
  <si>
    <t>CIT deductible; yes=1, no=2</t>
  </si>
  <si>
    <t>Zimbabwe additional profits tax: off=0, on=1</t>
  </si>
  <si>
    <t>Threshold for first accumulated net cash position</t>
  </si>
  <si>
    <t>Tax rate on first accumulated net cash position</t>
  </si>
  <si>
    <t>Threshold for second accumulated net cash position</t>
  </si>
  <si>
    <t>Tax rate on second accumulated net cash position</t>
  </si>
  <si>
    <t>Other profit taxes</t>
  </si>
  <si>
    <t xml:space="preserve">Interest withholding tax </t>
  </si>
  <si>
    <t>Dividend withholding tax</t>
  </si>
  <si>
    <t>Ecuador profit share for workers</t>
  </si>
  <si>
    <t>Portion distributed through government: off=0, on=1</t>
  </si>
  <si>
    <t xml:space="preserve">Portion distributed through government </t>
  </si>
  <si>
    <t>State equity</t>
  </si>
  <si>
    <t>State equity share</t>
  </si>
  <si>
    <t>Corporate structure: incorporated=1, unincorporated=2</t>
  </si>
  <si>
    <t>Payment for state equity: paid=1, carried=2, free=3</t>
  </si>
  <si>
    <t>State equity contribution includes exploration costs: yes=1, no=2</t>
  </si>
  <si>
    <t>State equity also provides share of loan repayments: yes=1, no=2</t>
  </si>
  <si>
    <t>Ultimate sharing of mine benefits</t>
  </si>
  <si>
    <t>Tanzania sharing mechanism: off=0, on=1</t>
  </si>
  <si>
    <t>Government share of benefits</t>
  </si>
  <si>
    <t>Benefits before sharing trigger included: yes=1, no=2</t>
  </si>
  <si>
    <t>Includes suggested adjustments: off=0, on=1</t>
  </si>
  <si>
    <t>Philippines sharing mechanism: off=0, on=1</t>
  </si>
  <si>
    <t>Government minimum share of benefits</t>
  </si>
  <si>
    <t>Recovery period maximum</t>
  </si>
  <si>
    <t>Deduction of pre-production capex after recovery period - as % of annual income</t>
  </si>
  <si>
    <t>Ecuador sharing mechanism: off=0, on=1</t>
  </si>
  <si>
    <t>Other provisions</t>
  </si>
  <si>
    <t>Decommissioning provision: yes=1, no=2</t>
  </si>
  <si>
    <t>Commencement of decommissioning provision</t>
  </si>
  <si>
    <t>% depletion</t>
  </si>
  <si>
    <t>https://taxsummaries.pwc.com/</t>
  </si>
  <si>
    <t>https://www.globenewswire.com/news-release/2019/07/19/1885174/0/en/Recommended-Final-Offer-for-Acacia-Mining-plc-by-Barrick-Gold-Corporation.html</t>
  </si>
  <si>
    <t>https://taxreform.dof.gov.ph/tax-reform-packages/package-2plus-mining-taxes/</t>
  </si>
  <si>
    <t>https://www.dentons.com/en/services-and-solutions/global-tax-guide-to-doing-business-in/ecuador</t>
  </si>
  <si>
    <t>https://thelawreviews.co.uk/edition/the-mining-law-review-edition-7/1175366/mining-burkina-faso</t>
  </si>
  <si>
    <t>https://ferdi.fr/dl/df-biHnjpiNjryLJdpCaH5uv6Yx/article-la-convergence-fiscale-dans-le-secteur-minier-des-pays-de-l-uemoa-_.pdf</t>
  </si>
  <si>
    <t>https://www.pwc.com/gh/en/assets/pdf/2018-tax-facts-and-figures.pdf</t>
  </si>
  <si>
    <t>https://www.iied.org/malis-new-mining-law-improvement-fails-artisanal-miners</t>
  </si>
  <si>
    <t>https://thelawreviews.co.uk/title/the-mining-law-review/senegal-mining-law</t>
  </si>
  <si>
    <t>https://www.imf.org/external/pubs/ft/scr/2015/cr15244.pdf</t>
  </si>
  <si>
    <t>https://www.pwc.com/zm/en/assets/pdf/zambia-budget-2019.pdf</t>
  </si>
  <si>
    <t>https://www.ey.com/Publication/vwLUAssets/ey-zimbabwe-budget-and-tax-facts11/$FILE/ey-zimbabwe-budget-and-tax-facts11.pdf</t>
  </si>
  <si>
    <t>http://tozzinifreire.com.br/en/boletins/changes-to-the-cfem-the-brazilian-mining-royalty?utm_source=Mondaq&amp;utm_medium=syndication&amp;utm_campaign=View-Original</t>
  </si>
  <si>
    <t>https://www2.deloitte.com/content/dam/Deloitte/global/Documents/Tax/dttl-tax-chilehighlights-2018.pdf</t>
  </si>
  <si>
    <t>http://www.bergbau-peru.com/fileadmin/ahk_peru_bergbau/PDF/EY-Peru-mining-metals-investment-guide_2017-2018.pdf</t>
  </si>
  <si>
    <t>https://www.pwc.com/id/en/energy-utilities-mining/assets/mining/mining-guide-2019.pdf</t>
  </si>
  <si>
    <t>https://www2.deloitte.com/content/dam/Deloitte/kz/Documents/tax/other/Kazakhstan_Highlights_2018_To_practice.pdf</t>
  </si>
  <si>
    <t>http://taxsummaries.pwc.com/ID/Australia-Corporate-Withholding-taxes</t>
  </si>
  <si>
    <t>https://www.ey.com/gl/en/services/tax/international-tax/tax-alert-library#country</t>
  </si>
  <si>
    <t>https://mgb.gov.ph/attachments/article/79/PFC_FTAA.pdf</t>
  </si>
  <si>
    <t>https://eiti.org/sites/default/files/documents/rapport_de_conciliation_itie_burkina_faso_2016_v_signee.pdf</t>
  </si>
  <si>
    <t>https://s3.amazonaws.com/rgi-documents/a3a7e2ead5afcbd4626f6a0edeb76e32381b8945.pdf</t>
  </si>
  <si>
    <t>https://iclg.com/practice-areas/mining-laws-and-regulations/ghana#chaptercontent5</t>
  </si>
  <si>
    <t>http://www.mines.gov.zw/?q=mpd/57</t>
  </si>
  <si>
    <t>https://www2.deloitte.com/content/dam/Deloitte/global/Documents/Tax/dttl-tax-brazilhighlights-2018.pdf</t>
  </si>
  <si>
    <t>https://www.pwc.com/gx/en/energy-utilities-mining/publications/pdf/pwc-gx-miining-taxes-and-royalties.pdf</t>
  </si>
  <si>
    <t>https://fiscalite-miniere.ferdi.fr/en/tax-systems</t>
  </si>
  <si>
    <t>https://www.export.gov/ccg</t>
  </si>
  <si>
    <t>https://www.zimra.co.zw/downloads/category/17-acts?download=181:income-tax-act-chapter-23-06-updated&amp;start=20</t>
  </si>
  <si>
    <t>Non-linear depreciation schedule</t>
  </si>
  <si>
    <t>Depreciation year 1</t>
  </si>
  <si>
    <t>Depreciation year 2</t>
  </si>
  <si>
    <t>Depreciation year 3</t>
  </si>
  <si>
    <t>Depreciation year 4</t>
  </si>
  <si>
    <t>Depreciation year 5</t>
  </si>
  <si>
    <t>Depreciation year 6</t>
  </si>
  <si>
    <t>Depreciation year 7</t>
  </si>
  <si>
    <t>Depreciation year 8</t>
  </si>
  <si>
    <t>Depreciation year 9</t>
  </si>
  <si>
    <t>Depreciation year 10</t>
  </si>
  <si>
    <t>Depreciation year 11</t>
  </si>
  <si>
    <t>Depreciation year 12</t>
  </si>
  <si>
    <t>Depreciation year 13</t>
  </si>
  <si>
    <t>Depreciation year 14</t>
  </si>
  <si>
    <t>Depreciation year 15</t>
  </si>
  <si>
    <t>Depreciation year 16</t>
  </si>
  <si>
    <t>Depreciation year 17</t>
  </si>
  <si>
    <t>Depreciation year 18</t>
  </si>
  <si>
    <t>Depreciation year 19</t>
  </si>
  <si>
    <t>Depreciation year 20</t>
  </si>
  <si>
    <t>Variable rate taxes - schedules</t>
  </si>
  <si>
    <t>"Variable rate taxes" are taxes whose rate depends on some economic measure such as the project's operating margin or commodity price.</t>
  </si>
  <si>
    <t>Variable rate royalty on revenue</t>
  </si>
  <si>
    <t>1 - No VRR</t>
  </si>
  <si>
    <t>2 - Chile: gold</t>
  </si>
  <si>
    <t>3 - Custom</t>
  </si>
  <si>
    <t>4 - Custom</t>
  </si>
  <si>
    <t>5 - Custom</t>
  </si>
  <si>
    <t>6 - Custom</t>
  </si>
  <si>
    <t>7 - Custom</t>
  </si>
  <si>
    <t>8 - Custom</t>
  </si>
  <si>
    <t>Bracket</t>
  </si>
  <si>
    <t>Upper limit ($mm)</t>
  </si>
  <si>
    <t>Marginal rate</t>
  </si>
  <si>
    <t>Variable rate royalty on price</t>
  </si>
  <si>
    <t>2 - Burkina Faso: gold</t>
  </si>
  <si>
    <t>3 - Cote d'Ivoire: gold</t>
  </si>
  <si>
    <t>4 - Zambia: copper</t>
  </si>
  <si>
    <t>5 - Zimbabwe: gold</t>
  </si>
  <si>
    <t>6 - Kyrgyz Republic: gold</t>
  </si>
  <si>
    <t>Lower limit ($/oz)</t>
  </si>
  <si>
    <t>Operating profit tax</t>
  </si>
  <si>
    <t>1 - No OPT</t>
  </si>
  <si>
    <t>2 - Chile</t>
  </si>
  <si>
    <t>3 - Peru</t>
  </si>
  <si>
    <t>Lower limit</t>
  </si>
  <si>
    <t>South Africa variable rate royalty</t>
  </si>
  <si>
    <t>1 - Refined</t>
  </si>
  <si>
    <t>2 - Unrefined</t>
  </si>
  <si>
    <t>Alternative</t>
  </si>
  <si>
    <t>Constant</t>
  </si>
  <si>
    <t>Factor</t>
  </si>
  <si>
    <t>Rate cap</t>
  </si>
  <si>
    <t>Tax payment assumptions</t>
  </si>
  <si>
    <t>Tax treaties reduce WHT rates to zero? (1 = statutory WHT rates, 0 = 0% rates)</t>
  </si>
  <si>
    <t>Economic and financing assumptions</t>
  </si>
  <si>
    <t>Debt financing</t>
  </si>
  <si>
    <t>Portion of debt financing from shareholder loans</t>
  </si>
  <si>
    <t>Repayment period</t>
  </si>
  <si>
    <t>Real interest rate for debt financing</t>
  </si>
  <si>
    <t>Real interest rate for state equity carry</t>
  </si>
  <si>
    <t>Real discount rate for company</t>
  </si>
  <si>
    <t>Real discount rate government</t>
  </si>
  <si>
    <t>Inflation rate</t>
  </si>
  <si>
    <t>Price assumptions</t>
  </si>
  <si>
    <t>Primary mineral price</t>
  </si>
  <si>
    <t xml:space="preserve">Variable - as determined by user in "Price time series 2" (1 = yes, no = 2) </t>
  </si>
  <si>
    <t>Price time series 1</t>
  </si>
  <si>
    <t>Price time series 2</t>
  </si>
  <si>
    <t>Primary mineral price in DRC feasibility study (for DRC excess profits tax)</t>
  </si>
  <si>
    <t>SELECT PROJECT</t>
  </si>
  <si>
    <t>High profit</t>
  </si>
  <si>
    <t xml:space="preserve">Total </t>
  </si>
  <si>
    <t>MINE PROFILES TO SELECT FROM</t>
  </si>
  <si>
    <t>Production of gold</t>
  </si>
  <si>
    <t>ounces</t>
  </si>
  <si>
    <t>Transport post-fiscal point</t>
  </si>
  <si>
    <t>$mm const</t>
  </si>
  <si>
    <t>Processing and refining post-fiscal point</t>
  </si>
  <si>
    <t>Exploration costs (expensable)</t>
  </si>
  <si>
    <t>Development costs - intangibles (expensable)</t>
  </si>
  <si>
    <t>Development costs - tangibles (depreciable)</t>
  </si>
  <si>
    <t>Replacement capital costs (depreciable)</t>
  </si>
  <si>
    <t>Decommissioning costs</t>
  </si>
  <si>
    <t>Associated mineral (proportion of gold value)</t>
  </si>
  <si>
    <t>Operating costs</t>
  </si>
  <si>
    <t>$/ounce</t>
  </si>
  <si>
    <t>Low profit</t>
  </si>
  <si>
    <t>Average profit</t>
  </si>
  <si>
    <t>Additional cost assumptions</t>
  </si>
  <si>
    <t>Opex subject to import duty</t>
  </si>
  <si>
    <t>Capex subject to import duty</t>
  </si>
  <si>
    <t>Opex subject to VAT</t>
  </si>
  <si>
    <t>Capex subject to VAT</t>
  </si>
  <si>
    <t>Payroll costs (proportion of total opex)</t>
  </si>
  <si>
    <t xml:space="preserve">Cost increase resulting from company tax avoidance </t>
  </si>
  <si>
    <t>Error check:</t>
  </si>
  <si>
    <t>Project cashflow</t>
  </si>
  <si>
    <t>Project pre-tax cash flow: Real</t>
  </si>
  <si>
    <t>Production</t>
  </si>
  <si>
    <t>Primary revenue</t>
  </si>
  <si>
    <t>Co-produce revenue</t>
  </si>
  <si>
    <t>Total gross revenue</t>
  </si>
  <si>
    <t>Transport and processing post-fiscal point</t>
  </si>
  <si>
    <t>Net revenue</t>
  </si>
  <si>
    <t>Exploration costs (expensed)</t>
  </si>
  <si>
    <t>Total costs</t>
  </si>
  <si>
    <t>Project pre-tax cash flow</t>
  </si>
  <si>
    <t>Internal rate of return (real)</t>
  </si>
  <si>
    <t>Flags</t>
  </si>
  <si>
    <t>Project years</t>
  </si>
  <si>
    <t>flag</t>
  </si>
  <si>
    <t>Production year</t>
  </si>
  <si>
    <t>Remaining production years</t>
  </si>
  <si>
    <t>Year production starts</t>
  </si>
  <si>
    <t>Year production ends</t>
  </si>
  <si>
    <t>Payback period</t>
  </si>
  <si>
    <t>Cumulative project pre-tax cash flow</t>
  </si>
  <si>
    <t>Inflation index</t>
  </si>
  <si>
    <t>index</t>
  </si>
  <si>
    <t>Project pre-tax cash flow: Nominal</t>
  </si>
  <si>
    <t>$mm nominal</t>
  </si>
  <si>
    <t>Development costs - intangibles (expensed)</t>
  </si>
  <si>
    <t>Internal rate of return (nominal)</t>
  </si>
  <si>
    <t>Decommissioning</t>
  </si>
  <si>
    <t>Decommissioning year</t>
  </si>
  <si>
    <t>Decommissioning costs spent</t>
  </si>
  <si>
    <t>Decommissioning costs spent, real</t>
  </si>
  <si>
    <t>Decommissioning costs escalated</t>
  </si>
  <si>
    <t>% reserves produced, end of year</t>
  </si>
  <si>
    <t>Remaining recoverable reserves, end of year</t>
  </si>
  <si>
    <t>Decommissioning fund flag</t>
  </si>
  <si>
    <t>Production during decommissioning period</t>
  </si>
  <si>
    <t>Cumulative production during decommissioning period</t>
  </si>
  <si>
    <t>Decommissioning fund opening balance</t>
  </si>
  <si>
    <t>Deposit required</t>
  </si>
  <si>
    <t>Withdrawal to meet decommissioning costs</t>
  </si>
  <si>
    <t>Surplus balance</t>
  </si>
  <si>
    <t>Closing balance</t>
  </si>
  <si>
    <t>Project pre-tax cash flow turn positive</t>
  </si>
  <si>
    <t>Financing period</t>
  </si>
  <si>
    <t>Post-financing production period</t>
  </si>
  <si>
    <t>Post-financing production years</t>
  </si>
  <si>
    <t>Loan amount</t>
  </si>
  <si>
    <t>Proportion of remaining loan balance to be paid</t>
  </si>
  <si>
    <t>Loan account opening balance</t>
  </si>
  <si>
    <t>Loan drawdowns (mid-period)</t>
  </si>
  <si>
    <t>Interest charged</t>
  </si>
  <si>
    <t>Interest payments</t>
  </si>
  <si>
    <t>Loan balance to be paid</t>
  </si>
  <si>
    <t>Principal repayments</t>
  </si>
  <si>
    <t>Loan closing balance</t>
  </si>
  <si>
    <t>Lender net cash flow</t>
  </si>
  <si>
    <t>Tax calculations</t>
  </si>
  <si>
    <t>ROYALTIES</t>
  </si>
  <si>
    <t>Royalty</t>
  </si>
  <si>
    <t>Primary gross revenue</t>
  </si>
  <si>
    <t>Net revenue (net backed)</t>
  </si>
  <si>
    <t>Royalty base</t>
  </si>
  <si>
    <t>Rate</t>
  </si>
  <si>
    <t>Royalty payable (primary mineral)</t>
  </si>
  <si>
    <t>Co-product gross revenue</t>
  </si>
  <si>
    <t>Royalty payable (co-product)</t>
  </si>
  <si>
    <t>Variable rate royalty - revenue based (on primary product)</t>
  </si>
  <si>
    <t>Base</t>
  </si>
  <si>
    <t>Bracket 1</t>
  </si>
  <si>
    <t>Bracket 2</t>
  </si>
  <si>
    <t>Bracket 3</t>
  </si>
  <si>
    <t>Bracket 4</t>
  </si>
  <si>
    <t>Bracket 5</t>
  </si>
  <si>
    <t>Bracket 6</t>
  </si>
  <si>
    <t>Bracket 7</t>
  </si>
  <si>
    <t>Bracket 8</t>
  </si>
  <si>
    <t>Bracket 9</t>
  </si>
  <si>
    <t>Bracket 10</t>
  </si>
  <si>
    <t>Total</t>
  </si>
  <si>
    <t>Average royalty rate</t>
  </si>
  <si>
    <t>Variable rate royalty (revenue) payable</t>
  </si>
  <si>
    <t>Variable rate royalty - price based, non-marginal (on primary product)</t>
  </si>
  <si>
    <t xml:space="preserve">Base </t>
  </si>
  <si>
    <t>Price bracket 1</t>
  </si>
  <si>
    <t>Price bracket 2</t>
  </si>
  <si>
    <t>Price bracket 3</t>
  </si>
  <si>
    <t>Price bracket 4</t>
  </si>
  <si>
    <t>Price bracket 5</t>
  </si>
  <si>
    <t>Price bracket 6</t>
  </si>
  <si>
    <t>Price bracket 7</t>
  </si>
  <si>
    <t>Price bracket 8</t>
  </si>
  <si>
    <t>Price bracket 9</t>
  </si>
  <si>
    <t>Price bracket 10</t>
  </si>
  <si>
    <t>Price bracket 11</t>
  </si>
  <si>
    <t>Price bracket 12</t>
  </si>
  <si>
    <t>Price bracket 13</t>
  </si>
  <si>
    <t>Price bracket 14</t>
  </si>
  <si>
    <t>Variable rate royalty - price based, marginal (on primary product)</t>
  </si>
  <si>
    <t>$</t>
  </si>
  <si>
    <t>$ nominal</t>
  </si>
  <si>
    <t>Bracket 11</t>
  </si>
  <si>
    <t>Bracket 12</t>
  </si>
  <si>
    <t>Bracket 13</t>
  </si>
  <si>
    <t>Bracket 14</t>
  </si>
  <si>
    <t>Variable rate royalty (price) payable</t>
  </si>
  <si>
    <t>South Africa variable royalty</t>
  </si>
  <si>
    <t>Gross sales tax bases</t>
  </si>
  <si>
    <t>EBIT</t>
  </si>
  <si>
    <t>Gross sales</t>
  </si>
  <si>
    <t>EBIT/(Gross sales x Factor) x 100</t>
  </si>
  <si>
    <t>SA variable royalty payable</t>
  </si>
  <si>
    <t>Total ROYALTIES</t>
  </si>
  <si>
    <t>Philippines recovery period</t>
  </si>
  <si>
    <t xml:space="preserve">Lender net cash flow </t>
  </si>
  <si>
    <t>Royalty payment</t>
  </si>
  <si>
    <t>Investor post-royalty cash flow</t>
  </si>
  <si>
    <t>Cumulative investor post-royalty cash flow</t>
  </si>
  <si>
    <t>Positive investor post-royalty cash flow</t>
  </si>
  <si>
    <t>Flag</t>
  </si>
  <si>
    <t>Production year that investor post-royalty cash flow turns positive</t>
  </si>
  <si>
    <t>Year that Philippines recovery period ends</t>
  </si>
  <si>
    <t>Project no longer in Philippines recovery period</t>
  </si>
  <si>
    <t>Recovery period ends before post-royalty cash flow turns positive: yes=1, no=2</t>
  </si>
  <si>
    <t>Post-royalty cash flow at end of recovery period</t>
  </si>
  <si>
    <t>Pre-production costs not recovered</t>
  </si>
  <si>
    <t>INPUT TAXES</t>
  </si>
  <si>
    <t>Sharing mechanism: Tanzania=1, Tanzania adj=2, Philippines=3, Ecuador=4, no further sharing=5</t>
  </si>
  <si>
    <t>Import duty</t>
  </si>
  <si>
    <t>Import duty payable</t>
  </si>
  <si>
    <t>VAT</t>
  </si>
  <si>
    <t>VAT-able costs</t>
  </si>
  <si>
    <t>VAT payable</t>
  </si>
  <si>
    <t>Skills development levy</t>
  </si>
  <si>
    <t>Payroll costs</t>
  </si>
  <si>
    <t>Skills development levy payable</t>
  </si>
  <si>
    <t>STATE'S REVENUE SHARE FROM EQUITY IN UNINCORPORATED JV</t>
  </si>
  <si>
    <t>State equity as part of unincorporated JV</t>
  </si>
  <si>
    <t>Payment for state equity: paid=1, carried=2</t>
  </si>
  <si>
    <t>State shareholder contribution includes exploration costs: yes=1, no=2</t>
  </si>
  <si>
    <t>Project revenues</t>
  </si>
  <si>
    <t>State revenue share before any carry loan repayments</t>
  </si>
  <si>
    <t>Equity contributions required if paid or carried</t>
  </si>
  <si>
    <t>Project pre-tax net cash flow w/wo exploration costs</t>
  </si>
  <si>
    <t>Lender pre-tax net cash flow</t>
  </si>
  <si>
    <t>Investor pre-tax net cash flow</t>
  </si>
  <si>
    <t>State shareholder pre-tax net cash flow</t>
  </si>
  <si>
    <t>Equity contributions required</t>
  </si>
  <si>
    <t>State revenue share available for carry loan repayments</t>
  </si>
  <si>
    <t>Carry loan repayments</t>
  </si>
  <si>
    <t>Carry loan opening balance</t>
  </si>
  <si>
    <t>Additions to carry loan</t>
  </si>
  <si>
    <t>Interest on balance</t>
  </si>
  <si>
    <t>Balance before repayments</t>
  </si>
  <si>
    <t>Repayments from revenue share</t>
  </si>
  <si>
    <t>Carry loan closing balance</t>
  </si>
  <si>
    <t>Costs attributable to contractor</t>
  </si>
  <si>
    <t>EBITDA</t>
  </si>
  <si>
    <t>OPERATING PROFIT TAXES</t>
  </si>
  <si>
    <t>Operating profit to be taxed</t>
  </si>
  <si>
    <t>Operating margin</t>
  </si>
  <si>
    <t>Bracket 15</t>
  </si>
  <si>
    <t>Bracket 16</t>
  </si>
  <si>
    <t>Bracket 17</t>
  </si>
  <si>
    <t>Average rate</t>
  </si>
  <si>
    <t>Operating profit tax payable</t>
  </si>
  <si>
    <t>Operating profit tax paid</t>
  </si>
  <si>
    <t>Backstop royalty payable</t>
  </si>
  <si>
    <t>DRC excess profits tax</t>
  </si>
  <si>
    <t>Price difference</t>
  </si>
  <si>
    <t>EBITDA in feasibility study</t>
  </si>
  <si>
    <t>Tax base</t>
  </si>
  <si>
    <t>DRC excess profits tax payable</t>
  </si>
  <si>
    <t>Capital depreciation</t>
  </si>
  <si>
    <t>Philippines pre-production capital costs recovered through recovery period not capital depreciation: yes=1, no=2</t>
  </si>
  <si>
    <t>Exploration costs</t>
  </si>
  <si>
    <t>Development costs - intangibles</t>
  </si>
  <si>
    <t>Development costs - tangibles</t>
  </si>
  <si>
    <t>Depreciated tangible development capital costs</t>
  </si>
  <si>
    <t>Replacement capital costs</t>
  </si>
  <si>
    <t>Depreciated replacement capital costs</t>
  </si>
  <si>
    <t>Total depreciable capital costs</t>
  </si>
  <si>
    <t>Total depreciated capital costs</t>
  </si>
  <si>
    <t>Cumulative depreciable capital costs</t>
  </si>
  <si>
    <t>Cumulative depreciated capital costs</t>
  </si>
  <si>
    <t>Last year of project</t>
  </si>
  <si>
    <t>Capital costs not depreciated at end of project</t>
  </si>
  <si>
    <t>Total depreciated capital costs including final year write-off</t>
  </si>
  <si>
    <t>State equity in unincorporated JV</t>
  </si>
  <si>
    <t>Interest from shareholder loans is deductible: yes=1, no=2</t>
  </si>
  <si>
    <t>Deductable tax payments</t>
  </si>
  <si>
    <t xml:space="preserve">Development costs - intangibles (expensed) </t>
  </si>
  <si>
    <t>Development costs - tangibles and replacement capex (depreciation)</t>
  </si>
  <si>
    <t>Decommissioning provision</t>
  </si>
  <si>
    <t>Interest payment</t>
  </si>
  <si>
    <t>Profit available to be shared</t>
  </si>
  <si>
    <t>Total profit share</t>
  </si>
  <si>
    <t>Profit share distributed through government</t>
  </si>
  <si>
    <t>CORPORATE INCOME TAX</t>
  </si>
  <si>
    <t>Tax base for DRC excess profits tax</t>
  </si>
  <si>
    <t>Taxable income before prior period losses</t>
  </si>
  <si>
    <t>Losses carried forward</t>
  </si>
  <si>
    <t>Taxable income after losses</t>
  </si>
  <si>
    <t>Taxable income after deduction of unrecovered pre-production capital costs</t>
  </si>
  <si>
    <t>Corporate income tax payable</t>
  </si>
  <si>
    <t>Loss carry forward provision</t>
  </si>
  <si>
    <t>Expiry of losses</t>
  </si>
  <si>
    <t>Year</t>
  </si>
  <si>
    <t>Losses expiring</t>
  </si>
  <si>
    <t>Balance carried forward</t>
  </si>
  <si>
    <t>Current year losses</t>
  </si>
  <si>
    <t>Percentage limitation</t>
  </si>
  <si>
    <t>Losses being utilized</t>
  </si>
  <si>
    <t>Balance to carry forward</t>
  </si>
  <si>
    <t>Philippines deduction of unrecovered pre-production capital costs</t>
  </si>
  <si>
    <t>Unrecovered pre-production capital costs</t>
  </si>
  <si>
    <t>Capital costs being recovered</t>
  </si>
  <si>
    <t>South Africa gold profit tax</t>
  </si>
  <si>
    <t>Taxable profits/Sale revenue ratio</t>
  </si>
  <si>
    <t>Tax rate</t>
  </si>
  <si>
    <t>SA gold profit tax payable</t>
  </si>
  <si>
    <t>EXCESS PROFIT TAXES</t>
  </si>
  <si>
    <t>Project cash flow after CIT</t>
  </si>
  <si>
    <t>Fees, levies, royalties, operating profit tax and corporate profit tax</t>
  </si>
  <si>
    <t>Net cash flow</t>
  </si>
  <si>
    <t>Resource Rent Tax</t>
  </si>
  <si>
    <t>RRT opening balance</t>
  </si>
  <si>
    <t>Uplift on negative balance</t>
  </si>
  <si>
    <t>Project NCF after deductible tax payments, decommissioning and sale of undepreciated assets</t>
  </si>
  <si>
    <t>RRT closing balance</t>
  </si>
  <si>
    <t>Resource rent tax payable</t>
  </si>
  <si>
    <t>Zimbabwe additional profits tax</t>
  </si>
  <si>
    <t>First Accumulated Net Cash Position (FANCP)</t>
  </si>
  <si>
    <t>FANCP opening balance</t>
  </si>
  <si>
    <t>Opening balance with uplift</t>
  </si>
  <si>
    <t>FANCP</t>
  </si>
  <si>
    <t>Additional profits tax on FANCP</t>
  </si>
  <si>
    <t>Second Accumulated Net Cash Position (SANCP)</t>
  </si>
  <si>
    <t>SANCP opening balance</t>
  </si>
  <si>
    <t>Project NCF after deductible tax payments, decommissioning, sale of undepreciated assets and APT on FANCP</t>
  </si>
  <si>
    <t>SANCP</t>
  </si>
  <si>
    <t>Additional profits tax on SANCP</t>
  </si>
  <si>
    <t>Zimbabwe additional profits tax payable</t>
  </si>
  <si>
    <t>Total PROFIT TAXES exc WHT</t>
  </si>
  <si>
    <t>GOVERNMENT SHARE OF LOANS</t>
  </si>
  <si>
    <t>Government receives share of loan repayments: yes=1, no=2</t>
  </si>
  <si>
    <t>Government share of loan repayments</t>
  </si>
  <si>
    <t>DIVIDEND PAYMENTS</t>
  </si>
  <si>
    <t>State shareholder share</t>
  </si>
  <si>
    <t>Contractor equity share</t>
  </si>
  <si>
    <t>Incorporated JV</t>
  </si>
  <si>
    <t>Deductable profit taxes</t>
  </si>
  <si>
    <t>Investor cash flow before distributions</t>
  </si>
  <si>
    <t>Equity contribution repayment</t>
  </si>
  <si>
    <t>Equity contribution opening balance</t>
  </si>
  <si>
    <t>Additions to equity contribution</t>
  </si>
  <si>
    <t>Balance before repayment</t>
  </si>
  <si>
    <t>Cash flow available for repayment</t>
  </si>
  <si>
    <t>Repayments</t>
  </si>
  <si>
    <t>Equity contribution closing balance</t>
  </si>
  <si>
    <t>Cumulative investor cash flow before distributions</t>
  </si>
  <si>
    <t>Distributable cash</t>
  </si>
  <si>
    <t>State dividends</t>
  </si>
  <si>
    <t>State shareholder contributions required if paid or carried</t>
  </si>
  <si>
    <t>State shareholder share of equity contribution repayments</t>
  </si>
  <si>
    <t>State shareholder share of dividends before any carry loan repayments</t>
  </si>
  <si>
    <t>Repayments from equity returns</t>
  </si>
  <si>
    <t>State shareholder share of returns after any carry loan repayments</t>
  </si>
  <si>
    <t>State shareholder cash flow</t>
  </si>
  <si>
    <t>Cumulative state shareholder cash flow before distributions</t>
  </si>
  <si>
    <t>State dividends paid</t>
  </si>
  <si>
    <t>Contractor dividends</t>
  </si>
  <si>
    <t>Contractor dividends paid</t>
  </si>
  <si>
    <t>Unincorporated JV</t>
  </si>
  <si>
    <t>State shareholder pre-tax cash flow</t>
  </si>
  <si>
    <t>Carry loan from contractor</t>
  </si>
  <si>
    <t>Carry loan repayment</t>
  </si>
  <si>
    <t xml:space="preserve">Cumulative state shareholder cash flow </t>
  </si>
  <si>
    <t>Contractor pre-tax cash flow</t>
  </si>
  <si>
    <t>Carry loan to state</t>
  </si>
  <si>
    <t>Contractor cash flow</t>
  </si>
  <si>
    <t xml:space="preserve">Cumulative contractor cash flow </t>
  </si>
  <si>
    <t>Total contractor dividends</t>
  </si>
  <si>
    <t>Total state dividends</t>
  </si>
  <si>
    <t>WITHHOLDING TAXES</t>
  </si>
  <si>
    <t>Dividend Withholding Tax</t>
  </si>
  <si>
    <t>Dividend withholding tax base</t>
  </si>
  <si>
    <t>Dividend withholding tax payable</t>
  </si>
  <si>
    <t>Interest Withholding Tax</t>
  </si>
  <si>
    <t>Interest on shareholder loans recognized: yes=1, no=2</t>
  </si>
  <si>
    <t>Interest withholding tax base</t>
  </si>
  <si>
    <t>Interest withholding tax payable</t>
  </si>
  <si>
    <t>TOTAL PROFIT TAXES</t>
  </si>
  <si>
    <t>ULTIMATE SHARING OF MINE BENEFITS</t>
  </si>
  <si>
    <t>Tanzania sharing</t>
  </si>
  <si>
    <t>Benefits generated before sharing trigger included in cumulative share: yes=1, no=2</t>
  </si>
  <si>
    <t>Interest from shareholder loans is treated as project cost: yes=1, no=2</t>
  </si>
  <si>
    <t>Current approach</t>
  </si>
  <si>
    <t>Trigger</t>
  </si>
  <si>
    <t xml:space="preserve">Cumulative post-tax investor cash flow </t>
  </si>
  <si>
    <t>Positive cumulative post-tax investor cash flow</t>
  </si>
  <si>
    <t>Year that sharing is triggered</t>
  </si>
  <si>
    <t>Sharing mechanism is applicable</t>
  </si>
  <si>
    <t>Benefits to be shared</t>
  </si>
  <si>
    <t>Project benefits</t>
  </si>
  <si>
    <t>Annual benefits from project</t>
  </si>
  <si>
    <t>Cumulative benefits from project</t>
  </si>
  <si>
    <t>Initial government benefits</t>
  </si>
  <si>
    <t>Initial government share of annual benefits</t>
  </si>
  <si>
    <t>Initial investor benefits</t>
  </si>
  <si>
    <t>Initial investor share of annual benefits</t>
  </si>
  <si>
    <t>Cumulative initial government benefits</t>
  </si>
  <si>
    <t>Initial government share of cumulative benefits</t>
  </si>
  <si>
    <t>Cumulative initial investor benefits</t>
  </si>
  <si>
    <t>Initial investor share of cumulative benefits</t>
  </si>
  <si>
    <t>Sharing mechanism</t>
  </si>
  <si>
    <t>Annual benefits from project affected by sharing mechanism</t>
  </si>
  <si>
    <t>Cumulative benefits affected by sharing mechanism</t>
  </si>
  <si>
    <t>Initial government benefits affected by sharing mechanism</t>
  </si>
  <si>
    <t>Initial government share of annual benefits affected by sharing mechanism</t>
  </si>
  <si>
    <t>Initial investor benefits affected by sharing mechanism</t>
  </si>
  <si>
    <t>Initial investor share of annual benefits affected by sharing mechanism</t>
  </si>
  <si>
    <t>Cumulative initial government benefits affected by sharing mechanism</t>
  </si>
  <si>
    <t>Initial government share of cumulative benefits affected by sharing mechanism</t>
  </si>
  <si>
    <t>Cumulative initial investor benefits affected by sharing mechanism</t>
  </si>
  <si>
    <t>Initial investor share of cumulative benefits affected by sharing mechanism</t>
  </si>
  <si>
    <t>Adjustment required to government share of cumulative benefits in year that sharing is triggered</t>
  </si>
  <si>
    <t>Adjustment required to government share of annual benefits in following years</t>
  </si>
  <si>
    <t>Adjustment required to government benefits</t>
  </si>
  <si>
    <t>Adjustment to government and company shares</t>
  </si>
  <si>
    <t>Government benefits available for adjustment</t>
  </si>
  <si>
    <t>Investor benefits available for adjustment</t>
  </si>
  <si>
    <t>Adjustment required from current year sharing</t>
  </si>
  <si>
    <t>Adjustment made</t>
  </si>
  <si>
    <t>Adjustment made to government benefits</t>
  </si>
  <si>
    <t>Adjustment made to investor benefits</t>
  </si>
  <si>
    <t>Adjusted approach</t>
  </si>
  <si>
    <t>Discount index</t>
  </si>
  <si>
    <t>Discount rate to be applied</t>
  </si>
  <si>
    <t xml:space="preserve">Post-tax investor cash flow </t>
  </si>
  <si>
    <t>Additional government benefits required</t>
  </si>
  <si>
    <t>Final government benefits</t>
  </si>
  <si>
    <t>Final government share of cumulative benefits</t>
  </si>
  <si>
    <t>Philippines sharing</t>
  </si>
  <si>
    <t>Annual benefits</t>
  </si>
  <si>
    <t>Additional government share required</t>
  </si>
  <si>
    <t>Ecuador sharing</t>
  </si>
  <si>
    <t xml:space="preserve">Free cash flow </t>
  </si>
  <si>
    <t>Cumulative free cash flow</t>
  </si>
  <si>
    <t>Free cash flow available for distribution</t>
  </si>
  <si>
    <t>Government revenues incl. in annual benefits</t>
  </si>
  <si>
    <t>Cumulative annual benefits</t>
  </si>
  <si>
    <t>Final investor benefits</t>
  </si>
  <si>
    <t>Financial summary</t>
  </si>
  <si>
    <t>Project indicators:Nominal</t>
  </si>
  <si>
    <t>EBT</t>
  </si>
  <si>
    <t>Contractor Net Cash Flow: Nominal</t>
  </si>
  <si>
    <t>State equity contribution with incorporated JV</t>
  </si>
  <si>
    <t>Carry loan to state repayment with unincorporated JV</t>
  </si>
  <si>
    <t>Adjustment made to investor share of benefits</t>
  </si>
  <si>
    <t>Less: Project costs</t>
  </si>
  <si>
    <t>Less: Carry loan to state</t>
  </si>
  <si>
    <t>Less: Lender net cash flow</t>
  </si>
  <si>
    <t>Less: Profit taxes</t>
  </si>
  <si>
    <t>Less: Government share of loan repayments</t>
  </si>
  <si>
    <t>Less: State share of equity contribution repayments with incorporated JV</t>
  </si>
  <si>
    <t>Less: State dividends with incorporated JV</t>
  </si>
  <si>
    <t>Contractor post-tax cash flow</t>
  </si>
  <si>
    <t>Contractor post-tax IRR</t>
  </si>
  <si>
    <t>Contractor post-tax cash flow if includes shareholder loans</t>
  </si>
  <si>
    <t>Contractor post-tax IRR if includes shareholder loans</t>
  </si>
  <si>
    <t>Decommissioning cash flow</t>
  </si>
  <si>
    <t>Contractor Net Cash Flow: Real</t>
  </si>
  <si>
    <t>Inflation index (from above)</t>
  </si>
  <si>
    <t>Payback Period: Real</t>
  </si>
  <si>
    <t>Cumulative contractor post-tax cash flow</t>
  </si>
  <si>
    <t>Payback period NPV0</t>
  </si>
  <si>
    <t>Government Revenue: Nominal</t>
  </si>
  <si>
    <t>Import duties</t>
  </si>
  <si>
    <t>Variable rate royalty</t>
  </si>
  <si>
    <t>Resource rent tax</t>
  </si>
  <si>
    <t>Govt share of repaid loans</t>
  </si>
  <si>
    <t>Interest withholding tax</t>
  </si>
  <si>
    <t>Adjustment to govt benefit share</t>
  </si>
  <si>
    <t>Government revenue</t>
  </si>
  <si>
    <t>Government Revenue: Real</t>
  </si>
  <si>
    <t>State Shareholder Net Cash Flow: Nominal</t>
  </si>
  <si>
    <t>State shareholder share of equity returns in incorporated JV or revenues in unincorporated JV</t>
  </si>
  <si>
    <t>Less: Equity contribution in incorporated JV</t>
  </si>
  <si>
    <t>Less: Carry loan repayment with unincorporated JV</t>
  </si>
  <si>
    <t>Less: Project costs in unincorporated JV</t>
  </si>
  <si>
    <t>Less: Lender net cash flow in unincorporated JV</t>
  </si>
  <si>
    <t>Less: Government share of loan repayments in unincorporated JV</t>
  </si>
  <si>
    <t>State Shareholder Revenue: Real</t>
  </si>
  <si>
    <t>Reconciliation: Nominal</t>
  </si>
  <si>
    <t>Government + Contractor + Lender + State shareholder</t>
  </si>
  <si>
    <t>Project post-tax cash flow</t>
  </si>
  <si>
    <t>Project pre-tax cash flow (from above)</t>
  </si>
  <si>
    <t>Check</t>
  </si>
  <si>
    <t>Reconciliation: Real</t>
  </si>
  <si>
    <t xml:space="preserve">Results: Nominal </t>
  </si>
  <si>
    <t>Government revenue (exc. State dividends)</t>
  </si>
  <si>
    <t>Lender cash flow</t>
  </si>
  <si>
    <t>Total benefits</t>
  </si>
  <si>
    <t>Results: Real</t>
  </si>
  <si>
    <t>Contractor + Lender cash flow</t>
  </si>
  <si>
    <t>Contractor + Lender post-tax IRR on total funds</t>
  </si>
  <si>
    <t>Contractor post-tax IRR on total funds</t>
  </si>
  <si>
    <t>Net Present Value Results -&gt; discount rates</t>
  </si>
  <si>
    <t>Project pre tax cash flow</t>
  </si>
  <si>
    <t>Average Effective Tax Rate</t>
  </si>
  <si>
    <t>% const</t>
  </si>
  <si>
    <t>Government share of total benefits</t>
  </si>
  <si>
    <t>Reconciliation</t>
  </si>
  <si>
    <t>Share of benefits</t>
  </si>
  <si>
    <t>Government</t>
  </si>
  <si>
    <t>Contractor</t>
  </si>
  <si>
    <t>Lender</t>
  </si>
  <si>
    <t>State Shareholder</t>
  </si>
  <si>
    <t>Costs</t>
  </si>
  <si>
    <t>Total government revenue</t>
  </si>
  <si>
    <t>Government revenue by fiscal mechanism - regime comparison</t>
  </si>
  <si>
    <t>Regime</t>
  </si>
  <si>
    <t>Average Effective Tax Rate (AETR) - regime comparison</t>
  </si>
  <si>
    <t>Government Share of Total Benefits - regime comparison</t>
  </si>
  <si>
    <t>Annual government revenue $ - regime comparison</t>
  </si>
  <si>
    <t>1 to 5</t>
  </si>
  <si>
    <t>6 to 10</t>
  </si>
  <si>
    <t>11 to 15</t>
  </si>
  <si>
    <t>16 to 20</t>
  </si>
  <si>
    <t>21 to 25</t>
  </si>
  <si>
    <t>26 to 30</t>
  </si>
  <si>
    <t>31 to 35</t>
  </si>
  <si>
    <t>35 to 40</t>
  </si>
  <si>
    <t>41 to 45</t>
  </si>
  <si>
    <t>46 to 50</t>
  </si>
  <si>
    <t>Annual government revenue % - regime comparison</t>
  </si>
  <si>
    <t>% of life time revenues</t>
  </si>
  <si>
    <t>Annual government revenue - regime comparison - cumulative</t>
  </si>
  <si>
    <t>Proportion of total revenues earned in first X years</t>
  </si>
  <si>
    <t>Sensitivity analysis</t>
  </si>
  <si>
    <t>Price change</t>
  </si>
  <si>
    <t>% change</t>
  </si>
  <si>
    <t>$ change</t>
  </si>
  <si>
    <t>Pre-tax IRR</t>
  </si>
  <si>
    <t>Opex change</t>
  </si>
  <si>
    <t>Price change sensitivity - Government Revenue NPV10</t>
  </si>
  <si>
    <t>Price change sensitivity - Government Revenue NPV10, % change</t>
  </si>
  <si>
    <t>Price change sensitivity - Government Revenue NPV10, summary indicators</t>
  </si>
  <si>
    <t>Price change sensitivity - Average Effective Tax Rate NPV10</t>
  </si>
  <si>
    <t>Opex change sensitivity - Average Effective Tax Rate NPV10</t>
  </si>
  <si>
    <t>Price change sensitivity - Government Share of Total Benefits NPV10</t>
  </si>
  <si>
    <t>OPEX change sensitivity -  - Government Share of Total Benefits NPV10</t>
  </si>
  <si>
    <t>Proportion of revenue and profit based tax types</t>
  </si>
  <si>
    <t>Operating profit</t>
  </si>
  <si>
    <t>Corporate profit</t>
  </si>
  <si>
    <t>Tanzania 50-50 revenues pre-sharing</t>
  </si>
  <si>
    <t>Proportion of total revenues</t>
  </si>
  <si>
    <t>Breakeven price</t>
  </si>
  <si>
    <t>Goal-seek price</t>
  </si>
  <si>
    <t xml:space="preserve">Save the original price here and restore it after the goal seek analysis in the input cell F35 in the Economic Assumptions </t>
  </si>
  <si>
    <t>$/tonne</t>
  </si>
  <si>
    <t>Contractor post-tax IRR with breakeven price</t>
  </si>
  <si>
    <r>
      <t>Difference between pre-tax and post-tax IRR with breakeven price</t>
    </r>
    <r>
      <rPr>
        <b/>
        <sz val="10"/>
        <color theme="1"/>
        <rFont val="Arial"/>
        <family val="2"/>
      </rPr>
      <t xml:space="preserve"> (numerator)</t>
    </r>
  </si>
  <si>
    <r>
      <t>Project pre-tax IRR with breakeven price</t>
    </r>
    <r>
      <rPr>
        <b/>
        <sz val="10"/>
        <color theme="1"/>
        <rFont val="Arial"/>
        <family val="2"/>
      </rPr>
      <t xml:space="preserve"> (denominator)</t>
    </r>
  </si>
  <si>
    <t>Marginal Effective Tax Rate (METR)</t>
  </si>
  <si>
    <t>Breakeven price and METR stored results - regime comparison</t>
  </si>
  <si>
    <t>Sensivitity analysis operators - DO NOT DELETE</t>
  </si>
  <si>
    <t>Price change proportion</t>
  </si>
  <si>
    <t>Cost change proportion</t>
  </si>
  <si>
    <t>Price changer</t>
  </si>
  <si>
    <t>Cost changer</t>
  </si>
  <si>
    <t>Fiscal regime selector</t>
  </si>
  <si>
    <t>Orignal mineral price value</t>
  </si>
  <si>
    <t>Mineral list</t>
  </si>
  <si>
    <t>Project list</t>
  </si>
  <si>
    <t>Cobalt</t>
  </si>
  <si>
    <t>Nickel</t>
  </si>
  <si>
    <t>End of list range</t>
  </si>
  <si>
    <t>Tanzania w 50/50 sharing</t>
  </si>
  <si>
    <t>Tanzania w/o sharing</t>
  </si>
  <si>
    <t>Last updated 5 May 2023</t>
  </si>
  <si>
    <t>General:</t>
  </si>
  <si>
    <t>Project assumptions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</si>
</sst>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3">
    <numFmt numFmtId="43" formatCode="_-* #,##0.00_-;\-* #,##0.00_-;_-* &quot;-&quot;??_-;_-@_-"/>
    <numFmt numFmtId="164" formatCode="&quot;$&quot;#,##0_);\(&quot;$&quot;#,##0\)"/>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0_);[Red]\(#,##0\);\-"/>
    <numFmt numFmtId="170" formatCode="#,##0;\-#,##0;\-"/>
    <numFmt numFmtId="171" formatCode="0.0%"/>
    <numFmt numFmtId="172" formatCode="#,##0.0_);[Red]\(#,##0.0\);\-"/>
    <numFmt numFmtId="173" formatCode="#,##0.00;\-#,##0.00;\-"/>
    <numFmt numFmtId="174" formatCode="0.000000"/>
    <numFmt numFmtId="175" formatCode="General_)"/>
    <numFmt numFmtId="176" formatCode="0.0;;"/>
    <numFmt numFmtId="177" formatCode="d\-mmm\-yy_);d\-mmm\-yy_);&quot;-&quot;_)"/>
    <numFmt numFmtId="178" formatCode="&quot;   &quot;@"/>
    <numFmt numFmtId="179" formatCode="#,##0_);\(#,##0\);&quot;-&quot;_)"/>
    <numFmt numFmtId="180" formatCode="#,##0;\(#,##0\);&quot;-&quot;"/>
    <numFmt numFmtId="181" formatCode="0.00%;\(0.00%\);&quot;-&quot;"/>
    <numFmt numFmtId="182" formatCode="0.000&quot;x&quot;_);\(#,##0\)&quot;x&quot;;&quot;-&quot;_)"/>
    <numFmt numFmtId="183" formatCode="&quot;      &quot;@"/>
    <numFmt numFmtId="184" formatCode="0.00%_);\(0.00%\);&quot;-&quot;_)"/>
    <numFmt numFmtId="185" formatCode="0.000&quot;x&quot;_);\(0.000\)&quot;x&quot;;&quot;-&quot;_)"/>
    <numFmt numFmtId="186" formatCode="&quot;         &quot;@"/>
    <numFmt numFmtId="187" formatCode="&quot;            &quot;@"/>
    <numFmt numFmtId="188" formatCode="&quot;               &quot;@"/>
    <numFmt numFmtId="189" formatCode="#,##0_);[Red]\(#,##0\);&quot;-  &quot;"/>
    <numFmt numFmtId="190" formatCode="0.0"/>
    <numFmt numFmtId="191" formatCode="&quot;$&quot;#,##0_);[Red]\(&quot;$&quot;#,##0\);&quot;$&quot;0_);@_)"/>
    <numFmt numFmtId="192" formatCode="#,###,_);\(#,###,\);\-_);@\ "/>
    <numFmt numFmtId="193" formatCode="#,##0_);\(#,##0\);\-_);@\ "/>
    <numFmt numFmtId="194" formatCode="#,##0.0_);\(#,##0.0\);\-_);@\ "/>
    <numFmt numFmtId="195" formatCode="#,##0.00_);\(#,##0.00\);\-_);@\ "/>
    <numFmt numFmtId="196" formatCode="#,##0_)\ \ ;[Red]\(#,##0\)\ \ "/>
    <numFmt numFmtId="197" formatCode="#,##0;[Red]\(#,##0\)"/>
    <numFmt numFmtId="198" formatCode="#,##0.0"/>
    <numFmt numFmtId="199" formatCode="#,##0.000"/>
    <numFmt numFmtId="200" formatCode="#,##0.0000"/>
    <numFmt numFmtId="201" formatCode="0.000_)"/>
    <numFmt numFmtId="202" formatCode="#,##0.0_);\(#,##0.0\)"/>
    <numFmt numFmtId="203" formatCode="#,##0;\(#,##0\)"/>
    <numFmt numFmtId="204" formatCode="#,##0.0;\(#,##0.0\)"/>
    <numFmt numFmtId="205" formatCode="_ * #,##0.00_ ;_ * \-#,##0.00_ ;_ * &quot;-&quot;??_ ;_ @_ "/>
    <numFmt numFmtId="206" formatCode="#,##0_)"/>
    <numFmt numFmtId="207" formatCode="0.0_W"/>
    <numFmt numFmtId="208" formatCode="_-* #,##0.00\ _D_M_-;\-* #,##0.00\ _D_M_-;_-* &quot;-&quot;??\ _D_M_-;_-@_-"/>
    <numFmt numFmtId="209" formatCode="#,##0.0\ ;\(#,##0.0\);&quot;-&quot;??"/>
    <numFmt numFmtId="210" formatCode="_([$€-2]* #,##0.00_);_([$€-2]* \(#,##0.00\);_([$€-2]* &quot;-&quot;??_)"/>
    <numFmt numFmtId="211" formatCode="_-* #,##0.00\ &quot;€&quot;_-;\-* #,##0.00\ &quot;€&quot;_-;_-* &quot;-&quot;??\ &quot;€&quot;_-;_-@_-"/>
    <numFmt numFmtId="212" formatCode="#.##0,"/>
    <numFmt numFmtId="213" formatCode="#,#00"/>
    <numFmt numFmtId="214" formatCode="#,"/>
    <numFmt numFmtId="215" formatCode=";;;"/>
    <numFmt numFmtId="216" formatCode="0_)"/>
    <numFmt numFmtId="217" formatCode="_-* #,##0.00\ _€_-;\-* #,##0.00\ _€_-;_-* &quot;-&quot;??\ _€_-;_-@_-"/>
    <numFmt numFmtId="218" formatCode="&quot;Cr$&quot;#,##0_);[Red]\(&quot;Cr$&quot;#,##0\)"/>
    <numFmt numFmtId="219" formatCode="&quot;Cr$&quot;#,##0.00_);[Red]\(&quot;Cr$&quot;#,##0.00\)"/>
    <numFmt numFmtId="220" formatCode="\$#,"/>
    <numFmt numFmtId="221" formatCode="&quot;$&quot;#,#00"/>
    <numFmt numFmtId="222" formatCode="&quot;$&quot;#,"/>
    <numFmt numFmtId="223" formatCode="#,##0.00_);\-#,##0.00_);\-_)"/>
    <numFmt numFmtId="224" formatCode="0.0_)"/>
    <numFmt numFmtId="225" formatCode="[&gt;=0.05]#,##0.0;[&lt;=-0.05]\-#,##0.0;?0.0"/>
    <numFmt numFmtId="226" formatCode="[&gt;=0.05]\(#,##0.0\);[&lt;=-0.05]\(\-#,##0.0\);\(\-\-\);\(@\)"/>
    <numFmt numFmtId="227" formatCode="%#,#00"/>
    <numFmt numFmtId="228" formatCode="[Black][&gt;0.5]#,##0;[Black][&lt;-0.5]\-#,##0;;"/>
    <numFmt numFmtId="229" formatCode="[Black]#,##0.0;[Black]\-#,##0.0;;"/>
    <numFmt numFmtId="230" formatCode="[Black][&gt;0.05]#,##0.0;[Black][&lt;-0.05]\-#,##0.0;;"/>
    <numFmt numFmtId="231" formatCode="#.##000"/>
    <numFmt numFmtId="232" formatCode="dd\-mmm\-yy_)"/>
    <numFmt numFmtId="233" formatCode="#,##0.0____"/>
    <numFmt numFmtId="234" formatCode="#,##0."/>
    <numFmt numFmtId="235" formatCode="#,##0.000000"/>
    <numFmt numFmtId="236" formatCode="#,##0.0_);\-#,##0.0_);\-_)"/>
    <numFmt numFmtId="237" formatCode="###0.00_)"/>
    <numFmt numFmtId="238" formatCode="0_%_);\(0\)_%;0_%_);@_%_)"/>
    <numFmt numFmtId="239" formatCode="_-* #,##0\ &quot;DM&quot;_-;\-* #,##0\ &quot;DM&quot;_-;_-* &quot;-&quot;\ &quot;DM&quot;_-;_-@_-"/>
    <numFmt numFmtId="240" formatCode="_-* #,##0.00\ &quot;DM&quot;_-;\-* #,##0.00\ &quot;DM&quot;_-;_-* &quot;-&quot;??\ &quot;DM&quot;_-;_-@_-"/>
    <numFmt numFmtId="241" formatCode="General\ \ \ \ \ \ "/>
    <numFmt numFmtId="242" formatCode="0.0\ \ \ \ \ \ \ \ "/>
    <numFmt numFmtId="243" formatCode="mmmm\ yyyy"/>
    <numFmt numFmtId="244" formatCode="#,##0.0;\-#,##0.0;\-"/>
    <numFmt numFmtId="245" formatCode="_(* #,##0_);_(* \(#,##0\);_(* &quot;-&quot;??_);_(@_)"/>
    <numFmt numFmtId="246" formatCode="#,##0.000;\-#,##0.000;\-"/>
    <numFmt numFmtId="247" formatCode="#,##0.00_);[Red]\(#,##0.00\);\-"/>
    <numFmt numFmtId="248" formatCode="#,##0_ ;\-#,##0\ "/>
    <numFmt numFmtId="249" formatCode="_([$€-2]* #,##0.0000_);_([$€-2]* \(#,##0.0000\);_([$€-2]* &quot;-&quot;??_)"/>
    <numFmt numFmtId="250" formatCode="_(* #,##0.0_);_(* \(#,##0.0\);_(* &quot;-&quot;??_);_(@_)"/>
    <numFmt numFmtId="251" formatCode="0.00000000"/>
    <numFmt numFmtId="252" formatCode="_([$€-2]* #,##0.000_);_([$€-2]* \(#,##0.000\);_([$€-2]* &quot;-&quot;??_)"/>
    <numFmt numFmtId="253" formatCode="_([$€-2]* #,##0.000000000_);_([$€-2]* \(#,##0.000000000\);_([$€-2]* &quot;-&quot;??_)"/>
    <numFmt numFmtId="254" formatCode="#,##0.00000;\-#,##0.00000;\-"/>
    <numFmt numFmtId="255" formatCode="0.0000"/>
  </numFmts>
  <fonts count="244">
    <font>
      <sz val="11"/>
      <color theme="1"/>
      <name val="Calibri"/>
      <family val="2"/>
      <scheme val="minor"/>
    </font>
    <font>
      <sz val="11"/>
      <color theme="1"/>
      <name val="Calibri"/>
      <family val="2"/>
      <scheme val="minor"/>
    </font>
    <font>
      <b/>
      <sz val="10"/>
      <color theme="1"/>
      <name val="Arial"/>
      <family val="2"/>
    </font>
    <font>
      <sz val="10"/>
      <name val="Arial"/>
      <family val="2"/>
    </font>
    <font>
      <b/>
      <sz val="10"/>
      <color theme="0"/>
      <name val="Arial"/>
      <family val="2"/>
    </font>
    <font>
      <sz val="10"/>
      <color theme="4"/>
      <name val="Arial"/>
      <family val="2"/>
    </font>
    <font>
      <sz val="10"/>
      <color theme="1"/>
      <name val="Arial"/>
      <family val="2"/>
    </font>
    <font>
      <sz val="10"/>
      <color rgb="FF0070C0"/>
      <name val="Arial"/>
      <family val="2"/>
    </font>
    <font>
      <sz val="10"/>
      <color rgb="FF000099"/>
      <name val="Arial"/>
      <family val="2"/>
    </font>
    <font>
      <b/>
      <sz val="10"/>
      <name val="Arial"/>
      <family val="2"/>
    </font>
    <font>
      <sz val="6"/>
      <name val="Arial"/>
      <family val="2"/>
    </font>
    <font>
      <sz val="10"/>
      <color theme="0"/>
      <name val="Arial"/>
      <family val="2"/>
    </font>
    <font>
      <sz val="10"/>
      <color theme="0" tint="-0.499984740745262"/>
      <name val="Arial"/>
      <family val="2"/>
    </font>
    <font>
      <sz val="12"/>
      <color indexed="8"/>
      <name val="TimesNewRomanPS"/>
      <family val="1"/>
    </font>
    <font>
      <sz val="10"/>
      <name val="Verdana"/>
      <family val="2"/>
    </font>
    <font>
      <sz val="10"/>
      <color indexed="12"/>
      <name val="Times New Roman"/>
      <family val="1"/>
    </font>
    <font>
      <sz val="10"/>
      <color indexed="57"/>
      <name val="Times New Roman"/>
      <family val="1"/>
    </font>
    <font>
      <b/>
      <sz val="10"/>
      <color indexed="33"/>
      <name val="Times New Roman"/>
      <family val="1"/>
    </font>
    <font>
      <sz val="12"/>
      <color indexed="24"/>
      <name val="Modern"/>
      <family val="3"/>
      <charset val="255"/>
    </font>
    <font>
      <b/>
      <sz val="18"/>
      <color indexed="24"/>
      <name val="Modern"/>
      <family val="3"/>
      <charset val="255"/>
    </font>
    <font>
      <b/>
      <sz val="12"/>
      <color indexed="24"/>
      <name val="Modern"/>
      <family val="3"/>
      <charset val="255"/>
    </font>
    <font>
      <sz val="12"/>
      <name val="??"/>
      <charset val="134"/>
    </font>
    <font>
      <sz val="10"/>
      <name val="Arial Cyr"/>
      <family val="2"/>
      <charset val="204"/>
    </font>
    <font>
      <sz val="10"/>
      <name val="Helv"/>
      <family val="2"/>
    </font>
    <font>
      <sz val="10"/>
      <name val="Geneva"/>
      <family val="2"/>
    </font>
    <font>
      <sz val="10"/>
      <name val="Geneva"/>
      <family val="2"/>
    </font>
    <font>
      <sz val="10"/>
      <name val="Times New Roman"/>
      <family val="1"/>
    </font>
    <font>
      <sz val="10"/>
      <name val="Arial"/>
      <family val="2"/>
      <charset val="238"/>
    </font>
    <font>
      <sz val="8"/>
      <name val="Arial"/>
      <family val="2"/>
    </font>
    <font>
      <sz val="7"/>
      <name val="Arial"/>
      <family val="2"/>
    </font>
    <font>
      <b/>
      <sz val="8"/>
      <name val="Arial"/>
      <family val="2"/>
    </font>
    <font>
      <sz val="12"/>
      <name val="Times New Roman"/>
      <family val="1"/>
    </font>
    <font>
      <sz val="9"/>
      <name val="Times New Roman"/>
      <family val="1"/>
    </font>
    <font>
      <sz val="10"/>
      <color indexed="12"/>
      <name val="Arial"/>
      <family val="2"/>
    </font>
    <font>
      <b/>
      <u/>
      <sz val="14"/>
      <name val="Arial"/>
      <family val="2"/>
    </font>
    <font>
      <b/>
      <u/>
      <sz val="12"/>
      <name val="Arial"/>
      <family val="2"/>
    </font>
    <font>
      <b/>
      <u/>
      <sz val="10"/>
      <name val="Arial"/>
      <family val="2"/>
    </font>
    <font>
      <u/>
      <sz val="10"/>
      <name val="Arial"/>
      <family val="2"/>
    </font>
    <font>
      <sz val="11"/>
      <color indexed="8"/>
      <name val="Calibri"/>
      <family val="2"/>
    </font>
    <font>
      <sz val="11"/>
      <color indexed="9"/>
      <name val="Calibri"/>
      <family val="2"/>
    </font>
    <font>
      <sz val="10"/>
      <name val="Arial Cyr"/>
      <family val="2"/>
    </font>
    <font>
      <b/>
      <sz val="9"/>
      <name val="Times New Roman"/>
      <family val="1"/>
    </font>
    <font>
      <sz val="9"/>
      <color indexed="8"/>
      <name val="Times New Roman"/>
      <family val="1"/>
    </font>
    <font>
      <sz val="12"/>
      <color indexed="8"/>
      <name val="Times New Roman"/>
      <family val="1"/>
    </font>
    <font>
      <sz val="8"/>
      <color indexed="12"/>
      <name val="Helv"/>
    </font>
    <font>
      <b/>
      <sz val="11"/>
      <color indexed="63"/>
      <name val="Calibri"/>
      <family val="2"/>
    </font>
    <font>
      <sz val="12"/>
      <color indexed="12"/>
      <name val="Times New Roman"/>
      <family val="1"/>
    </font>
    <font>
      <sz val="10"/>
      <color indexed="10"/>
      <name val="Times New Roman"/>
      <family val="1"/>
    </font>
    <font>
      <sz val="10"/>
      <color indexed="50"/>
      <name val="MS Sans Serif"/>
      <family val="2"/>
    </font>
    <font>
      <b/>
      <sz val="11"/>
      <color indexed="52"/>
      <name val="Calibri"/>
      <family val="2"/>
    </font>
    <font>
      <sz val="10"/>
      <name val="Helvetica"/>
      <family val="2"/>
    </font>
    <font>
      <sz val="12"/>
      <name val="Arial"/>
      <family val="2"/>
    </font>
    <font>
      <sz val="10"/>
      <color indexed="12"/>
      <name val="Helvetica"/>
      <family val="2"/>
    </font>
    <font>
      <sz val="10"/>
      <color indexed="20"/>
      <name val="Arial"/>
      <family val="2"/>
    </font>
    <font>
      <sz val="16"/>
      <name val="Arial"/>
      <family val="2"/>
    </font>
    <font>
      <sz val="14"/>
      <color indexed="50"/>
      <name val="Arial"/>
      <family val="2"/>
    </font>
    <font>
      <b/>
      <sz val="8.5"/>
      <color indexed="50"/>
      <name val="Arial"/>
      <family val="2"/>
    </font>
    <font>
      <sz val="8"/>
      <color indexed="8"/>
      <name val="Arial"/>
      <family val="2"/>
    </font>
    <font>
      <b/>
      <sz val="7"/>
      <color indexed="9"/>
      <name val="Arial"/>
      <family val="2"/>
    </font>
    <font>
      <b/>
      <sz val="7"/>
      <name val="Arial"/>
      <family val="2"/>
    </font>
    <font>
      <sz val="7"/>
      <color indexed="8"/>
      <name val="Arial"/>
      <family val="2"/>
    </font>
    <font>
      <sz val="6.5"/>
      <name val="Arial"/>
      <family val="2"/>
    </font>
    <font>
      <sz val="1"/>
      <color indexed="8"/>
      <name val="Courier"/>
      <family val="3"/>
    </font>
    <font>
      <i/>
      <sz val="1"/>
      <color indexed="8"/>
      <name val="Courier"/>
      <family val="3"/>
    </font>
    <font>
      <sz val="10"/>
      <color indexed="9"/>
      <name val="Times New Roman"/>
      <family val="1"/>
    </font>
    <font>
      <b/>
      <sz val="12"/>
      <name val="Arial Rounded MT Bold"/>
      <family val="2"/>
    </font>
    <font>
      <i/>
      <sz val="12"/>
      <name val="Arial"/>
      <family val="2"/>
    </font>
    <font>
      <b/>
      <sz val="10"/>
      <color indexed="10"/>
      <name val="Times New Roman"/>
      <family val="1"/>
    </font>
    <font>
      <sz val="10"/>
      <color indexed="8"/>
      <name val="Verdana"/>
      <family val="2"/>
    </font>
    <font>
      <i/>
      <sz val="10"/>
      <color indexed="8"/>
      <name val="Verdana"/>
      <family val="2"/>
    </font>
    <font>
      <b/>
      <sz val="10"/>
      <color indexed="8"/>
      <name val="Verdana"/>
      <family val="2"/>
    </font>
    <font>
      <sz val="11"/>
      <color indexed="8"/>
      <name val="Verdana"/>
      <family val="2"/>
    </font>
    <font>
      <b/>
      <sz val="11"/>
      <color indexed="8"/>
      <name val="Verdana"/>
      <family val="2"/>
    </font>
    <font>
      <b/>
      <sz val="13"/>
      <color indexed="9"/>
      <name val="Verdana"/>
      <family val="2"/>
    </font>
    <font>
      <sz val="10"/>
      <color indexed="54"/>
      <name val="Verdana"/>
      <family val="2"/>
    </font>
    <font>
      <sz val="11"/>
      <color indexed="8"/>
      <name val="Arial"/>
      <family val="2"/>
    </font>
    <font>
      <sz val="12"/>
      <name val="Helv"/>
      <family val="2"/>
    </font>
    <font>
      <b/>
      <sz val="9"/>
      <color indexed="18"/>
      <name val="Arial"/>
      <family val="2"/>
    </font>
    <font>
      <sz val="11"/>
      <name val="Tms Rmn"/>
    </font>
    <font>
      <sz val="10"/>
      <name val="MS Sans Serif"/>
      <family val="2"/>
    </font>
    <font>
      <sz val="10"/>
      <name val="Calibri"/>
      <family val="2"/>
      <scheme val="minor"/>
    </font>
    <font>
      <sz val="10"/>
      <color indexed="8"/>
      <name val="Calibri"/>
      <family val="2"/>
    </font>
    <font>
      <sz val="10"/>
      <color theme="1"/>
      <name val="Calibri"/>
      <family val="2"/>
      <scheme val="minor"/>
    </font>
    <font>
      <sz val="10"/>
      <name val="System"/>
      <family val="2"/>
    </font>
    <font>
      <b/>
      <sz val="12"/>
      <name val="Helv"/>
      <family val="2"/>
    </font>
    <font>
      <sz val="9"/>
      <name val="Helv"/>
      <family val="2"/>
    </font>
    <font>
      <vertAlign val="superscript"/>
      <sz val="12"/>
      <name val="Helv"/>
      <family val="2"/>
    </font>
    <font>
      <sz val="9"/>
      <name val="Tms Rmn"/>
    </font>
    <font>
      <sz val="11"/>
      <color indexed="62"/>
      <name val="Calibri"/>
      <family val="2"/>
    </font>
    <font>
      <b/>
      <sz val="10"/>
      <color indexed="8"/>
      <name val="Times New Roman"/>
      <family val="1"/>
    </font>
    <font>
      <b/>
      <sz val="11"/>
      <color indexed="8"/>
      <name val="Calibri"/>
      <family val="2"/>
    </font>
    <font>
      <i/>
      <sz val="11"/>
      <color indexed="23"/>
      <name val="Calibri"/>
      <family val="2"/>
    </font>
    <font>
      <b/>
      <sz val="10"/>
      <color indexed="9"/>
      <name val="Arial"/>
      <family val="2"/>
    </font>
    <font>
      <sz val="12"/>
      <name val="Helv"/>
    </font>
    <font>
      <u/>
      <sz val="7.5"/>
      <color indexed="36"/>
      <name val="Arial"/>
      <family val="2"/>
    </font>
    <font>
      <b/>
      <i/>
      <sz val="10"/>
      <name val="Arial"/>
      <family val="2"/>
    </font>
    <font>
      <sz val="9"/>
      <name val="Helvetica"/>
      <family val="2"/>
    </font>
    <font>
      <sz val="10"/>
      <color indexed="8"/>
      <name val="Arial"/>
      <family val="2"/>
    </font>
    <font>
      <sz val="10"/>
      <color indexed="17"/>
      <name val="Times New Roman"/>
      <family val="1"/>
    </font>
    <font>
      <sz val="11"/>
      <color indexed="17"/>
      <name val="Calibri"/>
      <family val="2"/>
    </font>
    <font>
      <b/>
      <sz val="18"/>
      <name val="Arial"/>
      <family val="2"/>
    </font>
    <font>
      <b/>
      <sz val="12"/>
      <name val="Arial"/>
      <family val="2"/>
    </font>
    <font>
      <b/>
      <sz val="11"/>
      <color indexed="8"/>
      <name val="Times New Roman"/>
      <family val="1"/>
    </font>
    <font>
      <b/>
      <sz val="1"/>
      <color indexed="8"/>
      <name val="Courier"/>
      <family val="3"/>
    </font>
    <font>
      <b/>
      <sz val="12"/>
      <name val="Times New Roman"/>
      <family val="1"/>
    </font>
    <font>
      <b/>
      <sz val="9"/>
      <name val="Helv"/>
      <family val="2"/>
    </font>
    <font>
      <sz val="8.5"/>
      <name val="Helv"/>
      <family val="2"/>
    </font>
    <font>
      <b/>
      <sz val="10"/>
      <name val="Helv"/>
      <family val="2"/>
    </font>
    <font>
      <sz val="13"/>
      <name val="Arial"/>
      <family val="2"/>
    </font>
    <font>
      <u/>
      <sz val="10"/>
      <color indexed="12"/>
      <name val="Courier"/>
      <family val="3"/>
    </font>
    <font>
      <u/>
      <sz val="11"/>
      <color theme="10"/>
      <name val="Calibri"/>
      <family val="2"/>
    </font>
    <font>
      <u/>
      <sz val="10"/>
      <color indexed="36"/>
      <name val="Courier"/>
      <family val="3"/>
    </font>
    <font>
      <u/>
      <sz val="5"/>
      <color indexed="12"/>
      <name val="Courier"/>
      <family val="3"/>
    </font>
    <font>
      <u/>
      <sz val="7.5"/>
      <color indexed="12"/>
      <name val="Arial"/>
      <family val="2"/>
    </font>
    <font>
      <u/>
      <sz val="12"/>
      <color indexed="12"/>
      <name val="Times New Roman"/>
      <family val="1"/>
    </font>
    <font>
      <u/>
      <sz val="10"/>
      <color indexed="12"/>
      <name val="Times New Roman"/>
      <family val="1"/>
    </font>
    <font>
      <u/>
      <sz val="9.35"/>
      <color theme="10"/>
      <name val="Calibri"/>
      <family val="2"/>
    </font>
    <font>
      <u/>
      <sz val="10"/>
      <color indexed="36"/>
      <name val="Arial"/>
      <family val="2"/>
    </font>
    <font>
      <sz val="10"/>
      <color indexed="8"/>
      <name val="Helv"/>
      <family val="2"/>
    </font>
    <font>
      <sz val="10"/>
      <color indexed="18"/>
      <name val="Times New Roman"/>
      <family val="1"/>
    </font>
    <font>
      <b/>
      <sz val="10"/>
      <color indexed="12"/>
      <name val="Arial"/>
      <family val="2"/>
    </font>
    <font>
      <b/>
      <sz val="12"/>
      <color indexed="8"/>
      <name val="Times New Roman"/>
      <family val="1"/>
    </font>
    <font>
      <u/>
      <sz val="7.5"/>
      <color indexed="12"/>
      <name val="Times"/>
      <family val="1"/>
    </font>
    <font>
      <u/>
      <sz val="7.5"/>
      <color indexed="36"/>
      <name val="Times"/>
      <family val="1"/>
    </font>
    <font>
      <sz val="8"/>
      <color indexed="8"/>
      <name val="Helv"/>
    </font>
    <font>
      <u/>
      <sz val="10"/>
      <name val="Times New Roman"/>
      <family val="1"/>
    </font>
    <font>
      <sz val="12"/>
      <name val="Arial MT"/>
      <family val="2"/>
    </font>
    <font>
      <sz val="10"/>
      <color indexed="19"/>
      <name val="Times New Roman"/>
      <family val="1"/>
    </font>
    <font>
      <i/>
      <sz val="10"/>
      <name val="Arial"/>
      <family val="2"/>
    </font>
    <font>
      <sz val="10"/>
      <name val="Tms Rmn"/>
    </font>
    <font>
      <sz val="12"/>
      <name val="Tms Rmn"/>
    </font>
    <font>
      <sz val="10"/>
      <name val="Calibri"/>
      <family val="2"/>
    </font>
    <font>
      <sz val="10"/>
      <name val="Courier"/>
      <family val="3"/>
    </font>
    <font>
      <sz val="10"/>
      <color theme="1"/>
      <name val="Arial"/>
      <family val="2"/>
      <charset val="238"/>
    </font>
    <font>
      <sz val="8.25"/>
      <name val="Microsoft Sans Serif"/>
      <family val="2"/>
    </font>
    <font>
      <sz val="8"/>
      <name val="Helvetica"/>
      <family val="2"/>
    </font>
    <font>
      <sz val="11"/>
      <color theme="1"/>
      <name val="Calibri"/>
      <family val="2"/>
      <charset val="238"/>
      <scheme val="minor"/>
    </font>
    <font>
      <i/>
      <sz val="10"/>
      <name val="Helv"/>
      <family val="2"/>
    </font>
    <font>
      <sz val="11"/>
      <name val="Times New Roman"/>
      <family val="1"/>
    </font>
    <font>
      <b/>
      <sz val="10"/>
      <color indexed="9"/>
      <name val="Times New Roman"/>
      <family val="1"/>
    </font>
    <font>
      <b/>
      <sz val="10"/>
      <name val="MS Sans Serif"/>
      <family val="2"/>
    </font>
    <font>
      <sz val="10"/>
      <name val="Helv"/>
    </font>
    <font>
      <sz val="10"/>
      <color indexed="10"/>
      <name val="MS Sans Serif"/>
      <family val="2"/>
    </font>
    <font>
      <sz val="10"/>
      <color rgb="FF3211FB"/>
      <name val="Arial"/>
      <family val="2"/>
    </font>
    <font>
      <b/>
      <sz val="10"/>
      <color rgb="FF3211FB"/>
      <name val="Arial"/>
      <family val="2"/>
    </font>
    <font>
      <sz val="10"/>
      <name val="NewtonCTT"/>
      <family val="2"/>
    </font>
    <font>
      <b/>
      <sz val="11"/>
      <color indexed="18"/>
      <name val="Arial"/>
      <family val="2"/>
    </font>
    <font>
      <b/>
      <i/>
      <sz val="11"/>
      <color indexed="18"/>
      <name val="Arial"/>
      <family val="2"/>
    </font>
    <font>
      <sz val="9"/>
      <name val="Arial"/>
      <family val="2"/>
    </font>
    <font>
      <b/>
      <sz val="10"/>
      <color indexed="8"/>
      <name val="Arial"/>
      <family val="2"/>
    </font>
    <font>
      <sz val="12"/>
      <color indexed="9"/>
      <name val="MS Sans Serif"/>
      <family val="2"/>
    </font>
    <font>
      <sz val="11"/>
      <color indexed="9"/>
      <name val="Arial"/>
      <family val="2"/>
    </font>
    <font>
      <sz val="11"/>
      <name val="Arial"/>
      <family val="2"/>
    </font>
    <font>
      <b/>
      <sz val="11"/>
      <color indexed="9"/>
      <name val="Arial"/>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sz val="10"/>
      <color indexed="18"/>
      <name val="Arial"/>
      <family val="2"/>
    </font>
    <font>
      <sz val="10"/>
      <color indexed="9"/>
      <name val="Arial"/>
      <family val="2"/>
    </font>
    <font>
      <sz val="12"/>
      <color indexed="56"/>
      <name val="Arial"/>
      <family val="2"/>
    </font>
    <font>
      <i/>
      <sz val="12"/>
      <color indexed="56"/>
      <name val="Arial"/>
      <family val="2"/>
    </font>
    <font>
      <sz val="11"/>
      <color indexed="56"/>
      <name val="Arial"/>
      <family val="2"/>
    </font>
    <font>
      <i/>
      <sz val="11"/>
      <color indexed="56"/>
      <name val="Arial"/>
      <family val="2"/>
    </font>
    <font>
      <b/>
      <sz val="11"/>
      <color indexed="56"/>
      <name val="Arial"/>
      <family val="2"/>
    </font>
    <font>
      <b/>
      <i/>
      <sz val="11"/>
      <color indexed="56"/>
      <name val="Arial"/>
      <family val="2"/>
    </font>
    <font>
      <sz val="18"/>
      <color indexed="18"/>
      <name val="Arial"/>
      <family val="2"/>
    </font>
    <font>
      <sz val="11"/>
      <color indexed="10"/>
      <name val="Arial"/>
      <family val="2"/>
    </font>
    <font>
      <sz val="11"/>
      <color indexed="20"/>
      <name val="Calibri"/>
      <family val="2"/>
    </font>
    <font>
      <b/>
      <sz val="14"/>
      <color indexed="12"/>
      <name val="Arial"/>
      <family val="2"/>
    </font>
    <font>
      <sz val="10"/>
      <color indexed="17"/>
      <name val="Arial"/>
      <family val="2"/>
    </font>
    <font>
      <b/>
      <sz val="18"/>
      <color indexed="8"/>
      <name val="Cambria"/>
      <family val="1"/>
    </font>
    <font>
      <sz val="8"/>
      <name val="Helv"/>
      <family val="2"/>
    </font>
    <font>
      <b/>
      <sz val="10"/>
      <color indexed="63"/>
      <name val="Arial"/>
      <family val="2"/>
    </font>
    <font>
      <sz val="8"/>
      <color indexed="9"/>
      <name val="Arial"/>
      <family val="2"/>
    </font>
    <font>
      <b/>
      <sz val="12"/>
      <color indexed="18"/>
      <name val="Arial"/>
      <family val="2"/>
    </font>
    <font>
      <b/>
      <sz val="9"/>
      <name val="Palatino"/>
      <family val="1"/>
    </font>
    <font>
      <sz val="9"/>
      <name val="Helvetica-Black"/>
      <family val="2"/>
    </font>
    <font>
      <sz val="7"/>
      <name val="Palatino"/>
      <family val="1"/>
    </font>
    <font>
      <b/>
      <sz val="14"/>
      <name val="Helv"/>
      <family val="2"/>
    </font>
    <font>
      <sz val="8"/>
      <name val="Helv"/>
    </font>
    <font>
      <b/>
      <sz val="18"/>
      <color indexed="56"/>
      <name val="Cambria"/>
      <family val="1"/>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0"/>
      <name val="Times New Roman"/>
      <family val="1"/>
    </font>
    <font>
      <b/>
      <i/>
      <sz val="10"/>
      <name val="Times New Roman"/>
      <family val="1"/>
    </font>
    <font>
      <vertAlign val="superscript"/>
      <sz val="9"/>
      <color indexed="8"/>
      <name val="Times New Roman"/>
      <family val="1"/>
    </font>
    <font>
      <b/>
      <sz val="10"/>
      <name val="Helvetica"/>
      <family val="2"/>
    </font>
    <font>
      <b/>
      <sz val="11"/>
      <color indexed="9"/>
      <name val="Calibri"/>
      <family val="2"/>
    </font>
    <font>
      <sz val="12"/>
      <name val="宋体"/>
      <charset val="134"/>
    </font>
    <font>
      <sz val="6"/>
      <color theme="1"/>
      <name val="Arial"/>
      <family val="2"/>
    </font>
    <font>
      <i/>
      <sz val="10"/>
      <color theme="1"/>
      <name val="Arial"/>
      <family val="2"/>
    </font>
    <font>
      <sz val="11"/>
      <color theme="1"/>
      <name val="Arial"/>
      <family val="2"/>
    </font>
    <font>
      <sz val="10"/>
      <color theme="0" tint="-0.249977111117893"/>
      <name val="Arial"/>
      <family val="2"/>
    </font>
    <font>
      <b/>
      <sz val="6"/>
      <color theme="1"/>
      <name val="Arial"/>
      <family val="2"/>
    </font>
    <font>
      <b/>
      <sz val="18"/>
      <color theme="0"/>
      <name val="Arial"/>
      <family val="2"/>
    </font>
    <font>
      <b/>
      <sz val="11"/>
      <color theme="1"/>
      <name val="Calibri"/>
      <family val="2"/>
      <scheme val="minor"/>
    </font>
    <font>
      <i/>
      <sz val="11"/>
      <color theme="1"/>
      <name val="Calibri"/>
      <family val="2"/>
      <scheme val="minor"/>
    </font>
    <font>
      <b/>
      <i/>
      <sz val="10"/>
      <color theme="1"/>
      <name val="Arial"/>
      <family val="2"/>
    </font>
    <font>
      <b/>
      <sz val="12"/>
      <color theme="1"/>
      <name val="Calibri"/>
      <family val="2"/>
      <scheme val="minor"/>
    </font>
    <font>
      <b/>
      <sz val="22"/>
      <color theme="0"/>
      <name val="Calibri"/>
      <family val="2"/>
      <scheme val="minor"/>
    </font>
    <font>
      <b/>
      <sz val="12"/>
      <color theme="0"/>
      <name val="Calibri"/>
      <family val="2"/>
      <scheme val="minor"/>
    </font>
    <font>
      <sz val="10"/>
      <color rgb="FFFF0000"/>
      <name val="Arial"/>
      <family val="2"/>
    </font>
    <font>
      <sz val="11"/>
      <color theme="0"/>
      <name val="Calibri"/>
      <family val="2"/>
      <scheme val="minor"/>
    </font>
    <font>
      <sz val="10"/>
      <color theme="0" tint="-0.14999847407452621"/>
      <name val="Arial"/>
      <family val="2"/>
    </font>
    <font>
      <i/>
      <sz val="10"/>
      <color theme="0" tint="-0.14999847407452621"/>
      <name val="Arial"/>
      <family val="2"/>
    </font>
    <font>
      <b/>
      <sz val="14"/>
      <color theme="1"/>
      <name val="Arial"/>
      <family val="2"/>
    </font>
    <font>
      <b/>
      <sz val="24"/>
      <color theme="0"/>
      <name val="Arial"/>
      <family val="2"/>
    </font>
    <font>
      <sz val="10"/>
      <color theme="4" tint="-0.249977111117893"/>
      <name val="Arial"/>
      <family val="2"/>
    </font>
    <font>
      <i/>
      <sz val="10"/>
      <color rgb="FF0070C0"/>
      <name val="Arial"/>
      <family val="2"/>
    </font>
    <font>
      <b/>
      <sz val="9"/>
      <color rgb="FF000000"/>
      <name val="Tahoma"/>
      <family val="2"/>
    </font>
    <font>
      <sz val="9"/>
      <color rgb="FF000000"/>
      <name val="Tahoma"/>
      <family val="2"/>
    </font>
    <font>
      <u/>
      <sz val="11"/>
      <color theme="10"/>
      <name val="Calibri"/>
      <family val="2"/>
      <scheme val="minor"/>
    </font>
    <font>
      <u/>
      <sz val="10"/>
      <color theme="10"/>
      <name val="Arial"/>
      <family val="2"/>
    </font>
    <font>
      <sz val="10"/>
      <color rgb="FF000000"/>
      <name val="Arial"/>
      <family val="34"/>
    </font>
    <font>
      <b/>
      <sz val="10"/>
      <color rgb="FF000000"/>
      <name val="Arial"/>
      <family val="34"/>
    </font>
    <font>
      <b/>
      <sz val="10"/>
      <color rgb="FF000000"/>
      <name val="Arial"/>
      <family val="2"/>
    </font>
    <font>
      <sz val="10"/>
      <color rgb="FF000000"/>
      <name val="Arial"/>
      <family val="2"/>
    </font>
    <font>
      <sz val="9"/>
      <color indexed="81"/>
      <name val="Tahoma"/>
      <family val="2"/>
    </font>
    <font>
      <b/>
      <sz val="9"/>
      <color indexed="81"/>
      <name val="Tahoma"/>
      <family val="2"/>
    </font>
    <font>
      <sz val="10"/>
      <color rgb="FF000000"/>
      <name val="Tahoma"/>
      <family val="2"/>
    </font>
    <font>
      <b/>
      <sz val="10"/>
      <color rgb="FF000000"/>
      <name val="Tahoma"/>
      <family val="2"/>
    </font>
    <font>
      <b/>
      <sz val="10"/>
      <color indexed="81"/>
      <name val="Arial"/>
      <family val="2"/>
    </font>
    <font>
      <sz val="10"/>
      <color indexed="81"/>
      <name val="Arial"/>
      <family val="2"/>
    </font>
    <font>
      <sz val="11"/>
      <color theme="1"/>
      <name val="Symbol"/>
      <family val="1"/>
      <charset val="2"/>
    </font>
    <font>
      <sz val="8"/>
      <name val="Calibri"/>
      <family val="2"/>
      <scheme val="minor"/>
    </font>
    <font>
      <sz val="11"/>
      <color rgb="FF000000"/>
      <name val="Calibri"/>
      <family val="2"/>
    </font>
    <font>
      <sz val="11"/>
      <color theme="1"/>
      <name val="Noto Sans"/>
      <family val="2"/>
    </font>
    <font>
      <u/>
      <sz val="11"/>
      <color theme="10"/>
      <name val="Noto Sans"/>
      <family val="2"/>
    </font>
    <font>
      <i/>
      <sz val="11"/>
      <color theme="1"/>
      <name val="Noto Sans"/>
      <family val="2"/>
    </font>
    <font>
      <i/>
      <sz val="36"/>
      <color theme="1"/>
      <name val="Cabinet Grotesk"/>
      <family val="3"/>
    </font>
    <font>
      <i/>
      <sz val="18"/>
      <color theme="1"/>
      <name val="Cabinet Grotesk"/>
      <family val="3"/>
    </font>
    <font>
      <b/>
      <sz val="12"/>
      <color theme="0"/>
      <name val="Noto Sans"/>
      <family val="2"/>
    </font>
    <font>
      <b/>
      <sz val="18"/>
      <color theme="0"/>
      <name val="Cabinet Grotesk"/>
      <family val="3"/>
    </font>
    <font>
      <b/>
      <sz val="12"/>
      <color rgb="FF000000"/>
      <name val="Noto Sans"/>
      <family val="2"/>
    </font>
    <font>
      <b/>
      <sz val="36"/>
      <color theme="0"/>
      <name val="Cabinet Grotesk"/>
      <family val="3"/>
    </font>
    <font>
      <b/>
      <sz val="11"/>
      <color theme="0"/>
      <name val="Arial"/>
      <family val="2"/>
    </font>
    <font>
      <b/>
      <sz val="11"/>
      <name val="Arial"/>
      <family val="2"/>
    </font>
    <font>
      <sz val="18"/>
      <color theme="0"/>
      <name val="Arial"/>
      <family val="2"/>
    </font>
    <font>
      <sz val="18"/>
      <color theme="1"/>
      <name val="Arial"/>
      <family val="2"/>
    </font>
    <font>
      <b/>
      <sz val="14"/>
      <color theme="0"/>
      <name val="Arial"/>
      <family val="2"/>
    </font>
  </fonts>
  <fills count="78">
    <fill>
      <patternFill patternType="none"/>
    </fill>
    <fill>
      <patternFill patternType="gray125"/>
    </fill>
    <fill>
      <patternFill patternType="solid">
        <fgColor theme="0"/>
        <bgColor indexed="64"/>
      </patternFill>
    </fill>
    <fill>
      <patternFill patternType="solid">
        <fgColor indexed="9"/>
        <bgColor indexed="9"/>
      </patternFill>
    </fill>
    <fill>
      <patternFill patternType="solid">
        <fgColor indexed="41"/>
        <bgColor indexed="64"/>
      </patternFill>
    </fill>
    <fill>
      <patternFill patternType="solid">
        <fgColor indexed="43"/>
        <bgColor indexed="64"/>
      </patternFill>
    </fill>
    <fill>
      <patternFill patternType="solid">
        <fgColor indexed="3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7"/>
        <bgColor indexed="64"/>
      </patternFill>
    </fill>
    <fill>
      <patternFill patternType="solid">
        <fgColor indexed="42"/>
        <bgColor indexed="64"/>
      </patternFill>
    </fill>
    <fill>
      <patternFill patternType="solid">
        <fgColor indexed="47"/>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24"/>
        <bgColor indexed="64"/>
      </patternFill>
    </fill>
    <fill>
      <patternFill patternType="lightUp">
        <fgColor indexed="9"/>
        <bgColor indexed="27"/>
      </patternFill>
    </fill>
    <fill>
      <patternFill patternType="lightUp">
        <fgColor indexed="9"/>
        <bgColor indexed="26"/>
      </patternFill>
    </fill>
    <fill>
      <patternFill patternType="solid">
        <fgColor indexed="10"/>
        <bgColor indexed="64"/>
      </patternFill>
    </fill>
    <fill>
      <patternFill patternType="solid">
        <fgColor indexed="22"/>
        <bgColor indexed="9"/>
      </patternFill>
    </fill>
    <fill>
      <patternFill patternType="solid">
        <fgColor indexed="43"/>
        <bgColor indexed="43"/>
      </patternFill>
    </fill>
    <fill>
      <patternFill patternType="solid">
        <fgColor indexed="26"/>
      </patternFill>
    </fill>
    <fill>
      <patternFill patternType="solid">
        <fgColor indexed="8"/>
        <bgColor indexed="8"/>
      </patternFill>
    </fill>
    <fill>
      <patternFill patternType="mediumGray">
        <fgColor indexed="22"/>
      </patternFill>
    </fill>
    <fill>
      <patternFill patternType="solid">
        <fgColor rgb="FFCCFFCC"/>
        <bgColor auto="1"/>
      </patternFill>
    </fill>
    <fill>
      <patternFill patternType="solid">
        <fgColor rgb="FFCCFFCC"/>
      </patternFill>
    </fill>
    <fill>
      <patternFill patternType="solid">
        <fgColor rgb="FFFFFF99"/>
        <bgColor indexed="64"/>
      </patternFill>
    </fill>
    <fill>
      <patternFill patternType="solid">
        <fgColor indexed="43"/>
      </patternFill>
    </fill>
    <fill>
      <patternFill patternType="solid">
        <fgColor indexed="54"/>
        <bgColor indexed="64"/>
      </patternFill>
    </fill>
    <fill>
      <patternFill patternType="solid">
        <fgColor indexed="21"/>
        <bgColor indexed="64"/>
      </patternFill>
    </fill>
    <fill>
      <patternFill patternType="solid">
        <fgColor indexed="50"/>
      </patternFill>
    </fill>
    <fill>
      <patternFill patternType="lightUp">
        <fgColor indexed="54"/>
        <bgColor indexed="41"/>
      </patternFill>
    </fill>
    <fill>
      <patternFill patternType="solid">
        <fgColor indexed="44"/>
        <bgColor indexed="64"/>
      </patternFill>
    </fill>
    <fill>
      <patternFill patternType="solid">
        <fgColor indexed="54"/>
      </patternFill>
    </fill>
    <fill>
      <patternFill patternType="solid">
        <fgColor indexed="40"/>
      </patternFill>
    </fill>
    <fill>
      <patternFill patternType="solid">
        <fgColor indexed="41"/>
      </patternFill>
    </fill>
    <fill>
      <patternFill patternType="solid">
        <fgColor indexed="9"/>
      </patternFill>
    </fill>
    <fill>
      <patternFill patternType="solid">
        <fgColor indexed="55"/>
        <bgColor indexed="64"/>
      </patternFill>
    </fill>
    <fill>
      <patternFill patternType="solid">
        <fgColor indexed="62"/>
        <bgColor indexed="64"/>
      </patternFill>
    </fill>
    <fill>
      <patternFill patternType="solid">
        <fgColor indexed="22"/>
        <bgColor indexed="55"/>
      </patternFill>
    </fill>
    <fill>
      <patternFill patternType="solid">
        <fgColor indexed="55"/>
      </patternFill>
    </fill>
    <fill>
      <patternFill patternType="solid">
        <fgColor rgb="FF00B050"/>
        <bgColor indexed="64"/>
      </patternFill>
    </fill>
    <fill>
      <patternFill patternType="solid">
        <fgColor theme="0" tint="-0.14999847407452621"/>
        <bgColor indexed="64"/>
      </patternFill>
    </fill>
    <fill>
      <patternFill patternType="solid">
        <fgColor rgb="FF0070C0"/>
        <bgColor indexed="64"/>
      </patternFill>
    </fill>
    <fill>
      <patternFill patternType="solid">
        <fgColor theme="9" tint="-0.49998474074526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00545A"/>
        <bgColor indexed="64"/>
      </patternFill>
    </fill>
    <fill>
      <patternFill patternType="solid">
        <fgColor rgb="FFFF7D5F"/>
        <bgColor indexed="64"/>
      </patternFill>
    </fill>
    <fill>
      <patternFill patternType="solid">
        <fgColor rgb="FF00C9C8"/>
        <bgColor indexed="64"/>
      </patternFill>
    </fill>
    <fill>
      <patternFill patternType="solid">
        <fgColor rgb="FFC5325D"/>
        <bgColor indexed="64"/>
      </patternFill>
    </fill>
    <fill>
      <patternFill patternType="solid">
        <fgColor rgb="FFFFD66D"/>
        <bgColor indexed="64"/>
      </patternFill>
    </fill>
    <fill>
      <patternFill patternType="solid">
        <fgColor rgb="FFB3EFEF"/>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style="double">
        <color indexed="64"/>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8"/>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bottom style="thin">
        <color indexed="50"/>
      </bottom>
      <diagonal/>
    </border>
    <border>
      <left style="thin">
        <color indexed="62"/>
      </left>
      <right style="thin">
        <color indexed="62"/>
      </right>
      <top style="thin">
        <color indexed="62"/>
      </top>
      <bottom style="thin">
        <color indexed="62"/>
      </bottom>
      <diagonal/>
    </border>
    <border>
      <left/>
      <right/>
      <top style="medium">
        <color auto="1"/>
      </top>
      <bottom/>
      <diagonal/>
    </border>
    <border>
      <left style="thin">
        <color auto="1"/>
      </left>
      <right style="thin">
        <color auto="1"/>
      </right>
      <top style="thin">
        <color auto="1"/>
      </top>
      <bottom style="thin">
        <color auto="1"/>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bottom style="thin">
        <color indexed="22"/>
      </bottom>
      <diagonal/>
    </border>
    <border>
      <left style="medium">
        <color indexed="64"/>
      </left>
      <right style="medium">
        <color indexed="64"/>
      </right>
      <top style="thin">
        <color indexed="64"/>
      </top>
      <bottom style="medium">
        <color indexed="64"/>
      </bottom>
      <diagonal/>
    </border>
    <border>
      <left/>
      <right/>
      <top style="thin">
        <color indexed="62"/>
      </top>
      <bottom style="double">
        <color indexed="62"/>
      </bottom>
      <diagonal/>
    </border>
    <border>
      <left/>
      <right/>
      <top/>
      <bottom style="medium">
        <color indexed="31"/>
      </bottom>
      <diagonal/>
    </border>
    <border>
      <left/>
      <right/>
      <top/>
      <bottom style="hair">
        <color indexed="64"/>
      </bottom>
      <diagonal/>
    </border>
    <border>
      <left/>
      <right style="thin">
        <color indexed="64"/>
      </right>
      <top/>
      <bottom style="medium">
        <color indexed="6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double">
        <color indexed="8"/>
      </left>
      <right/>
      <top/>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style="double">
        <color indexed="64"/>
      </left>
      <right style="thin">
        <color indexed="64"/>
      </right>
      <top style="thin">
        <color indexed="64"/>
      </top>
      <bottom style="thin">
        <color indexed="64"/>
      </bottom>
      <diagonal/>
    </border>
    <border>
      <left/>
      <right/>
      <top/>
      <bottom style="thick">
        <color indexed="44"/>
      </bottom>
      <diagonal/>
    </border>
    <border>
      <left style="thin">
        <color indexed="48"/>
      </left>
      <right style="thin">
        <color indexed="48"/>
      </right>
      <top style="thin">
        <color indexed="48"/>
      </top>
      <bottom style="thin">
        <color indexed="48"/>
      </bottom>
      <diagonal/>
    </border>
    <border>
      <left/>
      <right style="medium">
        <color indexed="64"/>
      </right>
      <top/>
      <bottom/>
      <diagonal/>
    </border>
    <border>
      <left/>
      <right/>
      <top style="thick">
        <color indexed="48"/>
      </top>
      <bottom/>
      <diagonal/>
    </border>
    <border>
      <left/>
      <right/>
      <top style="thin">
        <color indexed="64"/>
      </top>
      <bottom style="thick">
        <color indexed="64"/>
      </bottom>
      <diagonal/>
    </border>
    <border>
      <left/>
      <right/>
      <top/>
      <bottom style="hair">
        <color indexed="8"/>
      </bottom>
      <diagonal/>
    </border>
    <border>
      <left style="double">
        <color indexed="64"/>
      </left>
      <right style="thin">
        <color indexed="64"/>
      </right>
      <top style="double">
        <color indexed="64"/>
      </top>
      <bottom style="thin">
        <color indexed="64"/>
      </bottom>
      <diagonal/>
    </border>
    <border>
      <left/>
      <right/>
      <top style="double">
        <color indexed="8"/>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8"/>
      </left>
      <right/>
      <top/>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diagonal/>
    </border>
    <border>
      <left/>
      <right style="thin">
        <color auto="1"/>
      </right>
      <top style="thin">
        <color auto="1"/>
      </top>
      <bottom style="thin">
        <color indexed="64"/>
      </bottom>
      <diagonal/>
    </border>
  </borders>
  <cellStyleXfs count="2752">
    <xf numFmtId="169" fontId="0" fillId="0" borderId="0"/>
    <xf numFmtId="9" fontId="1" fillId="0" borderId="0" applyFont="0" applyFill="0" applyBorder="0" applyAlignment="0" applyProtection="0"/>
    <xf numFmtId="210" fontId="1" fillId="0" borderId="0"/>
    <xf numFmtId="210" fontId="13" fillId="3" borderId="16"/>
    <xf numFmtId="210" fontId="14" fillId="0" borderId="0"/>
    <xf numFmtId="210" fontId="14" fillId="0" borderId="0"/>
    <xf numFmtId="210" fontId="15" fillId="4" borderId="17" applyNumberFormat="0"/>
    <xf numFmtId="210" fontId="16" fillId="5" borderId="0" applyNumberFormat="0" applyProtection="0"/>
    <xf numFmtId="210" fontId="17" fillId="0" borderId="0"/>
    <xf numFmtId="210" fontId="3" fillId="0" borderId="0"/>
    <xf numFmtId="210" fontId="18" fillId="0" borderId="0" applyProtection="0"/>
    <xf numFmtId="210" fontId="18" fillId="0" borderId="0"/>
    <xf numFmtId="210" fontId="18" fillId="0" borderId="11" applyProtection="0"/>
    <xf numFmtId="2" fontId="18" fillId="0" borderId="0" applyProtection="0"/>
    <xf numFmtId="4" fontId="18" fillId="0" borderId="0" applyProtection="0"/>
    <xf numFmtId="210" fontId="19" fillId="0" borderId="0" applyProtection="0"/>
    <xf numFmtId="210" fontId="20" fillId="0" borderId="0" applyProtection="0"/>
    <xf numFmtId="210" fontId="18" fillId="0" borderId="0"/>
    <xf numFmtId="210" fontId="21" fillId="0" borderId="0"/>
    <xf numFmtId="210" fontId="22" fillId="0" borderId="0"/>
    <xf numFmtId="210" fontId="23" fillId="0" borderId="0"/>
    <xf numFmtId="210" fontId="3" fillId="0" borderId="0"/>
    <xf numFmtId="210" fontId="3" fillId="0" borderId="0"/>
    <xf numFmtId="210" fontId="3" fillId="0" borderId="0"/>
    <xf numFmtId="210" fontId="3" fillId="0" borderId="0"/>
    <xf numFmtId="210" fontId="3" fillId="0" borderId="0"/>
    <xf numFmtId="210" fontId="3" fillId="0" borderId="0"/>
    <xf numFmtId="210" fontId="3" fillId="0" borderId="0"/>
    <xf numFmtId="210" fontId="3" fillId="0" borderId="0"/>
    <xf numFmtId="210" fontId="3" fillId="0" borderId="0"/>
    <xf numFmtId="210" fontId="3" fillId="0" borderId="0"/>
    <xf numFmtId="210" fontId="3" fillId="0" borderId="0"/>
    <xf numFmtId="210" fontId="3" fillId="0" borderId="0"/>
    <xf numFmtId="174" fontId="3" fillId="0" borderId="0">
      <alignment horizontal="left" wrapText="1"/>
    </xf>
    <xf numFmtId="174" fontId="3" fillId="0" borderId="0">
      <alignment horizontal="left" wrapText="1"/>
    </xf>
    <xf numFmtId="210" fontId="24" fillId="0" borderId="0"/>
    <xf numFmtId="210" fontId="24" fillId="0" borderId="0"/>
    <xf numFmtId="210" fontId="25" fillId="0" borderId="0"/>
    <xf numFmtId="210" fontId="24" fillId="0" borderId="0"/>
    <xf numFmtId="210" fontId="24" fillId="0" borderId="0"/>
    <xf numFmtId="210" fontId="3" fillId="0" borderId="0"/>
    <xf numFmtId="210" fontId="3" fillId="0" borderId="0"/>
    <xf numFmtId="210" fontId="23" fillId="0" borderId="0"/>
    <xf numFmtId="210" fontId="23" fillId="0" borderId="0"/>
    <xf numFmtId="175" fontId="3" fillId="0" borderId="0"/>
    <xf numFmtId="210" fontId="26" fillId="0" borderId="0"/>
    <xf numFmtId="210" fontId="27" fillId="0" borderId="0">
      <alignment vertical="center"/>
    </xf>
    <xf numFmtId="210" fontId="27" fillId="0" borderId="0">
      <alignment vertical="center"/>
    </xf>
    <xf numFmtId="210" fontId="28" fillId="0" borderId="3" applyNumberFormat="0" applyFont="0" applyAlignment="0">
      <alignment vertical="center"/>
    </xf>
    <xf numFmtId="210" fontId="29" fillId="0" borderId="0" applyFill="0" applyBorder="0">
      <alignment vertical="center"/>
    </xf>
    <xf numFmtId="176" fontId="30" fillId="0" borderId="0" applyFill="0" applyBorder="0">
      <alignment horizontal="right" vertical="center"/>
    </xf>
    <xf numFmtId="176" fontId="28" fillId="0" borderId="0" applyFill="0" applyBorder="0">
      <alignment horizontal="right" vertical="center"/>
    </xf>
    <xf numFmtId="171" fontId="28" fillId="0" borderId="0" applyFill="0" applyBorder="0">
      <alignment horizontal="right" vertical="center"/>
    </xf>
    <xf numFmtId="210" fontId="30" fillId="0" borderId="3" applyFill="0" applyBorder="0">
      <alignment vertical="center"/>
    </xf>
    <xf numFmtId="210" fontId="31" fillId="0" borderId="0"/>
    <xf numFmtId="210" fontId="31" fillId="0" borderId="0"/>
    <xf numFmtId="210" fontId="31" fillId="0" borderId="0"/>
    <xf numFmtId="177" fontId="3" fillId="5" borderId="0"/>
    <xf numFmtId="178" fontId="26" fillId="0" borderId="0" applyFont="0" applyFill="0" applyBorder="0" applyAlignment="0" applyProtection="0"/>
    <xf numFmtId="178" fontId="32" fillId="0" borderId="0" applyFont="0" applyFill="0" applyBorder="0" applyAlignment="0" applyProtection="0"/>
    <xf numFmtId="179" fontId="3" fillId="6" borderId="0"/>
    <xf numFmtId="180" fontId="3" fillId="5" borderId="0"/>
    <xf numFmtId="181" fontId="3" fillId="5" borderId="0"/>
    <xf numFmtId="182" fontId="3" fillId="5" borderId="0">
      <alignment horizontal="right"/>
    </xf>
    <xf numFmtId="180" fontId="33" fillId="5" borderId="0"/>
    <xf numFmtId="180" fontId="34" fillId="0" borderId="0"/>
    <xf numFmtId="180" fontId="35" fillId="0" borderId="0"/>
    <xf numFmtId="180" fontId="36" fillId="0" borderId="0"/>
    <xf numFmtId="180" fontId="37" fillId="0" borderId="0"/>
    <xf numFmtId="177" fontId="3" fillId="0" borderId="0"/>
    <xf numFmtId="183" fontId="26" fillId="0" borderId="0" applyFont="0" applyFill="0" applyBorder="0" applyAlignment="0" applyProtection="0"/>
    <xf numFmtId="183" fontId="32" fillId="0" borderId="0" applyFont="0" applyFill="0" applyBorder="0" applyAlignment="0" applyProtection="0"/>
    <xf numFmtId="184" fontId="3" fillId="0" borderId="0">
      <alignment horizontal="right"/>
    </xf>
    <xf numFmtId="185" fontId="3" fillId="0" borderId="0">
      <alignment horizontal="center"/>
    </xf>
    <xf numFmtId="179" fontId="33" fillId="0" borderId="0"/>
    <xf numFmtId="210" fontId="38" fillId="7" borderId="0" applyNumberFormat="0" applyBorder="0" applyAlignment="0" applyProtection="0"/>
    <xf numFmtId="210" fontId="38" fillId="8" borderId="0" applyNumberFormat="0" applyBorder="0" applyAlignment="0" applyProtection="0"/>
    <xf numFmtId="210" fontId="38" fillId="9" borderId="0" applyNumberFormat="0" applyBorder="0" applyAlignment="0" applyProtection="0"/>
    <xf numFmtId="210" fontId="38" fillId="10" borderId="0" applyNumberFormat="0" applyBorder="0" applyAlignment="0" applyProtection="0"/>
    <xf numFmtId="210" fontId="38" fillId="11" borderId="0" applyNumberFormat="0" applyBorder="0" applyAlignment="0" applyProtection="0"/>
    <xf numFmtId="210" fontId="38" fillId="12" borderId="0" applyNumberFormat="0" applyBorder="0" applyAlignment="0" applyProtection="0"/>
    <xf numFmtId="210" fontId="3" fillId="0" borderId="0" applyNumberFormat="0" applyFont="0" applyFill="0" applyBorder="0" applyProtection="0">
      <alignment horizontal="left" vertical="center" indent="2"/>
    </xf>
    <xf numFmtId="186" fontId="26" fillId="0" borderId="0" applyFont="0" applyFill="0" applyBorder="0" applyAlignment="0" applyProtection="0"/>
    <xf numFmtId="186" fontId="32" fillId="0" borderId="0" applyFont="0" applyFill="0" applyBorder="0" applyAlignment="0" applyProtection="0"/>
    <xf numFmtId="187" fontId="26" fillId="0" borderId="0" applyFont="0" applyFill="0" applyBorder="0" applyAlignment="0" applyProtection="0"/>
    <xf numFmtId="187" fontId="32" fillId="0" borderId="0" applyFont="0" applyFill="0" applyBorder="0" applyAlignment="0" applyProtection="0"/>
    <xf numFmtId="210" fontId="38" fillId="13" borderId="0" applyNumberFormat="0" applyBorder="0" applyAlignment="0" applyProtection="0"/>
    <xf numFmtId="210" fontId="38" fillId="14" borderId="0" applyNumberFormat="0" applyBorder="0" applyAlignment="0" applyProtection="0"/>
    <xf numFmtId="210" fontId="38" fillId="15" borderId="0" applyNumberFormat="0" applyBorder="0" applyAlignment="0" applyProtection="0"/>
    <xf numFmtId="210" fontId="38" fillId="10" borderId="0" applyNumberFormat="0" applyBorder="0" applyAlignment="0" applyProtection="0"/>
    <xf numFmtId="210" fontId="38" fillId="13" borderId="0" applyNumberFormat="0" applyBorder="0" applyAlignment="0" applyProtection="0"/>
    <xf numFmtId="210" fontId="38" fillId="16" borderId="0" applyNumberFormat="0" applyBorder="0" applyAlignment="0" applyProtection="0"/>
    <xf numFmtId="188" fontId="32" fillId="0" borderId="0" applyFont="0" applyFill="0" applyBorder="0" applyAlignment="0" applyProtection="0"/>
    <xf numFmtId="210" fontId="3" fillId="0" borderId="0" applyNumberFormat="0" applyFont="0" applyFill="0" applyBorder="0" applyProtection="0">
      <alignment horizontal="left" vertical="center" indent="5"/>
    </xf>
    <xf numFmtId="210" fontId="39" fillId="17" borderId="0" applyNumberFormat="0" applyBorder="0" applyAlignment="0" applyProtection="0"/>
    <xf numFmtId="210" fontId="39" fillId="14" borderId="0" applyNumberFormat="0" applyBorder="0" applyAlignment="0" applyProtection="0"/>
    <xf numFmtId="210" fontId="39" fillId="15" borderId="0" applyNumberFormat="0" applyBorder="0" applyAlignment="0" applyProtection="0"/>
    <xf numFmtId="210" fontId="39" fillId="18" borderId="0" applyNumberFormat="0" applyBorder="0" applyAlignment="0" applyProtection="0"/>
    <xf numFmtId="210" fontId="39" fillId="19" borderId="0" applyNumberFormat="0" applyBorder="0" applyAlignment="0" applyProtection="0"/>
    <xf numFmtId="210" fontId="39" fillId="20" borderId="0" applyNumberFormat="0" applyBorder="0" applyAlignment="0" applyProtection="0"/>
    <xf numFmtId="210" fontId="3" fillId="0" borderId="0" applyNumberFormat="0" applyFill="0" applyBorder="0" applyAlignment="0" applyProtection="0"/>
    <xf numFmtId="210" fontId="38" fillId="21" borderId="0" applyNumberFormat="0" applyBorder="0" applyAlignment="0" applyProtection="0"/>
    <xf numFmtId="210" fontId="38" fillId="21" borderId="0" applyNumberFormat="0" applyBorder="0" applyAlignment="0" applyProtection="0"/>
    <xf numFmtId="210" fontId="39" fillId="22" borderId="0" applyNumberFormat="0" applyBorder="0" applyAlignment="0" applyProtection="0"/>
    <xf numFmtId="210" fontId="38" fillId="23" borderId="0" applyNumberFormat="0" applyBorder="0" applyAlignment="0" applyProtection="0"/>
    <xf numFmtId="210" fontId="38" fillId="24" borderId="0" applyNumberFormat="0" applyBorder="0" applyAlignment="0" applyProtection="0"/>
    <xf numFmtId="210" fontId="39" fillId="25" borderId="0" applyNumberFormat="0" applyBorder="0" applyAlignment="0" applyProtection="0"/>
    <xf numFmtId="210" fontId="38" fillId="23" borderId="0" applyNumberFormat="0" applyBorder="0" applyAlignment="0" applyProtection="0"/>
    <xf numFmtId="210" fontId="38" fillId="26" borderId="0" applyNumberFormat="0" applyBorder="0" applyAlignment="0" applyProtection="0"/>
    <xf numFmtId="210" fontId="39" fillId="24" borderId="0" applyNumberFormat="0" applyBorder="0" applyAlignment="0" applyProtection="0"/>
    <xf numFmtId="210" fontId="38" fillId="21" borderId="0" applyNumberFormat="0" applyBorder="0" applyAlignment="0" applyProtection="0"/>
    <xf numFmtId="210" fontId="38" fillId="24" borderId="0" applyNumberFormat="0" applyBorder="0" applyAlignment="0" applyProtection="0"/>
    <xf numFmtId="210" fontId="39" fillId="24" borderId="0" applyNumberFormat="0" applyBorder="0" applyAlignment="0" applyProtection="0"/>
    <xf numFmtId="210" fontId="38" fillId="27" borderId="0" applyNumberFormat="0" applyBorder="0" applyAlignment="0" applyProtection="0"/>
    <xf numFmtId="210" fontId="38" fillId="21" borderId="0" applyNumberFormat="0" applyBorder="0" applyAlignment="0" applyProtection="0"/>
    <xf numFmtId="210" fontId="39" fillId="22" borderId="0" applyNumberFormat="0" applyBorder="0" applyAlignment="0" applyProtection="0"/>
    <xf numFmtId="210" fontId="38" fillId="23" borderId="0" applyNumberFormat="0" applyBorder="0" applyAlignment="0" applyProtection="0"/>
    <xf numFmtId="210" fontId="38" fillId="28" borderId="0" applyNumberFormat="0" applyBorder="0" applyAlignment="0" applyProtection="0"/>
    <xf numFmtId="210" fontId="39" fillId="28" borderId="0" applyNumberFormat="0" applyBorder="0" applyAlignment="0" applyProtection="0"/>
    <xf numFmtId="210" fontId="33" fillId="0" borderId="0" applyNumberFormat="0" applyFill="0" applyBorder="0" applyAlignment="0">
      <protection locked="0"/>
    </xf>
    <xf numFmtId="210" fontId="40" fillId="0" borderId="0"/>
    <xf numFmtId="210" fontId="41" fillId="29" borderId="0" applyBorder="0" applyAlignment="0"/>
    <xf numFmtId="210" fontId="32" fillId="29" borderId="0" applyBorder="0">
      <alignment horizontal="right" vertical="center"/>
    </xf>
    <xf numFmtId="4" fontId="32" fillId="30" borderId="0" applyBorder="0">
      <alignment horizontal="right" vertical="center"/>
    </xf>
    <xf numFmtId="4" fontId="32" fillId="30" borderId="0" applyBorder="0">
      <alignment horizontal="right" vertical="center"/>
    </xf>
    <xf numFmtId="210" fontId="42" fillId="30" borderId="1">
      <alignment horizontal="right" vertical="center"/>
    </xf>
    <xf numFmtId="210" fontId="43" fillId="30" borderId="1">
      <alignment horizontal="right" vertical="center"/>
    </xf>
    <xf numFmtId="210" fontId="42" fillId="31" borderId="1">
      <alignment horizontal="right" vertical="center"/>
    </xf>
    <xf numFmtId="210" fontId="42" fillId="31" borderId="1">
      <alignment horizontal="right" vertical="center"/>
    </xf>
    <xf numFmtId="210" fontId="42" fillId="31" borderId="18">
      <alignment horizontal="right" vertical="center"/>
    </xf>
    <xf numFmtId="210" fontId="42" fillId="31" borderId="19">
      <alignment horizontal="right" vertical="center"/>
    </xf>
    <xf numFmtId="210" fontId="42" fillId="31" borderId="20">
      <alignment horizontal="right" vertical="center"/>
    </xf>
    <xf numFmtId="210" fontId="39" fillId="32" borderId="0" applyNumberFormat="0" applyBorder="0" applyAlignment="0" applyProtection="0"/>
    <xf numFmtId="210" fontId="39" fillId="33" borderId="0" applyNumberFormat="0" applyBorder="0" applyAlignment="0" applyProtection="0"/>
    <xf numFmtId="210" fontId="39" fillId="34" borderId="0" applyNumberFormat="0" applyBorder="0" applyAlignment="0" applyProtection="0"/>
    <xf numFmtId="210" fontId="39" fillId="18" borderId="0" applyNumberFormat="0" applyBorder="0" applyAlignment="0" applyProtection="0"/>
    <xf numFmtId="210" fontId="39" fillId="19" borderId="0" applyNumberFormat="0" applyBorder="0" applyAlignment="0" applyProtection="0"/>
    <xf numFmtId="210" fontId="39" fillId="35" borderId="0" applyNumberFormat="0" applyBorder="0" applyAlignment="0" applyProtection="0"/>
    <xf numFmtId="189" fontId="26" fillId="0" borderId="0"/>
    <xf numFmtId="210" fontId="3" fillId="0" borderId="0" applyNumberFormat="0" applyFill="0" applyBorder="0" applyAlignment="0" applyProtection="0"/>
    <xf numFmtId="210" fontId="44" fillId="0" borderId="14">
      <protection hidden="1"/>
    </xf>
    <xf numFmtId="210" fontId="24" fillId="36" borderId="14" applyNumberFormat="0" applyFont="0" applyBorder="0" applyAlignment="0" applyProtection="0">
      <protection hidden="1"/>
    </xf>
    <xf numFmtId="210" fontId="45" fillId="36" borderId="21" applyNumberFormat="0" applyAlignment="0" applyProtection="0"/>
    <xf numFmtId="171" fontId="33" fillId="0" borderId="0" applyNumberFormat="0" applyFill="0" applyBorder="0" applyAlignment="0" applyProtection="0">
      <alignment vertical="center"/>
    </xf>
    <xf numFmtId="171" fontId="33" fillId="0" borderId="0" applyNumberFormat="0" applyFill="0" applyBorder="0" applyAlignment="0" applyProtection="0">
      <alignment vertical="center"/>
    </xf>
    <xf numFmtId="171" fontId="33" fillId="0" borderId="0" applyNumberFormat="0" applyFill="0" applyBorder="0" applyAlignment="0" applyProtection="0">
      <alignment vertical="center"/>
    </xf>
    <xf numFmtId="210" fontId="46" fillId="0" borderId="0" applyNumberFormat="0" applyFill="0" applyBorder="0" applyAlignment="0" applyProtection="0"/>
    <xf numFmtId="210" fontId="46" fillId="0" borderId="0" applyNumberFormat="0" applyFill="0" applyBorder="0" applyAlignment="0" applyProtection="0"/>
    <xf numFmtId="210" fontId="47" fillId="3" borderId="0" applyNumberFormat="0" applyBorder="0" applyAlignment="0" applyProtection="0"/>
    <xf numFmtId="210" fontId="48" fillId="5" borderId="0"/>
    <xf numFmtId="210" fontId="49" fillId="36" borderId="22" applyNumberFormat="0" applyAlignment="0" applyProtection="0"/>
    <xf numFmtId="210" fontId="3" fillId="13" borderId="0" applyNumberFormat="0" applyBorder="0" applyAlignment="0">
      <protection locked="0"/>
    </xf>
    <xf numFmtId="210" fontId="50" fillId="0" borderId="0" applyNumberFormat="0" applyFill="0" applyBorder="0" applyAlignment="0"/>
    <xf numFmtId="190" fontId="51" fillId="37" borderId="0">
      <alignment horizontal="center"/>
    </xf>
    <xf numFmtId="210" fontId="52" fillId="0" borderId="0" applyNumberFormat="0" applyFill="0" applyBorder="0" applyAlignment="0">
      <protection locked="0"/>
    </xf>
    <xf numFmtId="191" fontId="26" fillId="0" borderId="0"/>
    <xf numFmtId="4" fontId="41" fillId="0" borderId="15" applyFill="0" applyBorder="0" applyProtection="0">
      <alignment horizontal="right" vertical="center"/>
    </xf>
    <xf numFmtId="210" fontId="53" fillId="38" borderId="0">
      <alignment horizontal="center"/>
    </xf>
    <xf numFmtId="192" fontId="3" fillId="0" borderId="0"/>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2" fontId="9" fillId="0" borderId="3"/>
    <xf numFmtId="193" fontId="3" fillId="0" borderId="0"/>
    <xf numFmtId="193" fontId="33" fillId="0" borderId="0"/>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3" fontId="9" fillId="0" borderId="3"/>
    <xf numFmtId="194" fontId="33" fillId="0" borderId="0"/>
    <xf numFmtId="195" fontId="3" fillId="0" borderId="0"/>
    <xf numFmtId="195" fontId="33" fillId="0" borderId="0"/>
    <xf numFmtId="43" fontId="9" fillId="0" borderId="0"/>
    <xf numFmtId="196" fontId="31" fillId="0" borderId="0"/>
    <xf numFmtId="210" fontId="54" fillId="0" borderId="0"/>
    <xf numFmtId="210" fontId="55" fillId="0" borderId="0"/>
    <xf numFmtId="210" fontId="10" fillId="0" borderId="0">
      <alignment horizontal="right"/>
    </xf>
    <xf numFmtId="210" fontId="56" fillId="0" borderId="0"/>
    <xf numFmtId="210" fontId="57" fillId="0" borderId="0"/>
    <xf numFmtId="210" fontId="58" fillId="0" borderId="0"/>
    <xf numFmtId="210" fontId="59" fillId="0" borderId="23" applyNumberFormat="0" applyAlignment="0"/>
    <xf numFmtId="210" fontId="29" fillId="0" borderId="0" applyAlignment="0">
      <alignment horizontal="left"/>
    </xf>
    <xf numFmtId="210" fontId="29" fillId="0" borderId="0">
      <alignment horizontal="right"/>
    </xf>
    <xf numFmtId="171" fontId="29" fillId="0" borderId="0">
      <alignment horizontal="right"/>
    </xf>
    <xf numFmtId="190" fontId="60" fillId="0" borderId="0">
      <alignment horizontal="right"/>
    </xf>
    <xf numFmtId="210" fontId="61" fillId="0" borderId="0"/>
    <xf numFmtId="2" fontId="62" fillId="0" borderId="0">
      <protection locked="0"/>
    </xf>
    <xf numFmtId="2" fontId="63" fillId="0" borderId="0">
      <protection locked="0"/>
    </xf>
    <xf numFmtId="210" fontId="62" fillId="0" borderId="0">
      <protection locked="0"/>
    </xf>
    <xf numFmtId="210" fontId="62" fillId="0" borderId="0">
      <protection locked="0"/>
    </xf>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5" fillId="0" borderId="25">
      <alignment horizontal="centerContinuous"/>
    </xf>
    <xf numFmtId="210" fontId="66" fillId="0" borderId="10">
      <alignment horizontal="centerContinuous" vertical="center"/>
    </xf>
    <xf numFmtId="210" fontId="67" fillId="0" borderId="0" applyNumberFormat="0" applyFill="0" applyBorder="0" applyAlignment="0" applyProtection="0"/>
    <xf numFmtId="197" fontId="3" fillId="0" borderId="0"/>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3" fontId="69" fillId="39" borderId="26">
      <alignment horizontal="right" vertical="center" indent="1"/>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3" fillId="39" borderId="17"/>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3" fillId="39" borderId="0"/>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7">
      <alignment vertical="center"/>
    </xf>
    <xf numFmtId="210" fontId="72" fillId="39" borderId="28">
      <alignment vertical="center"/>
    </xf>
    <xf numFmtId="210" fontId="71" fillId="39" borderId="26"/>
    <xf numFmtId="210" fontId="71" fillId="39" borderId="26"/>
    <xf numFmtId="210" fontId="71" fillId="39" borderId="26"/>
    <xf numFmtId="210" fontId="71" fillId="39" borderId="26"/>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3" fontId="69" fillId="39" borderId="26">
      <alignment horizontal="right" vertical="center" indent="1"/>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5" fillId="39" borderId="17"/>
    <xf numFmtId="210" fontId="70" fillId="37" borderId="26">
      <alignment horizontal="left" vertical="center"/>
    </xf>
    <xf numFmtId="210" fontId="70" fillId="37" borderId="26">
      <alignment horizontal="left" vertical="center"/>
    </xf>
    <xf numFmtId="210" fontId="70" fillId="37" borderId="26">
      <alignment horizontal="left" vertical="center"/>
    </xf>
    <xf numFmtId="210" fontId="70" fillId="37" borderId="26">
      <alignment horizontal="left" vertical="center"/>
    </xf>
    <xf numFmtId="210" fontId="76" fillId="0" borderId="0">
      <alignment horizontal="center" vertical="center" wrapText="1"/>
    </xf>
    <xf numFmtId="1" fontId="77" fillId="0" borderId="29">
      <alignment vertical="top"/>
    </xf>
    <xf numFmtId="3" fontId="28" fillId="0" borderId="0">
      <alignment vertical="top" wrapText="1"/>
    </xf>
    <xf numFmtId="201" fontId="78" fillId="0" borderId="0"/>
    <xf numFmtId="201" fontId="78" fillId="0" borderId="0"/>
    <xf numFmtId="201" fontId="78" fillId="0" borderId="0"/>
    <xf numFmtId="201" fontId="78" fillId="0" borderId="0"/>
    <xf numFmtId="201" fontId="78" fillId="0" borderId="0"/>
    <xf numFmtId="201" fontId="78" fillId="0" borderId="0"/>
    <xf numFmtId="201" fontId="78" fillId="0" borderId="0"/>
    <xf numFmtId="201" fontId="78" fillId="0" borderId="0"/>
    <xf numFmtId="202" fontId="3" fillId="0" borderId="0" applyFont="0" applyFill="0" applyBorder="0" applyAlignment="0" applyProtection="0"/>
    <xf numFmtId="203" fontId="79" fillId="0" borderId="0" applyFont="0" applyFill="0" applyBorder="0" applyAlignment="0" applyProtection="0"/>
    <xf numFmtId="204" fontId="79" fillId="0" borderId="0" applyFill="0" applyBorder="0" applyAlignment="0" applyProtection="0"/>
    <xf numFmtId="168" fontId="26"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31" fillId="0" borderId="0" applyFont="0" applyFill="0" applyBorder="0" applyAlignment="0" applyProtection="0"/>
    <xf numFmtId="168" fontId="80" fillId="0" borderId="0" applyFont="0" applyFill="0" applyBorder="0" applyAlignment="0" applyProtection="0"/>
    <xf numFmtId="168"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8" fontId="3" fillId="0" borderId="0" applyFont="0" applyFill="0" applyBorder="0" applyAlignment="0" applyProtection="0"/>
    <xf numFmtId="205" fontId="81" fillId="0" borderId="0" applyFont="0" applyFill="0" applyBorder="0" applyAlignment="0" applyProtection="0"/>
    <xf numFmtId="205" fontId="81" fillId="0" borderId="0" applyFont="0" applyFill="0" applyBorder="0" applyAlignment="0" applyProtection="0"/>
    <xf numFmtId="205" fontId="82"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3" fontId="83" fillId="0" borderId="0" applyFont="0" applyFill="0" applyBorder="0" applyAlignment="0" applyProtection="0">
      <alignment vertical="top"/>
    </xf>
    <xf numFmtId="3" fontId="3" fillId="0" borderId="0" applyFont="0" applyFill="0" applyBorder="0" applyAlignment="0" applyProtection="0"/>
    <xf numFmtId="210" fontId="83" fillId="0" borderId="0" applyFont="0" applyFill="0" applyBorder="0" applyAlignment="0" applyProtection="0">
      <alignment vertical="top"/>
    </xf>
    <xf numFmtId="210" fontId="9" fillId="0" borderId="12">
      <alignment horizontal="center"/>
    </xf>
    <xf numFmtId="210" fontId="42" fillId="0" borderId="0" applyNumberFormat="0">
      <alignment horizontal="right"/>
    </xf>
    <xf numFmtId="210" fontId="84" fillId="0" borderId="0">
      <alignment horizontal="left" vertical="center" wrapText="1"/>
    </xf>
    <xf numFmtId="167" fontId="3" fillId="0" borderId="0" applyFont="0" applyFill="0" applyBorder="0" applyAlignment="0" applyProtection="0"/>
    <xf numFmtId="167"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4" fontId="83" fillId="0" borderId="0" applyFont="0" applyFill="0" applyBorder="0" applyAlignment="0" applyProtection="0">
      <alignment vertical="top"/>
    </xf>
    <xf numFmtId="164" fontId="3" fillId="0" borderId="0" applyFont="0" applyFill="0" applyBorder="0" applyAlignment="0" applyProtection="0"/>
    <xf numFmtId="210" fontId="32" fillId="31" borderId="30">
      <alignment horizontal="left" vertical="center" wrapText="1" indent="2"/>
    </xf>
    <xf numFmtId="210" fontId="32" fillId="0" borderId="30">
      <alignment horizontal="left" vertical="center" wrapText="1" indent="2"/>
    </xf>
    <xf numFmtId="210" fontId="32" fillId="30" borderId="19">
      <alignment horizontal="left" vertical="center"/>
    </xf>
    <xf numFmtId="2" fontId="62" fillId="0" borderId="0">
      <protection locked="0"/>
    </xf>
    <xf numFmtId="206" fontId="85" fillId="0" borderId="31">
      <alignment horizontal="right" vertical="center"/>
    </xf>
    <xf numFmtId="49" fontId="86" fillId="0" borderId="31">
      <alignment horizontal="left" vertical="center"/>
    </xf>
    <xf numFmtId="3" fontId="85" fillId="0" borderId="31" applyAlignment="0">
      <alignment horizontal="right" vertical="center"/>
    </xf>
    <xf numFmtId="207" fontId="23" fillId="0" borderId="31">
      <alignment horizontal="right"/>
    </xf>
    <xf numFmtId="210" fontId="83" fillId="0" borderId="0" applyFont="0" applyFill="0" applyBorder="0" applyAlignment="0" applyProtection="0">
      <alignment vertical="top"/>
    </xf>
    <xf numFmtId="210" fontId="3" fillId="0" borderId="0" applyFont="0" applyFill="0" applyBorder="0" applyAlignment="0" applyProtection="0"/>
    <xf numFmtId="208" fontId="3" fillId="0" borderId="0" applyFont="0" applyFill="0" applyBorder="0" applyAlignment="0" applyProtection="0"/>
    <xf numFmtId="190" fontId="87" fillId="0" borderId="0"/>
    <xf numFmtId="210" fontId="42" fillId="0" borderId="32">
      <alignment horizontal="left" vertical="top" wrapText="1"/>
    </xf>
    <xf numFmtId="209" fontId="31" fillId="0" borderId="0" applyFont="0" applyFill="0" applyBorder="0" applyAlignment="0" applyProtection="0"/>
    <xf numFmtId="210" fontId="88" fillId="12" borderId="22" applyNumberFormat="0" applyAlignment="0" applyProtection="0"/>
    <xf numFmtId="210" fontId="89" fillId="41" borderId="0" applyNumberFormat="0" applyBorder="0" applyAlignment="0" applyProtection="0"/>
    <xf numFmtId="210" fontId="89" fillId="42" borderId="0" applyNumberFormat="0" applyBorder="0" applyAlignment="0" applyProtection="0"/>
    <xf numFmtId="210" fontId="89" fillId="42" borderId="0" applyNumberFormat="0" applyBorder="0" applyAlignment="0" applyProtection="0"/>
    <xf numFmtId="210" fontId="3" fillId="0" borderId="12"/>
    <xf numFmtId="210" fontId="90" fillId="0" borderId="33" applyNumberFormat="0" applyFill="0" applyAlignment="0" applyProtection="0"/>
    <xf numFmtId="210" fontId="91" fillId="0" borderId="0" applyNumberFormat="0" applyFill="0" applyBorder="0" applyAlignment="0" applyProtection="0"/>
    <xf numFmtId="210" fontId="92" fillId="43" borderId="0">
      <alignment horizontal="center"/>
    </xf>
    <xf numFmtId="210" fontId="26"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11" fontId="3" fillId="0" borderId="0" applyFont="0" applyFill="0" applyBorder="0" applyAlignment="0" applyProtection="0"/>
    <xf numFmtId="211" fontId="3" fillId="0" borderId="0" applyFont="0" applyFill="0" applyBorder="0" applyAlignment="0" applyProtection="0"/>
    <xf numFmtId="175" fontId="93" fillId="0" borderId="0"/>
    <xf numFmtId="198" fontId="3" fillId="0" borderId="0" applyFont="0" applyFill="0" applyBorder="0" applyAlignment="0" applyProtection="0"/>
    <xf numFmtId="212" fontId="62" fillId="0" borderId="0">
      <protection locked="0"/>
    </xf>
    <xf numFmtId="198" fontId="3" fillId="0" borderId="0" applyFont="0" applyFill="0" applyBorder="0" applyAlignment="0" applyProtection="0"/>
    <xf numFmtId="212" fontId="62" fillId="0" borderId="0">
      <protection locked="0"/>
    </xf>
    <xf numFmtId="198" fontId="3" fillId="0" borderId="0" applyFont="0" applyFill="0" applyBorder="0" applyAlignment="0" applyProtection="0"/>
    <xf numFmtId="198" fontId="3" fillId="0" borderId="0" applyFont="0" applyFill="0" applyBorder="0" applyAlignment="0" applyProtection="0"/>
    <xf numFmtId="198" fontId="3" fillId="0" borderId="0" applyFont="0" applyFill="0" applyBorder="0" applyAlignment="0" applyProtection="0"/>
    <xf numFmtId="198" fontId="3" fillId="0" borderId="0" applyFont="0" applyFill="0" applyBorder="0" applyAlignment="0" applyProtection="0"/>
    <xf numFmtId="198" fontId="3" fillId="0" borderId="0" applyFont="0" applyFill="0" applyBorder="0" applyAlignment="0" applyProtection="0"/>
    <xf numFmtId="210" fontId="79" fillId="0" borderId="0"/>
    <xf numFmtId="210" fontId="62" fillId="0" borderId="0">
      <protection locked="0"/>
    </xf>
    <xf numFmtId="213" fontId="62" fillId="0" borderId="0">
      <protection locked="0"/>
    </xf>
    <xf numFmtId="2" fontId="83" fillId="0" borderId="0" applyFont="0" applyFill="0" applyBorder="0" applyAlignment="0" applyProtection="0">
      <alignment vertical="top"/>
    </xf>
    <xf numFmtId="2" fontId="3" fillId="0" borderId="0" applyFont="0" applyFill="0" applyBorder="0" applyAlignment="0" applyProtection="0"/>
    <xf numFmtId="213" fontId="62" fillId="0" borderId="0">
      <protection locked="0"/>
    </xf>
    <xf numFmtId="210" fontId="94" fillId="0" borderId="0" applyNumberFormat="0" applyFill="0" applyBorder="0" applyAlignment="0" applyProtection="0">
      <alignment vertical="top"/>
      <protection locked="0"/>
    </xf>
    <xf numFmtId="210" fontId="95" fillId="0" borderId="0"/>
    <xf numFmtId="198" fontId="28" fillId="0" borderId="0"/>
    <xf numFmtId="3" fontId="96" fillId="0" borderId="0"/>
    <xf numFmtId="210" fontId="97" fillId="0" borderId="0">
      <alignment horizontal="center"/>
    </xf>
    <xf numFmtId="210" fontId="98" fillId="26" borderId="0" applyNumberFormat="0" applyBorder="0" applyAlignment="0" applyProtection="0"/>
    <xf numFmtId="37" fontId="26" fillId="0" borderId="0" applyNumberFormat="0" applyFont="0" applyFill="0"/>
    <xf numFmtId="38" fontId="28" fillId="37" borderId="0" applyNumberFormat="0" applyBorder="0" applyAlignment="0" applyProtection="0"/>
    <xf numFmtId="210" fontId="99" fillId="9" borderId="0" applyNumberFormat="0" applyBorder="0" applyAlignment="0" applyProtection="0"/>
    <xf numFmtId="210" fontId="65" fillId="0" borderId="25">
      <alignment horizontal="center" wrapText="1"/>
    </xf>
    <xf numFmtId="210" fontId="100" fillId="0" borderId="0" applyNumberFormat="0" applyFill="0" applyBorder="0" applyAlignment="0" applyProtection="0"/>
    <xf numFmtId="210" fontId="101" fillId="0" borderId="0" applyNumberFormat="0" applyFill="0" applyBorder="0" applyAlignment="0" applyProtection="0"/>
    <xf numFmtId="210" fontId="102" fillId="0" borderId="34" applyNumberFormat="0" applyFill="0" applyAlignment="0" applyProtection="0"/>
    <xf numFmtId="210" fontId="102" fillId="0" borderId="0" applyNumberFormat="0" applyFill="0" applyBorder="0" applyAlignment="0" applyProtection="0"/>
    <xf numFmtId="214" fontId="103" fillId="0" borderId="0">
      <protection locked="0"/>
    </xf>
    <xf numFmtId="214" fontId="103" fillId="0" borderId="0">
      <protection locked="0"/>
    </xf>
    <xf numFmtId="210" fontId="104" fillId="0" borderId="0" applyNumberFormat="0" applyFill="0" applyBorder="0" applyAlignment="0" applyProtection="0"/>
    <xf numFmtId="210" fontId="105" fillId="0" borderId="31">
      <alignment horizontal="left"/>
    </xf>
    <xf numFmtId="210" fontId="105" fillId="0" borderId="35">
      <alignment horizontal="right" vertical="center"/>
    </xf>
    <xf numFmtId="210" fontId="105" fillId="0" borderId="35">
      <alignment horizontal="right" vertical="center"/>
    </xf>
    <xf numFmtId="210" fontId="105" fillId="0" borderId="35">
      <alignment horizontal="right" vertical="center"/>
    </xf>
    <xf numFmtId="210" fontId="106" fillId="0" borderId="31">
      <alignment horizontal="left" vertical="center"/>
    </xf>
    <xf numFmtId="210" fontId="23" fillId="0" borderId="31">
      <alignment horizontal="left" vertical="center"/>
    </xf>
    <xf numFmtId="210" fontId="107" fillId="0" borderId="31">
      <alignment horizontal="left"/>
    </xf>
    <xf numFmtId="210" fontId="107" fillId="44" borderId="0">
      <alignment horizontal="centerContinuous" wrapText="1"/>
    </xf>
    <xf numFmtId="49" fontId="107" fillId="44" borderId="10">
      <alignment horizontal="left" vertical="center"/>
    </xf>
    <xf numFmtId="210" fontId="107" fillId="44" borderId="0">
      <alignment horizontal="centerContinuous" vertical="center" wrapText="1"/>
    </xf>
    <xf numFmtId="215" fontId="108" fillId="0" borderId="36" applyBorder="0"/>
    <xf numFmtId="210" fontId="109" fillId="0" borderId="0" applyNumberFormat="0" applyFill="0" applyBorder="0" applyAlignment="0" applyProtection="0">
      <alignment vertical="top"/>
      <protection locked="0"/>
    </xf>
    <xf numFmtId="210" fontId="110" fillId="0" borderId="0" applyNumberFormat="0" applyFill="0" applyBorder="0" applyAlignment="0" applyProtection="0">
      <alignment vertical="top"/>
      <protection locked="0"/>
    </xf>
    <xf numFmtId="210" fontId="111" fillId="0" borderId="0" applyNumberFormat="0" applyFill="0" applyBorder="0" applyAlignment="0" applyProtection="0">
      <alignment vertical="top"/>
      <protection locked="0"/>
    </xf>
    <xf numFmtId="210" fontId="112" fillId="0" borderId="0" applyNumberFormat="0" applyFill="0" applyBorder="0" applyAlignment="0" applyProtection="0">
      <alignment vertical="top"/>
      <protection locked="0"/>
    </xf>
    <xf numFmtId="210" fontId="113" fillId="0" borderId="0" applyNumberFormat="0" applyFill="0" applyBorder="0" applyAlignment="0" applyProtection="0">
      <alignment vertical="top"/>
      <protection locked="0"/>
    </xf>
    <xf numFmtId="210" fontId="114" fillId="0" borderId="0" applyNumberFormat="0" applyFill="0" applyBorder="0" applyAlignment="0" applyProtection="0">
      <alignment vertical="top"/>
      <protection locked="0"/>
    </xf>
    <xf numFmtId="210" fontId="115" fillId="0" borderId="0" applyNumberFormat="0" applyFill="0" applyBorder="0" applyAlignment="0" applyProtection="0">
      <alignment vertical="top"/>
      <protection locked="0"/>
    </xf>
    <xf numFmtId="210" fontId="110" fillId="0" borderId="0" applyNumberFormat="0" applyFill="0" applyBorder="0" applyAlignment="0" applyProtection="0">
      <alignment vertical="top"/>
      <protection locked="0"/>
    </xf>
    <xf numFmtId="210" fontId="113" fillId="0" borderId="0" applyNumberFormat="0" applyFill="0" applyBorder="0" applyAlignment="0" applyProtection="0">
      <alignment vertical="top"/>
      <protection locked="0"/>
    </xf>
    <xf numFmtId="210" fontId="116" fillId="0" borderId="0" applyNumberFormat="0" applyFill="0" applyBorder="0" applyAlignment="0" applyProtection="0">
      <alignment vertical="top"/>
      <protection locked="0"/>
    </xf>
    <xf numFmtId="210" fontId="117" fillId="0" borderId="0" applyNumberFormat="0" applyFill="0" applyBorder="0" applyAlignment="0" applyProtection="0">
      <alignment vertical="top"/>
      <protection locked="0"/>
    </xf>
    <xf numFmtId="198" fontId="26" fillId="0" borderId="0" applyFont="0" applyFill="0" applyBorder="0" applyAlignment="0" applyProtection="0"/>
    <xf numFmtId="198" fontId="32" fillId="0" borderId="0" applyFont="0" applyFill="0" applyBorder="0" applyAlignment="0" applyProtection="0"/>
    <xf numFmtId="3" fontId="26" fillId="0" borderId="0" applyFont="0" applyFill="0" applyBorder="0" applyAlignment="0" applyProtection="0"/>
    <xf numFmtId="3" fontId="32" fillId="0" borderId="0" applyFont="0" applyFill="0" applyBorder="0" applyAlignment="0" applyProtection="0"/>
    <xf numFmtId="210" fontId="118" fillId="0" borderId="0">
      <alignment horizontal="left" indent="1"/>
    </xf>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20" fillId="29" borderId="0">
      <alignment horizontal="center"/>
    </xf>
    <xf numFmtId="4" fontId="32" fillId="0" borderId="0" applyBorder="0">
      <alignment horizontal="right" vertical="center"/>
    </xf>
    <xf numFmtId="210" fontId="32" fillId="0" borderId="1">
      <alignment horizontal="right" vertical="center"/>
    </xf>
    <xf numFmtId="1" fontId="121" fillId="30" borderId="0" applyBorder="0">
      <alignment horizontal="right" vertical="center"/>
    </xf>
    <xf numFmtId="15" fontId="3" fillId="0" borderId="0"/>
    <xf numFmtId="210" fontId="122" fillId="0" borderId="0" applyNumberFormat="0" applyFill="0" applyBorder="0" applyAlignment="0" applyProtection="0">
      <alignment vertical="top"/>
      <protection locked="0"/>
    </xf>
    <xf numFmtId="210" fontId="123" fillId="0" borderId="0" applyNumberFormat="0" applyFill="0" applyBorder="0" applyAlignment="0" applyProtection="0">
      <alignment vertical="top"/>
      <protection locked="0"/>
    </xf>
    <xf numFmtId="210" fontId="113" fillId="0" borderId="0" applyNumberFormat="0" applyFill="0" applyBorder="0" applyAlignment="0" applyProtection="0">
      <alignment vertical="top"/>
      <protection locked="0"/>
    </xf>
    <xf numFmtId="210" fontId="26" fillId="45" borderId="38" applyNumberFormat="0" applyFont="0" applyAlignment="0" applyProtection="0"/>
    <xf numFmtId="210" fontId="124" fillId="0" borderId="14">
      <alignment horizontal="left"/>
      <protection locked="0"/>
    </xf>
    <xf numFmtId="1" fontId="26" fillId="0" borderId="0" applyNumberFormat="0" applyAlignment="0">
      <alignment horizontal="center"/>
    </xf>
    <xf numFmtId="216" fontId="125" fillId="0" borderId="0" applyNumberFormat="0">
      <alignment horizontal="centerContinuous"/>
    </xf>
    <xf numFmtId="166" fontId="26"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40" fontId="25" fillId="0" borderId="0" applyFont="0" applyFill="0" applyBorder="0" applyAlignment="0" applyProtection="0"/>
    <xf numFmtId="168" fontId="1" fillId="0" borderId="0" applyFont="0" applyFill="0" applyBorder="0" applyAlignment="0" applyProtection="0"/>
    <xf numFmtId="168" fontId="3" fillId="0" borderId="0" applyFont="0" applyFill="0" applyBorder="0" applyAlignment="0" applyProtection="0"/>
    <xf numFmtId="40" fontId="24" fillId="0" borderId="0" applyFont="0" applyFill="0" applyBorder="0" applyAlignment="0" applyProtection="0"/>
    <xf numFmtId="40" fontId="24" fillId="0" borderId="0" applyFont="0" applyFill="0" applyBorder="0" applyAlignment="0" applyProtection="0"/>
    <xf numFmtId="168" fontId="3"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217" fontId="1" fillId="0" borderId="0" applyFont="0" applyFill="0" applyBorder="0" applyAlignment="0" applyProtection="0"/>
    <xf numFmtId="217" fontId="1" fillId="0" borderId="0" applyFont="0" applyFill="0" applyBorder="0" applyAlignment="0" applyProtection="0"/>
    <xf numFmtId="217" fontId="38" fillId="0" borderId="0" applyFont="0" applyFill="0" applyBorder="0" applyAlignment="0" applyProtection="0"/>
    <xf numFmtId="168" fontId="1" fillId="0" borderId="0" applyFont="0" applyFill="0" applyBorder="0" applyAlignment="0" applyProtection="0"/>
    <xf numFmtId="43" fontId="3" fillId="0" borderId="0" applyFont="0" applyFill="0" applyBorder="0" applyAlignment="0" applyProtection="0"/>
    <xf numFmtId="168" fontId="26" fillId="0" borderId="0" applyFont="0" applyFill="0" applyBorder="0" applyAlignment="0" applyProtection="0"/>
    <xf numFmtId="166" fontId="31" fillId="0" borderId="0" applyFont="0" applyFill="0" applyBorder="0" applyAlignment="0" applyProtection="0"/>
    <xf numFmtId="168" fontId="31" fillId="0" borderId="0" applyFont="0" applyFill="0" applyBorder="0" applyAlignment="0" applyProtection="0"/>
    <xf numFmtId="218" fontId="79" fillId="0" borderId="0" applyFont="0" applyFill="0" applyBorder="0" applyAlignment="0" applyProtection="0"/>
    <xf numFmtId="219" fontId="79" fillId="0" borderId="0" applyFont="0" applyFill="0" applyBorder="0" applyAlignment="0" applyProtection="0"/>
    <xf numFmtId="220" fontId="62" fillId="0" borderId="0">
      <protection locked="0"/>
    </xf>
    <xf numFmtId="165" fontId="26" fillId="0" borderId="0" applyFont="0" applyFill="0" applyBorder="0" applyAlignment="0" applyProtection="0"/>
    <xf numFmtId="167" fontId="26" fillId="0" borderId="0" applyFont="0" applyFill="0" applyBorder="0" applyAlignment="0" applyProtection="0"/>
    <xf numFmtId="165" fontId="31" fillId="0" borderId="0" applyFont="0" applyFill="0" applyBorder="0" applyAlignment="0" applyProtection="0"/>
    <xf numFmtId="167" fontId="31" fillId="0" borderId="0" applyFont="0" applyFill="0" applyBorder="0" applyAlignment="0" applyProtection="0"/>
    <xf numFmtId="221" fontId="62" fillId="0" borderId="0">
      <protection locked="0"/>
    </xf>
    <xf numFmtId="222" fontId="62" fillId="0" borderId="0">
      <protection locked="0"/>
    </xf>
    <xf numFmtId="17" fontId="101" fillId="0" borderId="0">
      <alignment horizontal="center"/>
    </xf>
    <xf numFmtId="210" fontId="126" fillId="0" borderId="39"/>
    <xf numFmtId="210" fontId="127" fillId="23" borderId="0" applyNumberFormat="0" applyBorder="0" applyAlignment="0" applyProtection="0"/>
    <xf numFmtId="210" fontId="128" fillId="0" borderId="0">
      <alignment horizontal="center"/>
    </xf>
    <xf numFmtId="210" fontId="51" fillId="0" borderId="0"/>
    <xf numFmtId="210" fontId="129" fillId="0" borderId="0"/>
    <xf numFmtId="210" fontId="130" fillId="0" borderId="0"/>
    <xf numFmtId="210" fontId="93" fillId="0" borderId="0"/>
    <xf numFmtId="210" fontId="93" fillId="0" borderId="0"/>
    <xf numFmtId="223" fontId="28" fillId="0" borderId="0"/>
    <xf numFmtId="210" fontId="3" fillId="0" borderId="0"/>
    <xf numFmtId="170" fontId="80" fillId="0" borderId="0">
      <alignment vertical="center"/>
    </xf>
    <xf numFmtId="170" fontId="131" fillId="0" borderId="0">
      <alignment vertical="center"/>
    </xf>
    <xf numFmtId="210" fontId="3" fillId="0" borderId="0"/>
    <xf numFmtId="210" fontId="3" fillId="0" borderId="0"/>
    <xf numFmtId="210" fontId="3" fillId="0" borderId="0"/>
    <xf numFmtId="198" fontId="80" fillId="0" borderId="0">
      <alignment vertical="center"/>
    </xf>
    <xf numFmtId="170" fontId="3" fillId="0" borderId="0">
      <alignment vertical="center"/>
    </xf>
    <xf numFmtId="170" fontId="3" fillId="0" borderId="0">
      <alignment vertical="center"/>
    </xf>
    <xf numFmtId="170" fontId="131"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80" fillId="0" borderId="0">
      <alignment vertical="center"/>
    </xf>
    <xf numFmtId="169" fontId="1" fillId="0" borderId="0"/>
    <xf numFmtId="210" fontId="3" fillId="0" borderId="0"/>
    <xf numFmtId="210" fontId="3" fillId="0" borderId="0"/>
    <xf numFmtId="224" fontId="132" fillId="0" borderId="0"/>
    <xf numFmtId="210" fontId="133" fillId="0" borderId="0"/>
    <xf numFmtId="210" fontId="133" fillId="0" borderId="0"/>
    <xf numFmtId="210" fontId="1" fillId="0" borderId="0"/>
    <xf numFmtId="210" fontId="133" fillId="0" borderId="0"/>
    <xf numFmtId="210" fontId="133" fillId="0" borderId="0"/>
    <xf numFmtId="210" fontId="133" fillId="0" borderId="0"/>
    <xf numFmtId="210" fontId="133" fillId="0" borderId="0"/>
    <xf numFmtId="210" fontId="133" fillId="0" borderId="0"/>
    <xf numFmtId="210" fontId="133" fillId="0" borderId="0"/>
    <xf numFmtId="210" fontId="1" fillId="0" borderId="0"/>
    <xf numFmtId="210" fontId="26" fillId="0" borderId="0">
      <alignment vertical="top"/>
    </xf>
    <xf numFmtId="210" fontId="1" fillId="0" borderId="0"/>
    <xf numFmtId="210" fontId="26" fillId="0" borderId="0"/>
    <xf numFmtId="198" fontId="80" fillId="0" borderId="0">
      <alignment vertical="center"/>
    </xf>
    <xf numFmtId="210" fontId="26" fillId="0" borderId="0"/>
    <xf numFmtId="210" fontId="25" fillId="0" borderId="0"/>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3" fillId="0" borderId="0">
      <alignment vertical="center"/>
    </xf>
    <xf numFmtId="210" fontId="38" fillId="0" borderId="0"/>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26" fillId="0" borderId="0">
      <alignment vertical="center"/>
    </xf>
    <xf numFmtId="170" fontId="26" fillId="0" borderId="0">
      <alignment vertical="center"/>
    </xf>
    <xf numFmtId="170" fontId="26" fillId="0" borderId="0">
      <alignment vertical="center"/>
    </xf>
    <xf numFmtId="169" fontId="26"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3" fillId="0" borderId="0"/>
    <xf numFmtId="170" fontId="26" fillId="0" borderId="0">
      <alignment vertical="center"/>
    </xf>
    <xf numFmtId="170" fontId="26" fillId="0" borderId="0">
      <alignment vertical="center"/>
    </xf>
    <xf numFmtId="170" fontId="26" fillId="0" borderId="0">
      <alignment vertical="center"/>
    </xf>
    <xf numFmtId="170" fontId="26" fillId="0" borderId="0">
      <alignment vertical="center"/>
    </xf>
    <xf numFmtId="170" fontId="26" fillId="0" borderId="0">
      <alignment vertical="center"/>
    </xf>
    <xf numFmtId="170" fontId="26"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80" fillId="0" borderId="0">
      <alignment vertical="center"/>
    </xf>
    <xf numFmtId="170" fontId="26" fillId="0" borderId="0">
      <alignment vertical="center"/>
    </xf>
    <xf numFmtId="210" fontId="1" fillId="0" borderId="0"/>
    <xf numFmtId="170" fontId="131" fillId="0" borderId="0">
      <alignment vertical="center"/>
    </xf>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34" fillId="0" borderId="0">
      <protection locked="0"/>
    </xf>
    <xf numFmtId="210" fontId="1" fillId="0" borderId="0"/>
    <xf numFmtId="169" fontId="1" fillId="0" borderId="0"/>
    <xf numFmtId="210" fontId="1" fillId="0" borderId="0"/>
    <xf numFmtId="210" fontId="1" fillId="0" borderId="0"/>
    <xf numFmtId="210" fontId="1" fillId="0" borderId="0"/>
    <xf numFmtId="210" fontId="38" fillId="0" borderId="0"/>
    <xf numFmtId="210" fontId="3" fillId="0" borderId="0" applyNumberFormat="0" applyFont="0" applyFill="0" applyBorder="0" applyAlignment="0" applyProtection="0">
      <alignment vertical="top"/>
    </xf>
    <xf numFmtId="210" fontId="1" fillId="0" borderId="0"/>
    <xf numFmtId="210" fontId="1" fillId="0" borderId="0"/>
    <xf numFmtId="210" fontId="1" fillId="0" borderId="0"/>
    <xf numFmtId="210" fontId="38" fillId="0" borderId="0" applyFill="0" applyProtection="0"/>
    <xf numFmtId="210" fontId="1" fillId="0" borderId="0"/>
    <xf numFmtId="210" fontId="1" fillId="0" borderId="0"/>
    <xf numFmtId="170" fontId="26" fillId="0" borderId="0">
      <alignment vertical="center"/>
    </xf>
    <xf numFmtId="210" fontId="1" fillId="0" borderId="0"/>
    <xf numFmtId="210" fontId="1" fillId="0" borderId="0"/>
    <xf numFmtId="210" fontId="1" fillId="0" borderId="0"/>
    <xf numFmtId="210" fontId="1" fillId="0" borderId="0"/>
    <xf numFmtId="210" fontId="1" fillId="0" borderId="0"/>
    <xf numFmtId="210" fontId="1" fillId="0" borderId="0"/>
    <xf numFmtId="170" fontId="26" fillId="0" borderId="0">
      <alignment vertical="center"/>
    </xf>
    <xf numFmtId="210" fontId="51" fillId="0" borderId="0"/>
    <xf numFmtId="210" fontId="38" fillId="0" borderId="0" applyFill="0" applyProtection="0"/>
    <xf numFmtId="210" fontId="51" fillId="0" borderId="0"/>
    <xf numFmtId="210" fontId="51" fillId="0" borderId="0"/>
    <xf numFmtId="210" fontId="51" fillId="0" borderId="0"/>
    <xf numFmtId="210" fontId="38" fillId="0" borderId="0" applyFill="0" applyProtection="0"/>
    <xf numFmtId="210" fontId="26" fillId="0" borderId="0"/>
    <xf numFmtId="37" fontId="132" fillId="0" borderId="0"/>
    <xf numFmtId="210" fontId="38" fillId="0" borderId="0" applyFill="0" applyProtection="0"/>
    <xf numFmtId="210" fontId="38" fillId="0" borderId="0" applyFill="0" applyProtection="0"/>
    <xf numFmtId="210" fontId="3" fillId="0" borderId="0"/>
    <xf numFmtId="210" fontId="26" fillId="0" borderId="0"/>
    <xf numFmtId="210" fontId="38" fillId="0" borderId="0" applyFill="0" applyProtection="0"/>
    <xf numFmtId="210" fontId="3" fillId="0" borderId="0"/>
    <xf numFmtId="210" fontId="1" fillId="0" borderId="0"/>
    <xf numFmtId="210" fontId="3" fillId="0" borderId="0"/>
    <xf numFmtId="210" fontId="38" fillId="0" borderId="0" applyFill="0" applyProtection="0"/>
    <xf numFmtId="4" fontId="32" fillId="0" borderId="1" applyFill="0" applyBorder="0" applyProtection="0">
      <alignment horizontal="right" vertical="center"/>
    </xf>
    <xf numFmtId="49" fontId="41" fillId="0" borderId="1" applyNumberFormat="0" applyFill="0" applyBorder="0" applyProtection="0">
      <alignment horizontal="left" vertical="center"/>
    </xf>
    <xf numFmtId="210" fontId="32" fillId="0" borderId="1" applyNumberFormat="0" applyFill="0" applyAlignment="0" applyProtection="0"/>
    <xf numFmtId="210" fontId="135" fillId="37" borderId="0" applyNumberFormat="0" applyFont="0" applyBorder="0" applyAlignment="0" applyProtection="0"/>
    <xf numFmtId="225" fontId="26" fillId="0" borderId="0" applyFill="0" applyBorder="0" applyAlignment="0" applyProtection="0">
      <alignment horizontal="right"/>
    </xf>
    <xf numFmtId="210" fontId="14" fillId="0" borderId="0"/>
    <xf numFmtId="210" fontId="136" fillId="0" borderId="0"/>
    <xf numFmtId="210" fontId="3" fillId="46" borderId="40" applyNumberFormat="0" applyFont="0" applyAlignment="0" applyProtection="0"/>
    <xf numFmtId="210" fontId="3" fillId="46" borderId="40" applyNumberFormat="0" applyFont="0" applyAlignment="0" applyProtection="0"/>
    <xf numFmtId="210" fontId="3" fillId="46"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3" fillId="46" borderId="40" applyNumberFormat="0" applyFont="0" applyAlignment="0" applyProtection="0"/>
    <xf numFmtId="210" fontId="137" fillId="0" borderId="14"/>
    <xf numFmtId="210" fontId="38" fillId="46" borderId="40" applyNumberFormat="0" applyFont="0" applyAlignment="0" applyProtection="0"/>
    <xf numFmtId="226" fontId="138" fillId="0" borderId="0" applyFill="0" applyBorder="0" applyProtection="0">
      <alignment horizontal="right"/>
    </xf>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10"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227" fontId="62" fillId="0" borderId="0">
      <protection locked="0"/>
    </xf>
    <xf numFmtId="227"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8" fontId="62" fillId="0" borderId="0">
      <protection locked="0"/>
    </xf>
    <xf numFmtId="227" fontId="62" fillId="0" borderId="0">
      <protection locked="0"/>
    </xf>
    <xf numFmtId="227" fontId="62" fillId="0" borderId="0">
      <protection locked="0"/>
    </xf>
    <xf numFmtId="227" fontId="62" fillId="0" borderId="0">
      <protection locked="0"/>
    </xf>
    <xf numFmtId="227" fontId="62" fillId="0" borderId="0">
      <protection locked="0"/>
    </xf>
    <xf numFmtId="227" fontId="62" fillId="0" borderId="0">
      <protection locked="0"/>
    </xf>
    <xf numFmtId="227" fontId="62" fillId="0" borderId="0">
      <protection locked="0"/>
    </xf>
    <xf numFmtId="227" fontId="62" fillId="0" borderId="0">
      <protection locked="0"/>
    </xf>
    <xf numFmtId="9" fontId="81" fillId="0" borderId="0" applyFont="0" applyFill="0" applyBorder="0" applyAlignment="0" applyProtection="0"/>
    <xf numFmtId="9" fontId="82" fillId="0" borderId="0" applyFont="0" applyFill="0" applyBorder="0" applyAlignment="0" applyProtection="0"/>
    <xf numFmtId="9" fontId="133" fillId="0" borderId="0" applyFont="0" applyFill="0" applyBorder="0" applyAlignment="0" applyProtection="0"/>
    <xf numFmtId="10" fontId="3" fillId="0" borderId="0"/>
    <xf numFmtId="10" fontId="33" fillId="0" borderId="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210" fontId="3" fillId="0" borderId="0" applyFont="0" applyFill="0" applyBorder="0" applyAlignment="0" applyProtection="0">
      <alignment vertical="top"/>
    </xf>
    <xf numFmtId="229" fontId="26" fillId="0" borderId="0" applyFont="0" applyFill="0" applyBorder="0" applyAlignment="0" applyProtection="0"/>
    <xf numFmtId="230" fontId="32" fillId="0" borderId="0" applyFont="0" applyFill="0" applyBorder="0" applyAlignment="0" applyProtection="0"/>
    <xf numFmtId="228" fontId="32" fillId="0" borderId="0" applyFont="0" applyFill="0" applyBorder="0" applyAlignment="0" applyProtection="0"/>
    <xf numFmtId="227" fontId="62" fillId="0" borderId="0">
      <protection locked="0"/>
    </xf>
    <xf numFmtId="231" fontId="62" fillId="0" borderId="0">
      <protection locked="0"/>
    </xf>
    <xf numFmtId="232" fontId="3" fillId="0" borderId="0" applyFont="0" applyFill="0" applyBorder="0" applyAlignment="0" applyProtection="0"/>
    <xf numFmtId="227" fontId="62" fillId="0" borderId="0">
      <protection locked="0"/>
    </xf>
    <xf numFmtId="9" fontId="6" fillId="0" borderId="0" applyFont="0" applyFill="0" applyBorder="0" applyAlignment="0" applyProtection="0"/>
    <xf numFmtId="9" fontId="25"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233" fontId="26" fillId="0" borderId="0" applyFill="0" applyBorder="0" applyAlignment="0">
      <alignment horizontal="centerContinuous"/>
    </xf>
    <xf numFmtId="9" fontId="3" fillId="0" borderId="0" applyFont="0" applyFill="0" applyBorder="0" applyAlignment="0" applyProtection="0"/>
    <xf numFmtId="210" fontId="79" fillId="0" borderId="0" applyNumberFormat="0" applyFont="0" applyFill="0" applyBorder="0" applyAlignment="0" applyProtection="0">
      <alignment horizontal="left"/>
    </xf>
    <xf numFmtId="210" fontId="140" fillId="0" borderId="12">
      <alignment horizontal="center"/>
    </xf>
    <xf numFmtId="210" fontId="79" fillId="48" borderId="0" applyNumberFormat="0" applyFont="0" applyBorder="0" applyAlignment="0" applyProtection="0"/>
    <xf numFmtId="210" fontId="32" fillId="0" borderId="0"/>
    <xf numFmtId="231" fontId="62" fillId="0" borderId="0">
      <protection locked="0"/>
    </xf>
    <xf numFmtId="212" fontId="62" fillId="0" borderId="0">
      <protection locked="0"/>
    </xf>
    <xf numFmtId="210" fontId="141" fillId="0" borderId="0"/>
    <xf numFmtId="234" fontId="62" fillId="0" borderId="0">
      <protection locked="0"/>
    </xf>
    <xf numFmtId="210" fontId="3" fillId="0" borderId="0">
      <alignment horizontal="center"/>
    </xf>
    <xf numFmtId="210" fontId="142" fillId="0" borderId="14" applyNumberFormat="0" applyFill="0" applyBorder="0" applyAlignment="0" applyProtection="0">
      <protection hidden="1"/>
    </xf>
    <xf numFmtId="3" fontId="85" fillId="0" borderId="0">
      <alignment horizontal="left" vertical="center"/>
    </xf>
    <xf numFmtId="210" fontId="76" fillId="0" borderId="0">
      <alignment horizontal="left" vertical="center"/>
    </xf>
    <xf numFmtId="210" fontId="143" fillId="49" borderId="1">
      <alignment horizontal="center"/>
    </xf>
    <xf numFmtId="210" fontId="143" fillId="49" borderId="1">
      <alignment horizontal="center"/>
    </xf>
    <xf numFmtId="210" fontId="143" fillId="49" borderId="1">
      <alignment horizontal="center"/>
    </xf>
    <xf numFmtId="210" fontId="143" fillId="50" borderId="1">
      <alignment horizontal="center"/>
    </xf>
    <xf numFmtId="210" fontId="143" fillId="49" borderId="1">
      <alignment horizontal="center"/>
    </xf>
    <xf numFmtId="210" fontId="143" fillId="50" borderId="1">
      <alignment horizontal="center"/>
    </xf>
    <xf numFmtId="210" fontId="143" fillId="49" borderId="1">
      <alignment horizontal="center"/>
    </xf>
    <xf numFmtId="210" fontId="143" fillId="50" borderId="1">
      <alignment horizontal="center"/>
    </xf>
    <xf numFmtId="210" fontId="143" fillId="49" borderId="1">
      <alignment horizontal="center"/>
    </xf>
    <xf numFmtId="210" fontId="143" fillId="50" borderId="1">
      <alignment horizontal="center"/>
    </xf>
    <xf numFmtId="210" fontId="143" fillId="50" borderId="1">
      <alignment horizontal="center"/>
    </xf>
    <xf numFmtId="210" fontId="33" fillId="9" borderId="1">
      <alignment horizontal="center"/>
    </xf>
    <xf numFmtId="210" fontId="143" fillId="49" borderId="1">
      <alignment horizontal="center"/>
    </xf>
    <xf numFmtId="210" fontId="143" fillId="49" borderId="1">
      <alignment horizontal="center"/>
    </xf>
    <xf numFmtId="210" fontId="143" fillId="50" borderId="1">
      <alignment horizontal="center"/>
    </xf>
    <xf numFmtId="210" fontId="143" fillId="50" borderId="1">
      <alignment horizontal="center"/>
    </xf>
    <xf numFmtId="210" fontId="33" fillId="9" borderId="1">
      <alignment horizontal="center"/>
    </xf>
    <xf numFmtId="210" fontId="143" fillId="50" borderId="1">
      <alignment horizontal="center"/>
    </xf>
    <xf numFmtId="210" fontId="33" fillId="9" borderId="1">
      <alignment horizontal="center"/>
    </xf>
    <xf numFmtId="210" fontId="3" fillId="51" borderId="1">
      <alignment horizontal="center"/>
    </xf>
    <xf numFmtId="210" fontId="3" fillId="51" borderId="1">
      <alignment horizontal="center"/>
    </xf>
    <xf numFmtId="210" fontId="3" fillId="51" borderId="1">
      <alignment horizontal="center"/>
    </xf>
    <xf numFmtId="210" fontId="3" fillId="51" borderId="1">
      <alignment horizontal="center"/>
    </xf>
    <xf numFmtId="210" fontId="3" fillId="51" borderId="1">
      <alignment horizontal="center"/>
    </xf>
    <xf numFmtId="210" fontId="3" fillId="51" borderId="1">
      <alignment horizontal="center"/>
    </xf>
    <xf numFmtId="210" fontId="3" fillId="5" borderId="1">
      <alignment horizontal="center"/>
    </xf>
    <xf numFmtId="210" fontId="3" fillId="51" borderId="1">
      <alignment horizontal="center"/>
    </xf>
    <xf numFmtId="210" fontId="3" fillId="51" borderId="1">
      <alignment horizontal="center"/>
    </xf>
    <xf numFmtId="210" fontId="3" fillId="5" borderId="1">
      <alignment horizontal="center"/>
    </xf>
    <xf numFmtId="210" fontId="3" fillId="5" borderId="1">
      <alignment horizontal="center"/>
    </xf>
    <xf numFmtId="210" fontId="3" fillId="0" borderId="1"/>
    <xf numFmtId="210" fontId="3" fillId="0" borderId="1"/>
    <xf numFmtId="210" fontId="3" fillId="0" borderId="1"/>
    <xf numFmtId="210" fontId="3" fillId="0" borderId="1"/>
    <xf numFmtId="210" fontId="3" fillId="0" borderId="1"/>
    <xf numFmtId="210" fontId="3" fillId="0" borderId="1"/>
    <xf numFmtId="210" fontId="3" fillId="0" borderId="1"/>
    <xf numFmtId="210" fontId="3" fillId="0" borderId="1"/>
    <xf numFmtId="210" fontId="3" fillId="0" borderId="1"/>
    <xf numFmtId="210" fontId="3" fillId="0" borderId="1"/>
    <xf numFmtId="210" fontId="144" fillId="0" borderId="0">
      <alignment horizontal="center"/>
    </xf>
    <xf numFmtId="210" fontId="30" fillId="37" borderId="42" applyBorder="0"/>
    <xf numFmtId="210" fontId="145" fillId="0" borderId="0"/>
    <xf numFmtId="4" fontId="146" fillId="5" borderId="43" applyNumberFormat="0" applyProtection="0">
      <alignment vertical="center"/>
    </xf>
    <xf numFmtId="4" fontId="147" fillId="5" borderId="43" applyNumberFormat="0" applyProtection="0">
      <alignment vertical="center"/>
    </xf>
    <xf numFmtId="4" fontId="148" fillId="0" borderId="0" applyNumberFormat="0" applyProtection="0">
      <alignment horizontal="left" vertical="center" indent="1"/>
    </xf>
    <xf numFmtId="210" fontId="149" fillId="52" borderId="44" applyNumberFormat="0" applyProtection="0">
      <alignment horizontal="left" vertical="top" indent="1"/>
    </xf>
    <xf numFmtId="4" fontId="150" fillId="53" borderId="43" applyNumberFormat="0" applyProtection="0">
      <alignment horizontal="left" vertical="center" indent="1"/>
    </xf>
    <xf numFmtId="4" fontId="151" fillId="43" borderId="43" applyNumberFormat="0" applyProtection="0">
      <alignment vertical="center"/>
    </xf>
    <xf numFmtId="4" fontId="97" fillId="8" borderId="44" applyNumberFormat="0" applyProtection="0">
      <alignment horizontal="right" vertical="center"/>
    </xf>
    <xf numFmtId="4" fontId="97" fillId="14" borderId="44" applyNumberFormat="0" applyProtection="0">
      <alignment horizontal="right" vertical="center"/>
    </xf>
    <xf numFmtId="4" fontId="97" fillId="33" borderId="44" applyNumberFormat="0" applyProtection="0">
      <alignment horizontal="right" vertical="center"/>
    </xf>
    <xf numFmtId="4" fontId="152" fillId="31" borderId="43" applyNumberFormat="0" applyProtection="0">
      <alignment vertical="center"/>
    </xf>
    <xf numFmtId="4" fontId="97" fillId="16" borderId="44" applyNumberFormat="0" applyProtection="0">
      <alignment horizontal="right" vertical="center"/>
    </xf>
    <xf numFmtId="4" fontId="97" fillId="20" borderId="44" applyNumberFormat="0" applyProtection="0">
      <alignment horizontal="right" vertical="center"/>
    </xf>
    <xf numFmtId="4" fontId="97" fillId="35" borderId="44" applyNumberFormat="0" applyProtection="0">
      <alignment horizontal="right" vertical="center"/>
    </xf>
    <xf numFmtId="4" fontId="151" fillId="54" borderId="43" applyNumberFormat="0" applyProtection="0">
      <alignment vertical="center"/>
    </xf>
    <xf numFmtId="4" fontId="97" fillId="34" borderId="44" applyNumberFormat="0" applyProtection="0">
      <alignment horizontal="right" vertical="center"/>
    </xf>
    <xf numFmtId="4" fontId="97" fillId="55" borderId="44" applyNumberFormat="0" applyProtection="0">
      <alignment horizontal="right" vertical="center"/>
    </xf>
    <xf numFmtId="4" fontId="97" fillId="15" borderId="44" applyNumberFormat="0" applyProtection="0">
      <alignment horizontal="right" vertical="center"/>
    </xf>
    <xf numFmtId="4" fontId="153" fillId="43" borderId="43" applyNumberFormat="0" applyProtection="0">
      <alignment vertical="center"/>
    </xf>
    <xf numFmtId="4" fontId="154" fillId="56" borderId="43" applyNumberFormat="0" applyProtection="0">
      <alignment horizontal="left" vertical="center" indent="1"/>
    </xf>
    <xf numFmtId="4" fontId="154" fillId="4" borderId="43" applyNumberFormat="0" applyProtection="0">
      <alignment horizontal="left" vertical="center" indent="1"/>
    </xf>
    <xf numFmtId="4" fontId="155" fillId="53" borderId="43" applyNumberFormat="0" applyProtection="0">
      <alignment horizontal="left" vertical="center" indent="1"/>
    </xf>
    <xf numFmtId="4" fontId="156" fillId="57" borderId="43" applyNumberFormat="0" applyProtection="0">
      <alignment vertical="center"/>
    </xf>
    <xf numFmtId="4" fontId="157" fillId="39" borderId="43" applyNumberFormat="0" applyProtection="0">
      <alignment horizontal="left" vertical="center" indent="1"/>
    </xf>
    <xf numFmtId="4" fontId="158" fillId="4" borderId="43" applyNumberFormat="0" applyProtection="0">
      <alignment horizontal="left" vertical="center" indent="1"/>
    </xf>
    <xf numFmtId="4" fontId="159" fillId="53" borderId="43" applyNumberFormat="0" applyProtection="0">
      <alignment horizontal="left" vertical="center" indent="1"/>
    </xf>
    <xf numFmtId="210" fontId="27" fillId="58" borderId="44" applyNumberFormat="0" applyProtection="0">
      <alignment horizontal="left" vertical="center" indent="1"/>
    </xf>
    <xf numFmtId="210" fontId="27" fillId="58" borderId="44" applyNumberFormat="0" applyProtection="0">
      <alignment horizontal="left" vertical="top" indent="1"/>
    </xf>
    <xf numFmtId="210" fontId="27" fillId="59" borderId="44" applyNumberFormat="0" applyProtection="0">
      <alignment horizontal="left" vertical="center" indent="1"/>
    </xf>
    <xf numFmtId="210" fontId="27" fillId="59" borderId="44" applyNumberFormat="0" applyProtection="0">
      <alignment horizontal="left" vertical="top" indent="1"/>
    </xf>
    <xf numFmtId="210" fontId="27" fillId="13" borderId="44" applyNumberFormat="0" applyProtection="0">
      <alignment horizontal="left" vertical="center" indent="1"/>
    </xf>
    <xf numFmtId="210" fontId="27" fillId="13" borderId="44" applyNumberFormat="0" applyProtection="0">
      <alignment horizontal="left" vertical="top" indent="1"/>
    </xf>
    <xf numFmtId="210" fontId="27" fillId="60" borderId="44" applyNumberFormat="0" applyProtection="0">
      <alignment horizontal="left" vertical="center" indent="1"/>
    </xf>
    <xf numFmtId="210" fontId="27" fillId="60" borderId="44" applyNumberFormat="0" applyProtection="0">
      <alignment horizontal="left" vertical="top" indent="1"/>
    </xf>
    <xf numFmtId="210" fontId="27" fillId="61" borderId="1" applyNumberFormat="0">
      <protection locked="0"/>
    </xf>
    <xf numFmtId="4" fontId="160" fillId="39" borderId="43" applyNumberFormat="0" applyProtection="0">
      <alignment vertical="center"/>
    </xf>
    <xf numFmtId="4" fontId="161" fillId="39" borderId="43" applyNumberFormat="0" applyProtection="0">
      <alignment vertical="center"/>
    </xf>
    <xf numFmtId="4" fontId="154" fillId="4" borderId="43" applyNumberFormat="0" applyProtection="0">
      <alignment horizontal="left" vertical="center" indent="1"/>
    </xf>
    <xf numFmtId="210" fontId="97" fillId="46" borderId="44" applyNumberFormat="0" applyProtection="0">
      <alignment horizontal="left" vertical="top" indent="1"/>
    </xf>
    <xf numFmtId="4" fontId="162" fillId="39" borderId="43" applyNumberFormat="0" applyProtection="0">
      <alignment vertical="center"/>
    </xf>
    <xf numFmtId="4" fontId="163" fillId="39" borderId="43" applyNumberFormat="0" applyProtection="0">
      <alignment vertical="center"/>
    </xf>
    <xf numFmtId="4" fontId="28" fillId="0" borderId="0" applyNumberFormat="0" applyProtection="0">
      <alignment horizontal="left" vertical="center" indent="1"/>
    </xf>
    <xf numFmtId="210" fontId="97" fillId="59" borderId="44" applyNumberFormat="0" applyProtection="0">
      <alignment horizontal="left" vertical="top" indent="1"/>
    </xf>
    <xf numFmtId="4" fontId="164" fillId="39" borderId="43" applyNumberFormat="0" applyProtection="0">
      <alignment vertical="center"/>
    </xf>
    <xf numFmtId="4" fontId="165" fillId="39" borderId="43" applyNumberFormat="0" applyProtection="0">
      <alignment vertical="center"/>
    </xf>
    <xf numFmtId="4" fontId="154" fillId="38" borderId="43" applyNumberFormat="0" applyProtection="0">
      <alignment horizontal="left" vertical="center" indent="1"/>
    </xf>
    <xf numFmtId="4" fontId="166" fillId="57" borderId="43" applyNumberFormat="0" applyProtection="0">
      <alignment horizontal="left" indent="1"/>
    </xf>
    <xf numFmtId="4" fontId="167" fillId="39" borderId="43" applyNumberFormat="0" applyProtection="0">
      <alignment vertical="center"/>
    </xf>
    <xf numFmtId="210" fontId="168" fillId="8" borderId="0" applyNumberFormat="0" applyBorder="0" applyAlignment="0" applyProtection="0"/>
    <xf numFmtId="38" fontId="79" fillId="0" borderId="45"/>
    <xf numFmtId="235" fontId="3" fillId="0" borderId="0">
      <protection locked="0"/>
    </xf>
    <xf numFmtId="38" fontId="79" fillId="0" borderId="0" applyFont="0" applyFill="0" applyBorder="0" applyAlignment="0" applyProtection="0"/>
    <xf numFmtId="40" fontId="79" fillId="0" borderId="0" applyFont="0" applyFill="0" applyBorder="0" applyAlignment="0" applyProtection="0"/>
    <xf numFmtId="210" fontId="32" fillId="62" borderId="1"/>
    <xf numFmtId="210" fontId="169" fillId="30" borderId="46" applyNumberFormat="0" applyFont="0" applyBorder="0" applyAlignment="0"/>
    <xf numFmtId="210" fontId="170" fillId="38" borderId="0">
      <alignment horizontal="center"/>
    </xf>
    <xf numFmtId="210" fontId="171" fillId="0" borderId="0" applyNumberFormat="0" applyFill="0" applyBorder="0" applyAlignment="0" applyProtection="0"/>
    <xf numFmtId="210" fontId="172" fillId="0" borderId="0">
      <alignment horizontal="right"/>
    </xf>
    <xf numFmtId="49" fontId="172" fillId="0" borderId="0">
      <alignment horizontal="center"/>
    </xf>
    <xf numFmtId="210" fontId="86" fillId="0" borderId="0">
      <alignment horizontal="right"/>
    </xf>
    <xf numFmtId="210" fontId="172" fillId="0" borderId="0">
      <alignment horizontal="left"/>
    </xf>
    <xf numFmtId="210" fontId="30" fillId="0" borderId="42" applyBorder="0" applyAlignment="0"/>
    <xf numFmtId="210" fontId="3" fillId="0" borderId="0"/>
    <xf numFmtId="49" fontId="85" fillId="0" borderId="0">
      <alignment horizontal="left" vertical="center"/>
    </xf>
    <xf numFmtId="210" fontId="3" fillId="0" borderId="0"/>
    <xf numFmtId="2" fontId="3" fillId="0" borderId="0" applyFill="0" applyBorder="0" applyProtection="0">
      <alignment horizontal="right"/>
    </xf>
    <xf numFmtId="14" fontId="173" fillId="63" borderId="47" applyProtection="0">
      <alignment horizontal="right"/>
    </xf>
    <xf numFmtId="14" fontId="173" fillId="63" borderId="47" applyProtection="0">
      <alignment horizontal="left"/>
    </xf>
    <xf numFmtId="210" fontId="173" fillId="0" borderId="0" applyNumberFormat="0" applyFill="0" applyBorder="0" applyProtection="0">
      <alignment horizontal="left"/>
    </xf>
    <xf numFmtId="210" fontId="3" fillId="0" borderId="1" applyNumberFormat="0" applyFill="0" applyProtection="0">
      <alignment horizontal="right"/>
    </xf>
    <xf numFmtId="210" fontId="174" fillId="63" borderId="0" applyNumberFormat="0" applyBorder="0" applyProtection="0">
      <alignment horizontal="left"/>
    </xf>
    <xf numFmtId="210" fontId="9" fillId="0" borderId="0" applyNumberFormat="0" applyFill="0" applyBorder="0">
      <alignment horizontal="center" wrapText="1"/>
    </xf>
    <xf numFmtId="210" fontId="66" fillId="0" borderId="13">
      <alignment horizontal="center" vertical="top" wrapText="1"/>
    </xf>
    <xf numFmtId="210" fontId="65" fillId="0" borderId="12">
      <alignment horizontal="center" vertical="top" wrapText="1"/>
    </xf>
    <xf numFmtId="210" fontId="65" fillId="0" borderId="12">
      <alignment horizontal="center" vertical="top" wrapText="1"/>
    </xf>
    <xf numFmtId="210" fontId="65" fillId="0" borderId="12">
      <alignment horizontal="center" vertical="top" wrapText="1"/>
    </xf>
    <xf numFmtId="236" fontId="175" fillId="0" borderId="0"/>
    <xf numFmtId="49" fontId="86" fillId="0" borderId="31">
      <alignment horizontal="left" vertical="center"/>
    </xf>
    <xf numFmtId="49" fontId="76" fillId="0" borderId="31" applyFill="0">
      <alignment horizontal="left" vertical="center"/>
    </xf>
    <xf numFmtId="237" fontId="85" fillId="0" borderId="0" applyNumberFormat="0">
      <alignment horizontal="right"/>
    </xf>
    <xf numFmtId="238" fontId="176" fillId="0" borderId="10" applyBorder="0" applyProtection="0">
      <alignment horizontal="right" vertical="center"/>
    </xf>
    <xf numFmtId="210" fontId="105" fillId="64" borderId="0">
      <alignment horizontal="centerContinuous" vertical="center" wrapText="1"/>
    </xf>
    <xf numFmtId="210" fontId="105" fillId="0" borderId="48">
      <alignment horizontal="left" vertical="center"/>
    </xf>
    <xf numFmtId="210" fontId="105" fillId="0" borderId="48">
      <alignment horizontal="left" vertical="center"/>
    </xf>
    <xf numFmtId="210" fontId="177" fillId="0" borderId="0" applyFill="0" applyBorder="0" applyProtection="0">
      <alignment horizontal="left"/>
    </xf>
    <xf numFmtId="210" fontId="178" fillId="0" borderId="5" applyFill="0" applyBorder="0" applyProtection="0">
      <alignment horizontal="left" vertical="top"/>
    </xf>
    <xf numFmtId="210" fontId="3" fillId="0" borderId="0" applyNumberFormat="0"/>
    <xf numFmtId="210" fontId="107" fillId="0" borderId="0">
      <alignment horizontal="left"/>
    </xf>
    <xf numFmtId="210" fontId="84" fillId="0" borderId="0">
      <alignment horizontal="left"/>
    </xf>
    <xf numFmtId="210" fontId="23" fillId="0" borderId="0">
      <alignment horizontal="left"/>
    </xf>
    <xf numFmtId="210" fontId="179" fillId="0" borderId="0">
      <alignment horizontal="left" vertical="top"/>
    </xf>
    <xf numFmtId="210" fontId="84" fillId="0" borderId="0">
      <alignment horizontal="left"/>
    </xf>
    <xf numFmtId="210" fontId="23" fillId="0" borderId="0">
      <alignment horizontal="left"/>
    </xf>
    <xf numFmtId="210" fontId="30" fillId="62" borderId="49" applyBorder="0">
      <alignment horizontal="center" vertical="center" wrapText="1"/>
    </xf>
    <xf numFmtId="2" fontId="103" fillId="0" borderId="0">
      <protection locked="0"/>
    </xf>
    <xf numFmtId="2" fontId="103" fillId="0" borderId="0">
      <protection locked="0"/>
    </xf>
    <xf numFmtId="210" fontId="180" fillId="36" borderId="14"/>
    <xf numFmtId="210" fontId="3" fillId="0" borderId="50" applyNumberFormat="0" applyFont="0" applyFill="0" applyAlignment="0" applyProtection="0"/>
    <xf numFmtId="210" fontId="181" fillId="0" borderId="0" applyNumberFormat="0" applyFill="0" applyBorder="0" applyAlignment="0" applyProtection="0"/>
    <xf numFmtId="210" fontId="182" fillId="0" borderId="51" applyNumberFormat="0" applyFill="0" applyAlignment="0" applyProtection="0"/>
    <xf numFmtId="210" fontId="183" fillId="0" borderId="52" applyNumberFormat="0" applyFill="0" applyAlignment="0" applyProtection="0"/>
    <xf numFmtId="210" fontId="184" fillId="0" borderId="53" applyNumberFormat="0" applyFill="0" applyAlignment="0" applyProtection="0"/>
    <xf numFmtId="210" fontId="184" fillId="0" borderId="53" applyNumberFormat="0" applyFill="0" applyAlignment="0" applyProtection="0"/>
    <xf numFmtId="210" fontId="184" fillId="0" borderId="0" applyNumberFormat="0" applyFill="0" applyBorder="0" applyAlignment="0" applyProtection="0"/>
    <xf numFmtId="210" fontId="13" fillId="3" borderId="54"/>
    <xf numFmtId="231" fontId="62" fillId="0" borderId="0">
      <protection locked="0"/>
    </xf>
    <xf numFmtId="212" fontId="62" fillId="0" borderId="0">
      <protection locked="0"/>
    </xf>
    <xf numFmtId="210" fontId="79" fillId="0" borderId="0"/>
    <xf numFmtId="210" fontId="185" fillId="0" borderId="55" applyNumberFormat="0" applyFill="0" applyAlignment="0" applyProtection="0"/>
    <xf numFmtId="4" fontId="3" fillId="0" borderId="0" applyFont="0" applyFill="0" applyBorder="0" applyAlignment="0" applyProtection="0"/>
    <xf numFmtId="239" fontId="3" fillId="0" borderId="0" applyFont="0" applyFill="0" applyBorder="0" applyAlignment="0" applyProtection="0"/>
    <xf numFmtId="240" fontId="3" fillId="0" borderId="0" applyFont="0" applyFill="0" applyBorder="0" applyAlignment="0" applyProtection="0"/>
    <xf numFmtId="210" fontId="186" fillId="0" borderId="0" applyNumberFormat="0" applyFill="0" applyBorder="0" applyAlignment="0" applyProtection="0"/>
    <xf numFmtId="210" fontId="47" fillId="0" borderId="0" applyNumberFormat="0" applyFill="0" applyBorder="0" applyAlignment="0" applyProtection="0"/>
    <xf numFmtId="210" fontId="187" fillId="0" borderId="0" applyNumberFormat="0" applyFont="0" applyFill="0" applyBorder="0" applyAlignment="0" applyProtection="0">
      <alignment vertical="top"/>
    </xf>
    <xf numFmtId="210" fontId="188" fillId="0" borderId="0" applyNumberFormat="0" applyFont="0" applyFill="0" applyBorder="0" applyAlignment="0" applyProtection="0">
      <alignment vertical="top"/>
    </xf>
    <xf numFmtId="210" fontId="188" fillId="0" borderId="0" applyNumberFormat="0" applyFont="0" applyFill="0" applyBorder="0" applyAlignment="0" applyProtection="0">
      <alignment vertical="top"/>
    </xf>
    <xf numFmtId="210" fontId="187" fillId="0" borderId="0" applyNumberFormat="0" applyFont="0" applyFill="0" applyBorder="0" applyAlignment="0" applyProtection="0"/>
    <xf numFmtId="210" fontId="187" fillId="0" borderId="0" applyNumberFormat="0" applyFont="0" applyFill="0" applyBorder="0" applyAlignment="0" applyProtection="0">
      <alignment horizontal="left" vertical="top"/>
    </xf>
    <xf numFmtId="210" fontId="187" fillId="0" borderId="0" applyNumberFormat="0" applyFont="0" applyFill="0" applyBorder="0" applyAlignment="0" applyProtection="0">
      <alignment horizontal="left" vertical="top"/>
    </xf>
    <xf numFmtId="210" fontId="187" fillId="0" borderId="0" applyNumberFormat="0" applyFont="0" applyFill="0" applyBorder="0" applyAlignment="0" applyProtection="0">
      <alignment horizontal="left" vertical="top"/>
    </xf>
    <xf numFmtId="210" fontId="26" fillId="0" borderId="0"/>
    <xf numFmtId="210" fontId="189" fillId="0" borderId="0">
      <alignment horizontal="left" wrapText="1"/>
    </xf>
    <xf numFmtId="210" fontId="42" fillId="0" borderId="10" applyNumberFormat="0" applyFont="0" applyFill="0" applyBorder="0" applyAlignment="0" applyProtection="0">
      <alignment horizontal="center" wrapText="1"/>
    </xf>
    <xf numFmtId="241" fontId="32" fillId="0" borderId="0" applyNumberFormat="0" applyFont="0" applyFill="0" applyBorder="0" applyAlignment="0" applyProtection="0">
      <alignment horizontal="right"/>
    </xf>
    <xf numFmtId="210" fontId="42" fillId="0" borderId="0" applyNumberFormat="0" applyFont="0" applyFill="0" applyBorder="0" applyAlignment="0" applyProtection="0">
      <alignment horizontal="left" indent="1"/>
    </xf>
    <xf numFmtId="242" fontId="42" fillId="0" borderId="0" applyNumberFormat="0" applyFont="0" applyFill="0" applyBorder="0" applyAlignment="0" applyProtection="0"/>
    <xf numFmtId="210" fontId="26" fillId="0" borderId="10" applyNumberFormat="0" applyFont="0" applyFill="0" applyAlignment="0" applyProtection="0">
      <alignment horizontal="center"/>
    </xf>
    <xf numFmtId="210" fontId="26" fillId="0" borderId="0" applyNumberFormat="0" applyFont="0" applyFill="0" applyBorder="0" applyAlignment="0" applyProtection="0">
      <alignment horizontal="left" wrapText="1" indent="1"/>
    </xf>
    <xf numFmtId="210" fontId="42" fillId="0" borderId="0" applyNumberFormat="0" applyFont="0" applyFill="0" applyBorder="0" applyAlignment="0" applyProtection="0">
      <alignment horizontal="left" indent="1"/>
    </xf>
    <xf numFmtId="210" fontId="26" fillId="0" borderId="0" applyNumberFormat="0" applyFont="0" applyFill="0" applyBorder="0" applyAlignment="0" applyProtection="0">
      <alignment horizontal="left" wrapText="1" indent="2"/>
    </xf>
    <xf numFmtId="243" fontId="26" fillId="0" borderId="0">
      <alignment horizontal="right"/>
    </xf>
    <xf numFmtId="49" fontId="85" fillId="0" borderId="31">
      <alignment horizontal="left"/>
    </xf>
    <xf numFmtId="210" fontId="105" fillId="0" borderId="35">
      <alignment horizontal="left"/>
    </xf>
    <xf numFmtId="210" fontId="105" fillId="0" borderId="35">
      <alignment horizontal="left"/>
    </xf>
    <xf numFmtId="210" fontId="105" fillId="0" borderId="35">
      <alignment horizontal="left"/>
    </xf>
    <xf numFmtId="210" fontId="107" fillId="0" borderId="0">
      <alignment horizontal="left" vertical="center"/>
    </xf>
    <xf numFmtId="49" fontId="172" fillId="0" borderId="31">
      <alignment horizontal="left"/>
    </xf>
    <xf numFmtId="210" fontId="101" fillId="0" borderId="0">
      <alignment horizontal="center"/>
    </xf>
    <xf numFmtId="1" fontId="190" fillId="0" borderId="4" applyFont="0" applyFill="0" applyBorder="0" applyAlignment="0" applyProtection="0">
      <alignment horizontal="left"/>
    </xf>
    <xf numFmtId="210" fontId="191" fillId="65" borderId="56" applyNumberFormat="0" applyAlignment="0" applyProtection="0"/>
    <xf numFmtId="210" fontId="115" fillId="0" borderId="0" applyNumberFormat="0" applyFill="0" applyBorder="0" applyAlignment="0" applyProtection="0"/>
    <xf numFmtId="210" fontId="18" fillId="0" borderId="0" applyProtection="0"/>
    <xf numFmtId="210" fontId="19" fillId="0" borderId="0" applyProtection="0"/>
    <xf numFmtId="210" fontId="20" fillId="0" borderId="0" applyProtection="0"/>
    <xf numFmtId="210" fontId="18" fillId="0" borderId="11" applyProtection="0"/>
    <xf numFmtId="210" fontId="18" fillId="0" borderId="0"/>
    <xf numFmtId="2" fontId="18" fillId="0" borderId="0" applyProtection="0"/>
    <xf numFmtId="210" fontId="192" fillId="0" borderId="0"/>
    <xf numFmtId="210" fontId="1" fillId="0" borderId="0"/>
    <xf numFmtId="40" fontId="25" fillId="0" borderId="0" applyFont="0" applyFill="0" applyBorder="0" applyAlignment="0" applyProtection="0"/>
    <xf numFmtId="210" fontId="1" fillId="0" borderId="0"/>
    <xf numFmtId="210" fontId="1" fillId="0" borderId="0"/>
    <xf numFmtId="9"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210" fontId="3" fillId="46" borderId="40" applyNumberFormat="0" applyFont="0" applyAlignment="0" applyProtection="0"/>
    <xf numFmtId="10" fontId="28" fillId="39" borderId="26" applyNumberFormat="0" applyBorder="0" applyAlignment="0" applyProtection="0"/>
    <xf numFmtId="193" fontId="9" fillId="0" borderId="57"/>
    <xf numFmtId="210" fontId="69" fillId="39" borderId="26">
      <alignment horizontal="right" vertical="center"/>
    </xf>
    <xf numFmtId="210" fontId="139" fillId="47" borderId="41" applyNumberFormat="0" applyAlignment="0" applyProtection="0"/>
    <xf numFmtId="210" fontId="139" fillId="47" borderId="41" applyNumberFormat="0" applyAlignment="0" applyProtection="0"/>
    <xf numFmtId="210" fontId="26" fillId="23" borderId="40" applyNumberFormat="0" applyFont="0" applyAlignment="0" applyProtection="0"/>
    <xf numFmtId="210" fontId="139" fillId="47" borderId="41" applyNumberFormat="0" applyAlignment="0" applyProtection="0"/>
    <xf numFmtId="210" fontId="3" fillId="46" borderId="40" applyNumberFormat="0" applyFont="0" applyAlignment="0" applyProtection="0"/>
    <xf numFmtId="3" fontId="69" fillId="39" borderId="26">
      <alignment horizontal="right" vertical="center" indent="1"/>
    </xf>
    <xf numFmtId="210" fontId="3" fillId="46" borderId="40" applyNumberFormat="0" applyFont="0" applyAlignment="0" applyProtection="0"/>
    <xf numFmtId="210" fontId="70" fillId="37" borderId="26">
      <alignment horizontal="left" vertical="center"/>
    </xf>
    <xf numFmtId="210" fontId="27" fillId="58" borderId="44" applyNumberFormat="0" applyProtection="0">
      <alignment horizontal="left" vertical="top" indent="1"/>
    </xf>
    <xf numFmtId="210" fontId="70" fillId="37" borderId="26">
      <alignment horizontal="left" vertical="center"/>
    </xf>
    <xf numFmtId="43" fontId="1" fillId="0" borderId="0" applyFont="0" applyFill="0" applyBorder="0" applyAlignment="0" applyProtection="0"/>
    <xf numFmtId="192" fontId="9" fillId="0" borderId="57"/>
    <xf numFmtId="210" fontId="70" fillId="31" borderId="26">
      <alignment horizontal="center" vertical="center"/>
    </xf>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210" fontId="71" fillId="39" borderId="26"/>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43" fontId="9" fillId="0" borderId="0"/>
    <xf numFmtId="193" fontId="9" fillId="0" borderId="57"/>
    <xf numFmtId="210" fontId="73" fillId="40" borderId="26">
      <alignment horizontal="left" vertical="center"/>
    </xf>
    <xf numFmtId="200" fontId="69" fillId="39" borderId="26">
      <alignment horizontal="right" vertical="center" indent="1"/>
    </xf>
    <xf numFmtId="210" fontId="73" fillId="40" borderId="26">
      <alignment horizontal="left" vertical="center"/>
    </xf>
    <xf numFmtId="193" fontId="9" fillId="0" borderId="57"/>
    <xf numFmtId="4" fontId="97" fillId="14" borderId="44" applyNumberFormat="0" applyProtection="0">
      <alignment horizontal="right" vertical="center"/>
    </xf>
    <xf numFmtId="43" fontId="1" fillId="0" borderId="0" applyFont="0" applyFill="0" applyBorder="0" applyAlignment="0" applyProtection="0"/>
    <xf numFmtId="210" fontId="139" fillId="47" borderId="41" applyNumberFormat="0" applyAlignment="0" applyProtection="0"/>
    <xf numFmtId="192" fontId="9" fillId="0" borderId="57"/>
    <xf numFmtId="193" fontId="9" fillId="0" borderId="57"/>
    <xf numFmtId="193" fontId="9" fillId="0" borderId="57"/>
    <xf numFmtId="193" fontId="9" fillId="0" borderId="57"/>
    <xf numFmtId="193" fontId="9" fillId="0" borderId="57"/>
    <xf numFmtId="210" fontId="119" fillId="11" borderId="37" applyNumberFormat="0" applyAlignment="0" applyProtection="0"/>
    <xf numFmtId="210" fontId="26" fillId="23" borderId="40" applyNumberFormat="0" applyFont="0" applyAlignment="0" applyProtection="0"/>
    <xf numFmtId="210" fontId="90" fillId="0" borderId="33" applyNumberFormat="0" applyFill="0" applyAlignment="0" applyProtection="0"/>
    <xf numFmtId="210" fontId="26" fillId="23" borderId="40" applyNumberFormat="0" applyFont="0" applyAlignment="0" applyProtection="0"/>
    <xf numFmtId="192" fontId="9" fillId="0" borderId="57"/>
    <xf numFmtId="193" fontId="9" fillId="0" borderId="57"/>
    <xf numFmtId="193" fontId="9" fillId="0" borderId="57"/>
    <xf numFmtId="210" fontId="64" fillId="13" borderId="24" applyNumberFormat="0" applyAlignment="0" applyProtection="0"/>
    <xf numFmtId="210" fontId="64" fillId="13" borderId="24" applyNumberFormat="0" applyAlignment="0" applyProtection="0"/>
    <xf numFmtId="3" fontId="69" fillId="39" borderId="26">
      <alignment horizontal="right" vertical="center" indent="1"/>
    </xf>
    <xf numFmtId="210" fontId="71" fillId="39" borderId="26">
      <alignment horizontal="left" vertical="center"/>
    </xf>
    <xf numFmtId="10" fontId="28" fillId="39" borderId="26" applyNumberFormat="0" applyBorder="0" applyAlignment="0" applyProtection="0"/>
    <xf numFmtId="210" fontId="70" fillId="37" borderId="26">
      <alignment horizontal="left" vertical="center"/>
    </xf>
    <xf numFmtId="199" fontId="69" fillId="39" borderId="26">
      <alignment horizontal="right" vertical="center" indent="1"/>
    </xf>
    <xf numFmtId="210" fontId="3" fillId="46" borderId="40" applyNumberFormat="0" applyFont="0" applyAlignment="0" applyProtection="0"/>
    <xf numFmtId="210" fontId="26" fillId="23" borderId="40" applyNumberFormat="0" applyFont="0" applyAlignment="0" applyProtection="0"/>
    <xf numFmtId="210" fontId="119" fillId="11" borderId="37" applyNumberFormat="0" applyAlignment="0" applyProtection="0"/>
    <xf numFmtId="210" fontId="119" fillId="11" borderId="37" applyNumberFormat="0" applyAlignment="0" applyProtection="0"/>
    <xf numFmtId="210" fontId="73" fillId="40" borderId="26">
      <alignment horizontal="left" vertical="center"/>
    </xf>
    <xf numFmtId="199" fontId="68" fillId="39" borderId="26">
      <alignment horizontal="right" vertical="center" indent="1"/>
    </xf>
    <xf numFmtId="210" fontId="64" fillId="13" borderId="24" applyNumberFormat="0" applyAlignment="0" applyProtection="0"/>
    <xf numFmtId="210" fontId="64" fillId="13" borderId="24" applyNumberFormat="0" applyAlignment="0" applyProtection="0"/>
    <xf numFmtId="43" fontId="2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1" fillId="0" borderId="0" applyFont="0" applyFill="0" applyBorder="0" applyAlignment="0" applyProtection="0"/>
    <xf numFmtId="43" fontId="80"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200" fontId="68" fillId="39" borderId="26">
      <alignment horizontal="right" vertical="center" indent="1"/>
    </xf>
    <xf numFmtId="210" fontId="68" fillId="39" borderId="26">
      <alignment horizontal="right" vertical="center"/>
    </xf>
    <xf numFmtId="210" fontId="68" fillId="39" borderId="26">
      <alignment horizontal="right" vertical="center"/>
    </xf>
    <xf numFmtId="192" fontId="9" fillId="0" borderId="57"/>
    <xf numFmtId="210" fontId="3" fillId="46" borderId="40" applyNumberFormat="0" applyFont="0" applyAlignment="0" applyProtection="0"/>
    <xf numFmtId="3" fontId="69" fillId="39" borderId="26">
      <alignment horizontal="right" vertical="center" indent="1"/>
    </xf>
    <xf numFmtId="210" fontId="139" fillId="47" borderId="41" applyNumberFormat="0" applyAlignment="0" applyProtection="0"/>
    <xf numFmtId="210" fontId="70" fillId="31" borderId="26">
      <alignment horizontal="center" vertical="center"/>
    </xf>
    <xf numFmtId="43" fontId="1" fillId="0" borderId="0" applyFont="0" applyFill="0" applyBorder="0" applyAlignment="0" applyProtection="0"/>
    <xf numFmtId="210" fontId="68" fillId="39" borderId="26">
      <alignment horizontal="right" vertical="center"/>
    </xf>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193" fontId="9" fillId="0" borderId="57"/>
    <xf numFmtId="210" fontId="139" fillId="47" borderId="41" applyNumberFormat="0" applyAlignment="0" applyProtection="0"/>
    <xf numFmtId="210" fontId="90" fillId="0" borderId="33" applyNumberFormat="0" applyFill="0" applyAlignment="0" applyProtection="0"/>
    <xf numFmtId="193" fontId="9" fillId="0" borderId="57"/>
    <xf numFmtId="210" fontId="27" fillId="60" borderId="44" applyNumberFormat="0" applyProtection="0">
      <alignment horizontal="left" vertical="top" indent="1"/>
    </xf>
    <xf numFmtId="210" fontId="73" fillId="40" borderId="26">
      <alignment horizontal="left" vertical="center"/>
    </xf>
    <xf numFmtId="210" fontId="119" fillId="11" borderId="37" applyNumberFormat="0" applyAlignment="0" applyProtection="0"/>
    <xf numFmtId="210" fontId="119" fillId="11" borderId="37" applyNumberFormat="0" applyAlignment="0" applyProtection="0"/>
    <xf numFmtId="210" fontId="69" fillId="39" borderId="26">
      <alignment horizontal="right" vertical="center"/>
    </xf>
    <xf numFmtId="199" fontId="69" fillId="39" borderId="26">
      <alignment horizontal="right" vertical="center" indent="1"/>
    </xf>
    <xf numFmtId="210" fontId="71" fillId="39" borderId="26"/>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10" fontId="28" fillId="39" borderId="26" applyNumberFormat="0" applyBorder="0" applyAlignment="0" applyProtection="0"/>
    <xf numFmtId="210" fontId="90" fillId="0" borderId="33" applyNumberFormat="0" applyFill="0" applyAlignment="0" applyProtection="0"/>
    <xf numFmtId="210" fontId="70" fillId="37" borderId="26">
      <alignment horizontal="left" vertical="center"/>
    </xf>
    <xf numFmtId="43" fontId="1" fillId="0" borderId="0" applyFont="0" applyFill="0" applyBorder="0" applyAlignment="0" applyProtection="0"/>
    <xf numFmtId="210" fontId="26" fillId="23" borderId="40" applyNumberFormat="0" applyFont="0" applyAlignment="0" applyProtection="0"/>
    <xf numFmtId="210" fontId="3" fillId="46" borderId="40" applyNumberFormat="0" applyFont="0" applyAlignment="0" applyProtection="0"/>
    <xf numFmtId="210" fontId="26" fillId="23" borderId="40" applyNumberFormat="0" applyFont="0" applyAlignment="0" applyProtection="0"/>
    <xf numFmtId="193" fontId="9" fillId="0" borderId="57"/>
    <xf numFmtId="193" fontId="9" fillId="0" borderId="57"/>
    <xf numFmtId="210" fontId="64" fillId="13" borderId="24" applyNumberFormat="0" applyAlignment="0" applyProtection="0"/>
    <xf numFmtId="210" fontId="3" fillId="46" borderId="40" applyNumberFormat="0" applyFont="0" applyAlignment="0" applyProtection="0"/>
    <xf numFmtId="192" fontId="9" fillId="0" borderId="57"/>
    <xf numFmtId="192" fontId="9" fillId="0" borderId="57"/>
    <xf numFmtId="192" fontId="9" fillId="0" borderId="57"/>
    <xf numFmtId="210" fontId="3" fillId="46" borderId="40" applyNumberFormat="0" applyFont="0" applyAlignment="0" applyProtection="0"/>
    <xf numFmtId="192" fontId="9" fillId="0" borderId="57"/>
    <xf numFmtId="193" fontId="9" fillId="0" borderId="57"/>
    <xf numFmtId="193" fontId="9" fillId="0" borderId="57"/>
    <xf numFmtId="192" fontId="9" fillId="0" borderId="57"/>
    <xf numFmtId="193" fontId="9" fillId="0" borderId="57"/>
    <xf numFmtId="192" fontId="9" fillId="0" borderId="57"/>
    <xf numFmtId="192" fontId="9" fillId="0" borderId="57"/>
    <xf numFmtId="210" fontId="49" fillId="36" borderId="22" applyNumberFormat="0" applyAlignment="0" applyProtection="0"/>
    <xf numFmtId="192" fontId="9" fillId="0" borderId="57"/>
    <xf numFmtId="210" fontId="70" fillId="37" borderId="26">
      <alignment horizontal="left" vertical="center"/>
    </xf>
    <xf numFmtId="210" fontId="68" fillId="39" borderId="26">
      <alignment horizontal="right" vertical="center"/>
    </xf>
    <xf numFmtId="210" fontId="27" fillId="58" borderId="44" applyNumberFormat="0" applyProtection="0">
      <alignment horizontal="left" vertical="top" indent="1"/>
    </xf>
    <xf numFmtId="192" fontId="9" fillId="0" borderId="57"/>
    <xf numFmtId="210" fontId="97" fillId="59" borderId="44" applyNumberFormat="0" applyProtection="0">
      <alignment horizontal="left" vertical="top" indent="1"/>
    </xf>
    <xf numFmtId="210" fontId="68" fillId="39" borderId="26">
      <alignment horizontal="right" vertical="center"/>
    </xf>
    <xf numFmtId="210" fontId="68" fillId="39" borderId="26">
      <alignment horizontal="right" vertical="center"/>
    </xf>
    <xf numFmtId="192" fontId="9" fillId="0" borderId="57"/>
    <xf numFmtId="210" fontId="119" fillId="11" borderId="37" applyNumberFormat="0" applyAlignment="0" applyProtection="0"/>
    <xf numFmtId="4" fontId="97" fillId="20" borderId="44" applyNumberFormat="0" applyProtection="0">
      <alignment horizontal="right" vertical="center"/>
    </xf>
    <xf numFmtId="210" fontId="73" fillId="40" borderId="26">
      <alignment horizontal="left" vertical="center"/>
    </xf>
    <xf numFmtId="193" fontId="9" fillId="0" borderId="57"/>
    <xf numFmtId="192" fontId="9" fillId="0" borderId="57"/>
    <xf numFmtId="193" fontId="9" fillId="0" borderId="57"/>
    <xf numFmtId="199" fontId="68" fillId="39" borderId="26">
      <alignment horizontal="right" vertical="center" indent="1"/>
    </xf>
    <xf numFmtId="1" fontId="190" fillId="0" borderId="58" applyFont="0" applyFill="0" applyBorder="0" applyAlignment="0" applyProtection="0">
      <alignment horizontal="left"/>
    </xf>
    <xf numFmtId="210" fontId="68" fillId="39" borderId="26">
      <alignment horizontal="right" vertical="center"/>
    </xf>
    <xf numFmtId="210" fontId="69" fillId="39" borderId="26">
      <alignment horizontal="right" vertical="center"/>
    </xf>
    <xf numFmtId="210" fontId="139" fillId="47" borderId="41" applyNumberFormat="0" applyAlignment="0" applyProtection="0"/>
    <xf numFmtId="210" fontId="71" fillId="39" borderId="26">
      <alignment horizontal="left" vertical="center"/>
    </xf>
    <xf numFmtId="10" fontId="28" fillId="39" borderId="26" applyNumberFormat="0" applyBorder="0" applyAlignment="0" applyProtection="0"/>
    <xf numFmtId="192" fontId="9" fillId="0" borderId="57"/>
    <xf numFmtId="43" fontId="1" fillId="0" borderId="0" applyFont="0" applyFill="0" applyBorder="0" applyAlignment="0" applyProtection="0"/>
    <xf numFmtId="210" fontId="13" fillId="3" borderId="16"/>
    <xf numFmtId="210" fontId="45" fillId="36" borderId="21" applyNumberFormat="0" applyAlignment="0" applyProtection="0"/>
    <xf numFmtId="210" fontId="49" fillId="36" borderId="22" applyNumberFormat="0" applyAlignment="0" applyProtection="0"/>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43" fontId="9" fillId="0" borderId="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3" fontId="69" fillId="39" borderId="26">
      <alignment horizontal="right" vertical="center" indent="1"/>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xf numFmtId="210" fontId="71" fillId="39" borderId="26"/>
    <xf numFmtId="210" fontId="71" fillId="39" borderId="26"/>
    <xf numFmtId="210" fontId="71" fillId="39" borderId="26"/>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3" fontId="69" fillId="39" borderId="26">
      <alignment horizontal="right" vertical="center" indent="1"/>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0" fillId="37" borderId="26">
      <alignment horizontal="left" vertical="center"/>
    </xf>
    <xf numFmtId="210" fontId="70" fillId="37" borderId="26">
      <alignment horizontal="left" vertical="center"/>
    </xf>
    <xf numFmtId="210" fontId="70" fillId="37" borderId="26">
      <alignment horizontal="left" vertical="center"/>
    </xf>
    <xf numFmtId="210" fontId="70" fillId="37" borderId="26">
      <alignment horizontal="left" vertical="center"/>
    </xf>
    <xf numFmtId="43" fontId="2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1" fillId="0" borderId="0" applyFont="0" applyFill="0" applyBorder="0" applyAlignment="0" applyProtection="0"/>
    <xf numFmtId="43" fontId="80"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210" fontId="88" fillId="12" borderId="22" applyNumberFormat="0" applyAlignment="0" applyProtection="0"/>
    <xf numFmtId="210" fontId="90" fillId="0" borderId="33" applyNumberFormat="0" applyFill="0" applyAlignment="0" applyProtection="0"/>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210" fontId="3" fillId="46" borderId="40" applyNumberFormat="0" applyFont="0" applyAlignment="0" applyProtection="0"/>
    <xf numFmtId="210" fontId="3" fillId="46" borderId="40" applyNumberFormat="0" applyFont="0" applyAlignment="0" applyProtection="0"/>
    <xf numFmtId="210" fontId="3" fillId="46"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3" fillId="46" borderId="40" applyNumberFormat="0" applyFont="0" applyAlignment="0" applyProtection="0"/>
    <xf numFmtId="210" fontId="38" fillId="46" borderId="40" applyNumberFormat="0" applyFon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49" fillId="52" borderId="44" applyNumberFormat="0" applyProtection="0">
      <alignment horizontal="left" vertical="top" indent="1"/>
    </xf>
    <xf numFmtId="4" fontId="97" fillId="8" borderId="44" applyNumberFormat="0" applyProtection="0">
      <alignment horizontal="right" vertical="center"/>
    </xf>
    <xf numFmtId="4" fontId="97" fillId="14" borderId="44" applyNumberFormat="0" applyProtection="0">
      <alignment horizontal="right" vertical="center"/>
    </xf>
    <xf numFmtId="4" fontId="97" fillId="33" borderId="44" applyNumberFormat="0" applyProtection="0">
      <alignment horizontal="right" vertical="center"/>
    </xf>
    <xf numFmtId="4" fontId="97" fillId="16" borderId="44" applyNumberFormat="0" applyProtection="0">
      <alignment horizontal="right" vertical="center"/>
    </xf>
    <xf numFmtId="4" fontId="97" fillId="20" borderId="44" applyNumberFormat="0" applyProtection="0">
      <alignment horizontal="right" vertical="center"/>
    </xf>
    <xf numFmtId="4" fontId="97" fillId="35" borderId="44" applyNumberFormat="0" applyProtection="0">
      <alignment horizontal="right" vertical="center"/>
    </xf>
    <xf numFmtId="4" fontId="97" fillId="34" borderId="44" applyNumberFormat="0" applyProtection="0">
      <alignment horizontal="right" vertical="center"/>
    </xf>
    <xf numFmtId="4" fontId="97" fillId="55" borderId="44" applyNumberFormat="0" applyProtection="0">
      <alignment horizontal="right" vertical="center"/>
    </xf>
    <xf numFmtId="4" fontId="97" fillId="15" borderId="44" applyNumberFormat="0" applyProtection="0">
      <alignment horizontal="right" vertical="center"/>
    </xf>
    <xf numFmtId="210" fontId="27" fillId="58" borderId="44" applyNumberFormat="0" applyProtection="0">
      <alignment horizontal="left" vertical="center" indent="1"/>
    </xf>
    <xf numFmtId="210" fontId="27" fillId="58" borderId="44" applyNumberFormat="0" applyProtection="0">
      <alignment horizontal="left" vertical="top" indent="1"/>
    </xf>
    <xf numFmtId="210" fontId="27" fillId="59" borderId="44" applyNumberFormat="0" applyProtection="0">
      <alignment horizontal="left" vertical="center" indent="1"/>
    </xf>
    <xf numFmtId="210" fontId="27" fillId="59" borderId="44" applyNumberFormat="0" applyProtection="0">
      <alignment horizontal="left" vertical="top" indent="1"/>
    </xf>
    <xf numFmtId="210" fontId="27" fillId="13" borderId="44" applyNumberFormat="0" applyProtection="0">
      <alignment horizontal="left" vertical="center" indent="1"/>
    </xf>
    <xf numFmtId="210" fontId="27" fillId="13" borderId="44" applyNumberFormat="0" applyProtection="0">
      <alignment horizontal="left" vertical="top" indent="1"/>
    </xf>
    <xf numFmtId="210" fontId="27" fillId="60" borderId="44" applyNumberFormat="0" applyProtection="0">
      <alignment horizontal="left" vertical="center" indent="1"/>
    </xf>
    <xf numFmtId="210" fontId="27" fillId="60" borderId="44" applyNumberFormat="0" applyProtection="0">
      <alignment horizontal="left" vertical="top" indent="1"/>
    </xf>
    <xf numFmtId="210" fontId="97" fillId="46" borderId="44" applyNumberFormat="0" applyProtection="0">
      <alignment horizontal="left" vertical="top" indent="1"/>
    </xf>
    <xf numFmtId="210" fontId="97" fillId="59" borderId="44" applyNumberFormat="0" applyProtection="0">
      <alignment horizontal="left" vertical="top" indent="1"/>
    </xf>
    <xf numFmtId="1" fontId="190" fillId="0" borderId="58" applyFont="0" applyFill="0" applyBorder="0" applyAlignment="0" applyProtection="0">
      <alignment horizontal="left"/>
    </xf>
    <xf numFmtId="43" fontId="1" fillId="0" borderId="0" applyFont="0" applyFill="0" applyBorder="0" applyAlignment="0" applyProtection="0"/>
    <xf numFmtId="3" fontId="69" fillId="39" borderId="26">
      <alignment horizontal="right" vertical="center" indent="1"/>
    </xf>
    <xf numFmtId="210" fontId="69" fillId="39" borderId="26">
      <alignment horizontal="right" vertical="center"/>
    </xf>
    <xf numFmtId="210" fontId="73" fillId="40" borderId="26">
      <alignment horizontal="left" vertical="center"/>
    </xf>
    <xf numFmtId="210" fontId="26" fillId="23" borderId="40" applyNumberFormat="0" applyFont="0" applyAlignment="0" applyProtection="0"/>
    <xf numFmtId="198" fontId="69" fillId="39" borderId="26">
      <alignment horizontal="right" vertical="center" indent="1"/>
    </xf>
    <xf numFmtId="210" fontId="74" fillId="39" borderId="26">
      <alignment horizontal="left" vertical="center"/>
    </xf>
    <xf numFmtId="210" fontId="64" fillId="13" borderId="24" applyNumberFormat="0" applyAlignment="0" applyProtection="0"/>
    <xf numFmtId="210" fontId="68" fillId="39" borderId="26">
      <alignment horizontal="right" vertical="center"/>
    </xf>
    <xf numFmtId="200" fontId="68" fillId="39" borderId="26">
      <alignment horizontal="right" vertical="center" indent="1"/>
    </xf>
    <xf numFmtId="210" fontId="71" fillId="39" borderId="26">
      <alignment horizontal="left" vertical="center"/>
    </xf>
    <xf numFmtId="210" fontId="139" fillId="47" borderId="41" applyNumberFormat="0" applyAlignment="0" applyProtection="0"/>
    <xf numFmtId="198" fontId="68" fillId="39" borderId="26">
      <alignment horizontal="right" vertical="center" indent="1"/>
    </xf>
    <xf numFmtId="43" fontId="1" fillId="0" borderId="0" applyFont="0" applyFill="0" applyBorder="0" applyAlignment="0" applyProtection="0"/>
    <xf numFmtId="3" fontId="68" fillId="39" borderId="26">
      <alignment horizontal="right" vertical="center" indent="1"/>
    </xf>
    <xf numFmtId="4" fontId="68" fillId="39" borderId="26">
      <alignment horizontal="right" vertical="center" indent="1"/>
    </xf>
    <xf numFmtId="210" fontId="64" fillId="13" borderId="24" applyNumberFormat="0" applyAlignment="0" applyProtection="0"/>
    <xf numFmtId="210" fontId="64" fillId="13" borderId="24" applyNumberFormat="0" applyAlignment="0" applyProtection="0"/>
    <xf numFmtId="210" fontId="139" fillId="47" borderId="41" applyNumberFormat="0" applyAlignment="0" applyProtection="0"/>
    <xf numFmtId="210" fontId="26" fillId="23" borderId="40" applyNumberFormat="0" applyFont="0" applyAlignment="0" applyProtection="0"/>
    <xf numFmtId="43" fontId="1" fillId="0" borderId="0" applyFont="0" applyFill="0" applyBorder="0" applyAlignment="0" applyProtection="0"/>
    <xf numFmtId="10" fontId="28" fillId="39" borderId="26" applyNumberFormat="0" applyBorder="0" applyAlignment="0" applyProtection="0"/>
    <xf numFmtId="210" fontId="70" fillId="37" borderId="26">
      <alignment horizontal="left" vertical="center"/>
    </xf>
    <xf numFmtId="210" fontId="88" fillId="12" borderId="22" applyNumberFormat="0" applyAlignment="0" applyProtection="0"/>
    <xf numFmtId="10" fontId="28" fillId="39" borderId="26" applyNumberFormat="0" applyBorder="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26" fillId="23" borderId="40" applyNumberFormat="0" applyFont="0" applyAlignment="0" applyProtection="0"/>
    <xf numFmtId="192" fontId="9" fillId="0" borderId="57"/>
    <xf numFmtId="210" fontId="68" fillId="39" borderId="26">
      <alignment horizontal="right" vertical="center"/>
    </xf>
    <xf numFmtId="4" fontId="97" fillId="35" borderId="44" applyNumberFormat="0" applyProtection="0">
      <alignment horizontal="right" vertical="center"/>
    </xf>
    <xf numFmtId="193" fontId="9" fillId="0" borderId="57"/>
    <xf numFmtId="192" fontId="9" fillId="0" borderId="57"/>
    <xf numFmtId="210" fontId="68" fillId="39" borderId="26">
      <alignment horizontal="right" vertical="center"/>
    </xf>
    <xf numFmtId="4" fontId="97" fillId="16" borderId="44" applyNumberFormat="0" applyProtection="0">
      <alignment horizontal="right" vertical="center"/>
    </xf>
    <xf numFmtId="198" fontId="69" fillId="39" borderId="26">
      <alignment horizontal="right" vertical="center" indent="1"/>
    </xf>
    <xf numFmtId="210" fontId="3" fillId="46"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38" fillId="46" borderId="40" applyNumberFormat="0" applyFont="0" applyAlignment="0" applyProtection="0"/>
    <xf numFmtId="210" fontId="139" fillId="47" borderId="41" applyNumberFormat="0" applyAlignment="0" applyProtection="0"/>
    <xf numFmtId="210" fontId="26" fillId="23" borderId="40" applyNumberFormat="0" applyFont="0" applyAlignment="0" applyProtection="0"/>
    <xf numFmtId="192" fontId="9" fillId="0" borderId="57"/>
    <xf numFmtId="10" fontId="28" fillId="39" borderId="26" applyNumberFormat="0" applyBorder="0" applyAlignment="0" applyProtection="0"/>
    <xf numFmtId="43" fontId="1" fillId="0" borderId="0" applyFont="0" applyFill="0" applyBorder="0" applyAlignment="0" applyProtection="0"/>
    <xf numFmtId="210" fontId="119" fillId="11" borderId="37" applyNumberFormat="0" applyAlignment="0" applyProtection="0"/>
    <xf numFmtId="210" fontId="38" fillId="46" borderId="40" applyNumberFormat="0" applyFont="0" applyAlignment="0" applyProtection="0"/>
    <xf numFmtId="193" fontId="9" fillId="0" borderId="57"/>
    <xf numFmtId="200" fontId="69" fillId="39" borderId="26">
      <alignment horizontal="right" vertical="center" indent="1"/>
    </xf>
    <xf numFmtId="193" fontId="9" fillId="0" borderId="57"/>
    <xf numFmtId="210" fontId="64" fillId="13" borderId="24" applyNumberFormat="0" applyAlignment="0" applyProtection="0"/>
    <xf numFmtId="193" fontId="9" fillId="0" borderId="57"/>
    <xf numFmtId="210" fontId="68" fillId="39" borderId="26">
      <alignment horizontal="right" vertical="center"/>
    </xf>
    <xf numFmtId="210" fontId="73" fillId="40" borderId="26">
      <alignment horizontal="left" vertical="center"/>
    </xf>
    <xf numFmtId="192" fontId="9" fillId="0" borderId="57"/>
    <xf numFmtId="210" fontId="3" fillId="46" borderId="40" applyNumberFormat="0" applyFont="0" applyAlignment="0" applyProtection="0"/>
    <xf numFmtId="193" fontId="9" fillId="0" borderId="57"/>
    <xf numFmtId="210" fontId="26" fillId="23" borderId="40" applyNumberFormat="0" applyFont="0" applyAlignment="0" applyProtection="0"/>
    <xf numFmtId="210" fontId="70" fillId="37"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00" fontId="69" fillId="39" borderId="26">
      <alignment horizontal="right" vertical="center" indent="1"/>
    </xf>
    <xf numFmtId="199" fontId="69" fillId="39" borderId="26">
      <alignment horizontal="right" vertical="center" indent="1"/>
    </xf>
    <xf numFmtId="4" fontId="69" fillId="39" borderId="26">
      <alignment horizontal="right" vertical="center" indent="1"/>
    </xf>
    <xf numFmtId="198" fontId="69" fillId="39" borderId="26">
      <alignment horizontal="right" vertical="center" indent="1"/>
    </xf>
    <xf numFmtId="3" fontId="69" fillId="39" borderId="26">
      <alignment horizontal="right" vertical="center" indent="1"/>
    </xf>
    <xf numFmtId="210" fontId="69" fillId="39" borderId="26">
      <alignment horizontal="right" vertical="center"/>
    </xf>
    <xf numFmtId="210" fontId="69" fillId="39" borderId="26">
      <alignment horizontal="right" vertical="center"/>
    </xf>
    <xf numFmtId="210" fontId="71" fillId="39" borderId="26"/>
    <xf numFmtId="210" fontId="71" fillId="39" borderId="26"/>
    <xf numFmtId="210" fontId="71" fillId="39" borderId="26"/>
    <xf numFmtId="210" fontId="71" fillId="39" borderId="26"/>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alignment horizontal="left" vertical="center"/>
    </xf>
    <xf numFmtId="200" fontId="68" fillId="39" borderId="26">
      <alignment horizontal="right" vertical="center" indent="1"/>
    </xf>
    <xf numFmtId="199" fontId="68" fillId="39" borderId="26">
      <alignment horizontal="right" vertical="center" indent="1"/>
    </xf>
    <xf numFmtId="4" fontId="68" fillId="39" borderId="26">
      <alignment horizontal="right" vertical="center" indent="1"/>
    </xf>
    <xf numFmtId="198" fontId="68" fillId="39" borderId="26">
      <alignment horizontal="right" vertical="center" indent="1"/>
    </xf>
    <xf numFmtId="3" fontId="68" fillId="39" borderId="26">
      <alignment horizontal="right" vertical="center" indent="1"/>
    </xf>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00" fontId="69" fillId="39" borderId="26">
      <alignment horizontal="right" vertical="center" indent="1"/>
    </xf>
    <xf numFmtId="199" fontId="69" fillId="39" borderId="26">
      <alignment horizontal="right" vertical="center" indent="1"/>
    </xf>
    <xf numFmtId="4" fontId="69" fillId="39" borderId="26">
      <alignment horizontal="right" vertical="center" indent="1"/>
    </xf>
    <xf numFmtId="198" fontId="69" fillId="39" borderId="26">
      <alignment horizontal="right" vertical="center" indent="1"/>
    </xf>
    <xf numFmtId="3" fontId="69" fillId="39" borderId="26">
      <alignment horizontal="right" vertical="center" indent="1"/>
    </xf>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200" fontId="68" fillId="39" borderId="26">
      <alignment horizontal="right" vertical="center" indent="1"/>
    </xf>
    <xf numFmtId="199" fontId="68" fillId="39" borderId="26">
      <alignment horizontal="right" vertical="center" indent="1"/>
    </xf>
    <xf numFmtId="4" fontId="68" fillId="39" borderId="26">
      <alignment horizontal="right" vertical="center" indent="1"/>
    </xf>
    <xf numFmtId="198" fontId="68" fillId="39" borderId="26">
      <alignment horizontal="right" vertical="center" indent="1"/>
    </xf>
    <xf numFmtId="3" fontId="68" fillId="39" borderId="26">
      <alignment horizontal="right" vertical="center" indent="1"/>
    </xf>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210" fontId="49" fillId="36" borderId="22" applyNumberFormat="0" applyAlignment="0" applyProtection="0"/>
    <xf numFmtId="210" fontId="45" fillId="36" borderId="21" applyNumberFormat="0" applyAlignment="0" applyProtection="0"/>
    <xf numFmtId="210" fontId="38" fillId="46" borderId="40" applyNumberFormat="0" applyFont="0" applyAlignment="0" applyProtection="0"/>
    <xf numFmtId="210" fontId="26" fillId="23" borderId="40" applyNumberFormat="0" applyFont="0" applyAlignment="0" applyProtection="0"/>
    <xf numFmtId="4" fontId="69" fillId="39" borderId="26">
      <alignment horizontal="right" vertical="center" indent="1"/>
    </xf>
    <xf numFmtId="4" fontId="68" fillId="39" borderId="26">
      <alignment horizontal="right" vertical="center" indent="1"/>
    </xf>
    <xf numFmtId="210" fontId="13" fillId="3" borderId="16"/>
    <xf numFmtId="210" fontId="69" fillId="39" borderId="26">
      <alignment horizontal="right" vertical="center"/>
    </xf>
    <xf numFmtId="210" fontId="119" fillId="11" borderId="37" applyNumberFormat="0" applyAlignment="0" applyProtection="0"/>
    <xf numFmtId="210" fontId="69" fillId="39" borderId="26">
      <alignment horizontal="right" vertical="center"/>
    </xf>
    <xf numFmtId="210" fontId="149" fillId="52" borderId="44" applyNumberFormat="0" applyProtection="0">
      <alignment horizontal="left" vertical="top" indent="1"/>
    </xf>
    <xf numFmtId="4" fontId="97" fillId="8" borderId="44" applyNumberFormat="0" applyProtection="0">
      <alignment horizontal="right" vertical="center"/>
    </xf>
    <xf numFmtId="4" fontId="97" fillId="14" borderId="44" applyNumberFormat="0" applyProtection="0">
      <alignment horizontal="right" vertical="center"/>
    </xf>
    <xf numFmtId="4" fontId="97" fillId="33" borderId="44" applyNumberFormat="0" applyProtection="0">
      <alignment horizontal="right" vertical="center"/>
    </xf>
    <xf numFmtId="4" fontId="97" fillId="16" borderId="44" applyNumberFormat="0" applyProtection="0">
      <alignment horizontal="right" vertical="center"/>
    </xf>
    <xf numFmtId="4" fontId="97" fillId="20" borderId="44" applyNumberFormat="0" applyProtection="0">
      <alignment horizontal="right" vertical="center"/>
    </xf>
    <xf numFmtId="4" fontId="97" fillId="35" borderId="44" applyNumberFormat="0" applyProtection="0">
      <alignment horizontal="right" vertical="center"/>
    </xf>
    <xf numFmtId="4" fontId="97" fillId="34" borderId="44" applyNumberFormat="0" applyProtection="0">
      <alignment horizontal="right" vertical="center"/>
    </xf>
    <xf numFmtId="4" fontId="97" fillId="55" borderId="44" applyNumberFormat="0" applyProtection="0">
      <alignment horizontal="right" vertical="center"/>
    </xf>
    <xf numFmtId="4" fontId="97" fillId="15" borderId="44" applyNumberFormat="0" applyProtection="0">
      <alignment horizontal="right" vertical="center"/>
    </xf>
    <xf numFmtId="210" fontId="27" fillId="58" borderId="44" applyNumberFormat="0" applyProtection="0">
      <alignment horizontal="left" vertical="center" indent="1"/>
    </xf>
    <xf numFmtId="210" fontId="27" fillId="58" borderId="44" applyNumberFormat="0" applyProtection="0">
      <alignment horizontal="left" vertical="top" indent="1"/>
    </xf>
    <xf numFmtId="210" fontId="27" fillId="59" borderId="44" applyNumberFormat="0" applyProtection="0">
      <alignment horizontal="left" vertical="center" indent="1"/>
    </xf>
    <xf numFmtId="210" fontId="27" fillId="59" borderId="44" applyNumberFormat="0" applyProtection="0">
      <alignment horizontal="left" vertical="top" indent="1"/>
    </xf>
    <xf numFmtId="210" fontId="27" fillId="13" borderId="44" applyNumberFormat="0" applyProtection="0">
      <alignment horizontal="left" vertical="center" indent="1"/>
    </xf>
    <xf numFmtId="210" fontId="27" fillId="13" borderId="44" applyNumberFormat="0" applyProtection="0">
      <alignment horizontal="left" vertical="top" indent="1"/>
    </xf>
    <xf numFmtId="210" fontId="27" fillId="60" borderId="44" applyNumberFormat="0" applyProtection="0">
      <alignment horizontal="left" vertical="center" indent="1"/>
    </xf>
    <xf numFmtId="210" fontId="27" fillId="60" borderId="44" applyNumberFormat="0" applyProtection="0">
      <alignment horizontal="left" vertical="top" indent="1"/>
    </xf>
    <xf numFmtId="210" fontId="97" fillId="46" borderId="44" applyNumberFormat="0" applyProtection="0">
      <alignment horizontal="left" vertical="top" indent="1"/>
    </xf>
    <xf numFmtId="210" fontId="97" fillId="59" borderId="44" applyNumberFormat="0" applyProtection="0">
      <alignment horizontal="left" vertical="top" indent="1"/>
    </xf>
    <xf numFmtId="1" fontId="190" fillId="0" borderId="58" applyFont="0" applyFill="0" applyBorder="0" applyAlignment="0" applyProtection="0">
      <alignment horizontal="left"/>
    </xf>
    <xf numFmtId="43" fontId="1" fillId="0" borderId="0" applyFont="0" applyFill="0" applyBorder="0" applyAlignment="0" applyProtection="0"/>
    <xf numFmtId="43" fontId="1" fillId="0" borderId="0" applyFont="0" applyFill="0" applyBorder="0" applyAlignment="0" applyProtection="0"/>
    <xf numFmtId="210" fontId="74" fillId="39" borderId="26">
      <alignment horizontal="left" vertical="center"/>
    </xf>
    <xf numFmtId="210" fontId="27" fillId="13" borderId="44" applyNumberFormat="0" applyProtection="0">
      <alignment horizontal="left" vertical="center" indent="1"/>
    </xf>
    <xf numFmtId="10" fontId="28" fillId="39" borderId="26" applyNumberFormat="0" applyBorder="0" applyAlignment="0" applyProtection="0"/>
    <xf numFmtId="43" fontId="1" fillId="0" borderId="0" applyFont="0" applyFill="0" applyBorder="0" applyAlignment="0" applyProtection="0"/>
    <xf numFmtId="4" fontId="97" fillId="34" borderId="44" applyNumberFormat="0" applyProtection="0">
      <alignment horizontal="right" vertical="center"/>
    </xf>
    <xf numFmtId="210" fontId="139" fillId="47" borderId="41" applyNumberFormat="0" applyAlignment="0" applyProtection="0"/>
    <xf numFmtId="192" fontId="9" fillId="0" borderId="57"/>
    <xf numFmtId="43" fontId="2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1" fillId="0" borderId="0" applyFont="0" applyFill="0" applyBorder="0" applyAlignment="0" applyProtection="0"/>
    <xf numFmtId="43" fontId="80"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210" fontId="13" fillId="3" borderId="16"/>
    <xf numFmtId="210" fontId="45" fillId="36" borderId="21" applyNumberFormat="0" applyAlignment="0" applyProtection="0"/>
    <xf numFmtId="210" fontId="49" fillId="36" borderId="22" applyNumberFormat="0" applyAlignment="0" applyProtection="0"/>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3" fontId="69" fillId="39" borderId="26">
      <alignment horizontal="right" vertical="center" indent="1"/>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xf numFmtId="210" fontId="71" fillId="39" borderId="26"/>
    <xf numFmtId="210" fontId="71" fillId="39" borderId="26"/>
    <xf numFmtId="210" fontId="71" fillId="39" borderId="26"/>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3" fontId="69" fillId="39" borderId="26">
      <alignment horizontal="right" vertical="center" indent="1"/>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0" fillId="37" borderId="26">
      <alignment horizontal="left" vertical="center"/>
    </xf>
    <xf numFmtId="210" fontId="70" fillId="37" borderId="26">
      <alignment horizontal="left" vertical="center"/>
    </xf>
    <xf numFmtId="210" fontId="70" fillId="37" borderId="26">
      <alignment horizontal="left" vertical="center"/>
    </xf>
    <xf numFmtId="210" fontId="70" fillId="37" borderId="26">
      <alignment horizontal="left" vertical="center"/>
    </xf>
    <xf numFmtId="43" fontId="2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1" fillId="0" borderId="0" applyFont="0" applyFill="0" applyBorder="0" applyAlignment="0" applyProtection="0"/>
    <xf numFmtId="43" fontId="80"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210" fontId="88" fillId="12" borderId="22" applyNumberFormat="0" applyAlignment="0" applyProtection="0"/>
    <xf numFmtId="210" fontId="90" fillId="0" borderId="33" applyNumberFormat="0" applyFill="0" applyAlignment="0" applyProtection="0"/>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210" fontId="3" fillId="46" borderId="40" applyNumberFormat="0" applyFont="0" applyAlignment="0" applyProtection="0"/>
    <xf numFmtId="210" fontId="3" fillId="46" borderId="40" applyNumberFormat="0" applyFont="0" applyAlignment="0" applyProtection="0"/>
    <xf numFmtId="210" fontId="3" fillId="46"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3" fillId="46" borderId="40" applyNumberFormat="0" applyFont="0" applyAlignment="0" applyProtection="0"/>
    <xf numFmtId="210" fontId="38" fillId="46" borderId="40" applyNumberFormat="0" applyFon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49" fillId="52" borderId="44" applyNumberFormat="0" applyProtection="0">
      <alignment horizontal="left" vertical="top" indent="1"/>
    </xf>
    <xf numFmtId="4" fontId="97" fillId="8" borderId="44" applyNumberFormat="0" applyProtection="0">
      <alignment horizontal="right" vertical="center"/>
    </xf>
    <xf numFmtId="4" fontId="97" fillId="14" borderId="44" applyNumberFormat="0" applyProtection="0">
      <alignment horizontal="right" vertical="center"/>
    </xf>
    <xf numFmtId="4" fontId="97" fillId="33" borderId="44" applyNumberFormat="0" applyProtection="0">
      <alignment horizontal="right" vertical="center"/>
    </xf>
    <xf numFmtId="4" fontId="97" fillId="16" borderId="44" applyNumberFormat="0" applyProtection="0">
      <alignment horizontal="right" vertical="center"/>
    </xf>
    <xf numFmtId="4" fontId="97" fillId="20" borderId="44" applyNumberFormat="0" applyProtection="0">
      <alignment horizontal="right" vertical="center"/>
    </xf>
    <xf numFmtId="4" fontId="97" fillId="35" borderId="44" applyNumberFormat="0" applyProtection="0">
      <alignment horizontal="right" vertical="center"/>
    </xf>
    <xf numFmtId="4" fontId="97" fillId="34" borderId="44" applyNumberFormat="0" applyProtection="0">
      <alignment horizontal="right" vertical="center"/>
    </xf>
    <xf numFmtId="4" fontId="97" fillId="55" borderId="44" applyNumberFormat="0" applyProtection="0">
      <alignment horizontal="right" vertical="center"/>
    </xf>
    <xf numFmtId="4" fontId="97" fillId="15" borderId="44" applyNumberFormat="0" applyProtection="0">
      <alignment horizontal="right" vertical="center"/>
    </xf>
    <xf numFmtId="210" fontId="27" fillId="58" borderId="44" applyNumberFormat="0" applyProtection="0">
      <alignment horizontal="left" vertical="center" indent="1"/>
    </xf>
    <xf numFmtId="210" fontId="27" fillId="58" borderId="44" applyNumberFormat="0" applyProtection="0">
      <alignment horizontal="left" vertical="top" indent="1"/>
    </xf>
    <xf numFmtId="210" fontId="27" fillId="59" borderId="44" applyNumberFormat="0" applyProtection="0">
      <alignment horizontal="left" vertical="center" indent="1"/>
    </xf>
    <xf numFmtId="210" fontId="27" fillId="59" borderId="44" applyNumberFormat="0" applyProtection="0">
      <alignment horizontal="left" vertical="top" indent="1"/>
    </xf>
    <xf numFmtId="210" fontId="27" fillId="13" borderId="44" applyNumberFormat="0" applyProtection="0">
      <alignment horizontal="left" vertical="center" indent="1"/>
    </xf>
    <xf numFmtId="210" fontId="27" fillId="13" borderId="44" applyNumberFormat="0" applyProtection="0">
      <alignment horizontal="left" vertical="top" indent="1"/>
    </xf>
    <xf numFmtId="210" fontId="27" fillId="60" borderId="44" applyNumberFormat="0" applyProtection="0">
      <alignment horizontal="left" vertical="center" indent="1"/>
    </xf>
    <xf numFmtId="210" fontId="27" fillId="60" borderId="44" applyNumberFormat="0" applyProtection="0">
      <alignment horizontal="left" vertical="top" indent="1"/>
    </xf>
    <xf numFmtId="210" fontId="97" fillId="46" borderId="44" applyNumberFormat="0" applyProtection="0">
      <alignment horizontal="left" vertical="top" indent="1"/>
    </xf>
    <xf numFmtId="210" fontId="97" fillId="59" borderId="44" applyNumberFormat="0" applyProtection="0">
      <alignment horizontal="left" vertical="top" indent="1"/>
    </xf>
    <xf numFmtId="1" fontId="190" fillId="0" borderId="58" applyFont="0" applyFill="0" applyBorder="0" applyAlignment="0" applyProtection="0">
      <alignment horizontal="left"/>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210" fontId="71" fillId="39" borderId="26"/>
    <xf numFmtId="210" fontId="139" fillId="47" borderId="41" applyNumberFormat="0" applyAlignment="0" applyProtection="0"/>
    <xf numFmtId="192" fontId="9" fillId="0" borderId="57"/>
    <xf numFmtId="210" fontId="69" fillId="39" borderId="26">
      <alignment horizontal="right" vertical="center"/>
    </xf>
    <xf numFmtId="192" fontId="9" fillId="0" borderId="57"/>
    <xf numFmtId="192" fontId="9" fillId="0" borderId="57"/>
    <xf numFmtId="210" fontId="119" fillId="11" borderId="37" applyNumberFormat="0" applyAlignment="0" applyProtection="0"/>
    <xf numFmtId="210" fontId="119" fillId="11" borderId="37" applyNumberFormat="0" applyAlignment="0" applyProtection="0"/>
    <xf numFmtId="210" fontId="70" fillId="31" borderId="26">
      <alignment horizontal="center" vertical="center"/>
    </xf>
    <xf numFmtId="193" fontId="9" fillId="0" borderId="57"/>
    <xf numFmtId="192" fontId="9" fillId="0" borderId="57"/>
    <xf numFmtId="193" fontId="9" fillId="0" borderId="57"/>
    <xf numFmtId="199" fontId="68" fillId="39" borderId="26">
      <alignment horizontal="right" vertical="center" indent="1"/>
    </xf>
    <xf numFmtId="210" fontId="73" fillId="40" borderId="26">
      <alignment horizontal="left" vertical="center"/>
    </xf>
    <xf numFmtId="210" fontId="26" fillId="23" borderId="40" applyNumberFormat="0" applyFont="0" applyAlignment="0" applyProtection="0"/>
    <xf numFmtId="210" fontId="27" fillId="59" borderId="44" applyNumberFormat="0" applyProtection="0">
      <alignment horizontal="left" vertical="top" indent="1"/>
    </xf>
    <xf numFmtId="193" fontId="9" fillId="0" borderId="57"/>
    <xf numFmtId="3" fontId="68" fillId="39" borderId="26">
      <alignment horizontal="right" vertical="center" indent="1"/>
    </xf>
    <xf numFmtId="210" fontId="73" fillId="40" borderId="26">
      <alignment horizontal="left" vertical="center"/>
    </xf>
    <xf numFmtId="4" fontId="97" fillId="55" borderId="44" applyNumberFormat="0" applyProtection="0">
      <alignment horizontal="right" vertical="center"/>
    </xf>
    <xf numFmtId="210" fontId="26" fillId="23" borderId="40" applyNumberFormat="0" applyFont="0" applyAlignment="0" applyProtection="0"/>
    <xf numFmtId="210" fontId="26" fillId="23" borderId="40" applyNumberFormat="0" applyFont="0" applyAlignment="0" applyProtection="0"/>
    <xf numFmtId="200" fontId="69" fillId="39" borderId="26">
      <alignment horizontal="right" vertical="center" indent="1"/>
    </xf>
    <xf numFmtId="210" fontId="119" fillId="11" borderId="37" applyNumberFormat="0" applyAlignment="0" applyProtection="0"/>
    <xf numFmtId="210" fontId="27" fillId="13" borderId="44" applyNumberFormat="0" applyProtection="0">
      <alignment horizontal="left" vertical="top" indent="1"/>
    </xf>
    <xf numFmtId="210" fontId="26" fillId="23" borderId="40" applyNumberFormat="0" applyFont="0" applyAlignment="0" applyProtection="0"/>
    <xf numFmtId="193" fontId="9" fillId="0" borderId="57"/>
    <xf numFmtId="193" fontId="9" fillId="0" borderId="57"/>
    <xf numFmtId="4" fontId="69" fillId="39" borderId="26">
      <alignment horizontal="right" vertical="center" indent="1"/>
    </xf>
    <xf numFmtId="210" fontId="70" fillId="37" borderId="26">
      <alignment horizontal="left" vertical="center"/>
    </xf>
    <xf numFmtId="210" fontId="119" fillId="11" borderId="37" applyNumberFormat="0" applyAlignment="0" applyProtection="0"/>
    <xf numFmtId="192" fontId="9" fillId="0" borderId="57"/>
    <xf numFmtId="210" fontId="64" fillId="13" borderId="24" applyNumberFormat="0" applyAlignment="0" applyProtection="0"/>
    <xf numFmtId="3" fontId="68" fillId="39" borderId="26">
      <alignment horizontal="right" vertical="center" indent="1"/>
    </xf>
    <xf numFmtId="210" fontId="74" fillId="39" borderId="26">
      <alignment horizontal="left" vertical="center"/>
    </xf>
    <xf numFmtId="210" fontId="97" fillId="59" borderId="44" applyNumberFormat="0" applyProtection="0">
      <alignment horizontal="left" vertical="top" indent="1"/>
    </xf>
    <xf numFmtId="210" fontId="139" fillId="47" borderId="41" applyNumberFormat="0" applyAlignment="0" applyProtection="0"/>
    <xf numFmtId="210" fontId="3" fillId="46" borderId="40" applyNumberFormat="0" applyFont="0" applyAlignment="0" applyProtection="0"/>
    <xf numFmtId="210" fontId="71" fillId="39" borderId="26"/>
    <xf numFmtId="210" fontId="73" fillId="40" borderId="26">
      <alignment horizontal="left" vertical="center"/>
    </xf>
    <xf numFmtId="198" fontId="68" fillId="39" borderId="26">
      <alignment horizontal="right" vertical="center" indent="1"/>
    </xf>
    <xf numFmtId="210" fontId="74" fillId="39" borderId="26">
      <alignment horizontal="left" vertical="center"/>
    </xf>
    <xf numFmtId="210" fontId="73" fillId="40" borderId="26">
      <alignment horizontal="left" vertical="center"/>
    </xf>
    <xf numFmtId="210" fontId="74" fillId="39" borderId="26">
      <alignment horizontal="left" vertical="center"/>
    </xf>
    <xf numFmtId="1" fontId="190" fillId="0" borderId="58" applyFont="0" applyFill="0" applyBorder="0" applyAlignment="0" applyProtection="0">
      <alignment horizontal="left"/>
    </xf>
    <xf numFmtId="210" fontId="70" fillId="31" borderId="26">
      <alignment horizontal="center" vertical="center"/>
    </xf>
    <xf numFmtId="193" fontId="9" fillId="0" borderId="57"/>
    <xf numFmtId="199" fontId="68" fillId="39" borderId="26">
      <alignment horizontal="right" vertical="center" indent="1"/>
    </xf>
    <xf numFmtId="199" fontId="69" fillId="39" borderId="26">
      <alignment horizontal="right" vertical="center" indent="1"/>
    </xf>
    <xf numFmtId="210" fontId="70" fillId="37" borderId="26">
      <alignment horizontal="left" vertical="center"/>
    </xf>
    <xf numFmtId="198" fontId="69" fillId="39" borderId="26">
      <alignment horizontal="right" vertical="center" indent="1"/>
    </xf>
    <xf numFmtId="193" fontId="9" fillId="0" borderId="57"/>
    <xf numFmtId="210" fontId="68" fillId="39" borderId="26">
      <alignment horizontal="right" vertical="center"/>
    </xf>
    <xf numFmtId="193" fontId="9" fillId="0" borderId="57"/>
    <xf numFmtId="193" fontId="9" fillId="0" borderId="57"/>
    <xf numFmtId="210" fontId="3" fillId="46" borderId="40" applyNumberFormat="0" applyFont="0" applyAlignment="0" applyProtection="0"/>
    <xf numFmtId="193" fontId="9" fillId="0" borderId="57"/>
    <xf numFmtId="210" fontId="68" fillId="39" borderId="26">
      <alignment horizontal="right" vertical="center"/>
    </xf>
    <xf numFmtId="3" fontId="68" fillId="39" borderId="26">
      <alignment horizontal="right" vertical="center" indent="1"/>
    </xf>
    <xf numFmtId="210" fontId="68" fillId="39" borderId="26">
      <alignment horizontal="right" vertical="center"/>
    </xf>
    <xf numFmtId="192" fontId="9" fillId="0" borderId="57"/>
    <xf numFmtId="193" fontId="9" fillId="0" borderId="57"/>
    <xf numFmtId="210" fontId="3" fillId="46" borderId="40" applyNumberFormat="0" applyFont="0" applyAlignment="0" applyProtection="0"/>
    <xf numFmtId="210" fontId="73" fillId="40" borderId="26">
      <alignment horizontal="left" vertical="center"/>
    </xf>
    <xf numFmtId="199" fontId="68" fillId="39" borderId="26">
      <alignment horizontal="right" vertical="center" indent="1"/>
    </xf>
    <xf numFmtId="10" fontId="28" fillId="39" borderId="26" applyNumberFormat="0" applyBorder="0" applyAlignment="0" applyProtection="0"/>
    <xf numFmtId="210" fontId="68" fillId="39" borderId="26">
      <alignment horizontal="right" vertical="center"/>
    </xf>
    <xf numFmtId="192" fontId="9" fillId="0" borderId="57"/>
    <xf numFmtId="192" fontId="9" fillId="0" borderId="57"/>
    <xf numFmtId="4" fontId="97" fillId="20" borderId="44" applyNumberFormat="0" applyProtection="0">
      <alignment horizontal="right" vertical="center"/>
    </xf>
    <xf numFmtId="210" fontId="70" fillId="37" borderId="26">
      <alignment horizontal="left" vertical="center"/>
    </xf>
    <xf numFmtId="4" fontId="97" fillId="34" borderId="44" applyNumberFormat="0" applyProtection="0">
      <alignment horizontal="right" vertical="center"/>
    </xf>
    <xf numFmtId="43" fontId="1" fillId="0" borderId="0" applyFont="0" applyFill="0" applyBorder="0" applyAlignment="0" applyProtection="0"/>
    <xf numFmtId="210" fontId="27" fillId="59" borderId="44" applyNumberFormat="0" applyProtection="0">
      <alignment horizontal="left" vertical="center" indent="1"/>
    </xf>
    <xf numFmtId="192" fontId="9" fillId="0" borderId="57"/>
    <xf numFmtId="193" fontId="9" fillId="0" borderId="57"/>
    <xf numFmtId="210" fontId="71" fillId="39" borderId="26">
      <alignment horizontal="left" vertical="center"/>
    </xf>
    <xf numFmtId="210" fontId="73" fillId="40" borderId="26">
      <alignment horizontal="left" vertical="center"/>
    </xf>
    <xf numFmtId="210" fontId="38" fillId="46" borderId="40" applyNumberFormat="0" applyFont="0" applyAlignment="0" applyProtection="0"/>
    <xf numFmtId="193" fontId="9" fillId="0" borderId="57"/>
    <xf numFmtId="210" fontId="64" fillId="13" borderId="24" applyNumberFormat="0" applyAlignment="0" applyProtection="0"/>
    <xf numFmtId="210" fontId="70" fillId="31" borderId="26">
      <alignment horizontal="center" vertical="center"/>
    </xf>
    <xf numFmtId="210" fontId="73" fillId="40" borderId="26">
      <alignment horizontal="left" vertical="center"/>
    </xf>
    <xf numFmtId="10" fontId="28" fillId="39" borderId="26" applyNumberFormat="0" applyBorder="0" applyAlignment="0" applyProtection="0"/>
    <xf numFmtId="4" fontId="97" fillId="14" borderId="44" applyNumberFormat="0" applyProtection="0">
      <alignment horizontal="right" vertical="center"/>
    </xf>
    <xf numFmtId="210" fontId="119" fillId="11" borderId="37" applyNumberFormat="0" applyAlignment="0" applyProtection="0"/>
    <xf numFmtId="210" fontId="69" fillId="39" borderId="26">
      <alignment horizontal="right" vertical="center"/>
    </xf>
    <xf numFmtId="210" fontId="26" fillId="23" borderId="40" applyNumberFormat="0" applyFont="0" applyAlignment="0" applyProtection="0"/>
    <xf numFmtId="210" fontId="3" fillId="46" borderId="40" applyNumberFormat="0" applyFont="0" applyAlignment="0" applyProtection="0"/>
    <xf numFmtId="210" fontId="139" fillId="47" borderId="41" applyNumberFormat="0" applyAlignment="0" applyProtection="0"/>
    <xf numFmtId="210" fontId="139" fillId="47" borderId="41" applyNumberFormat="0" applyAlignment="0" applyProtection="0"/>
    <xf numFmtId="4" fontId="97" fillId="33" borderId="44" applyNumberFormat="0" applyProtection="0">
      <alignment horizontal="right" vertical="center"/>
    </xf>
    <xf numFmtId="4" fontId="97" fillId="16" borderId="44" applyNumberFormat="0" applyProtection="0">
      <alignment horizontal="right" vertical="center"/>
    </xf>
    <xf numFmtId="4" fontId="97" fillId="20" borderId="44" applyNumberFormat="0" applyProtection="0">
      <alignment horizontal="right" vertical="center"/>
    </xf>
    <xf numFmtId="210" fontId="27" fillId="59" borderId="44" applyNumberFormat="0" applyProtection="0">
      <alignment horizontal="left" vertical="center" indent="1"/>
    </xf>
    <xf numFmtId="210" fontId="27" fillId="60" borderId="44" applyNumberFormat="0" applyProtection="0">
      <alignment horizontal="left" vertical="center" indent="1"/>
    </xf>
    <xf numFmtId="1" fontId="190" fillId="0" borderId="58" applyFont="0" applyFill="0" applyBorder="0" applyAlignment="0" applyProtection="0">
      <alignment horizontal="left"/>
    </xf>
    <xf numFmtId="10" fontId="28" fillId="39" borderId="26" applyNumberFormat="0" applyBorder="0" applyAlignment="0" applyProtection="0"/>
    <xf numFmtId="210" fontId="119" fillId="11" borderId="37" applyNumberFormat="0" applyAlignment="0" applyProtection="0"/>
    <xf numFmtId="210" fontId="119" fillId="11" borderId="37" applyNumberFormat="0" applyAlignment="0" applyProtection="0"/>
    <xf numFmtId="210" fontId="3" fillId="46" borderId="40" applyNumberFormat="0" applyFont="0" applyAlignment="0" applyProtection="0"/>
    <xf numFmtId="210" fontId="74" fillId="39" borderId="26">
      <alignment horizontal="left" vertical="center"/>
    </xf>
    <xf numFmtId="210" fontId="73" fillId="40" borderId="26">
      <alignment horizontal="left" vertical="center"/>
    </xf>
    <xf numFmtId="210" fontId="73" fillId="40" borderId="26">
      <alignment horizontal="left" vertical="center"/>
    </xf>
    <xf numFmtId="200" fontId="69" fillId="39" borderId="26">
      <alignment horizontal="right" vertical="center" indent="1"/>
    </xf>
    <xf numFmtId="3" fontId="69" fillId="39" borderId="26">
      <alignment horizontal="right" vertical="center" indent="1"/>
    </xf>
    <xf numFmtId="210" fontId="69" fillId="39" borderId="26">
      <alignment horizontal="right" vertical="center"/>
    </xf>
    <xf numFmtId="210" fontId="69" fillId="39" borderId="26">
      <alignment horizontal="right" vertical="center"/>
    </xf>
    <xf numFmtId="210" fontId="71" fillId="39" borderId="26"/>
    <xf numFmtId="210" fontId="71" fillId="39" borderId="26"/>
    <xf numFmtId="210" fontId="71" fillId="39" borderId="26"/>
    <xf numFmtId="210" fontId="71" fillId="39" borderId="26">
      <alignment horizontal="left" vertical="center"/>
    </xf>
    <xf numFmtId="210" fontId="68" fillId="39" borderId="26">
      <alignment horizontal="right" vertical="center"/>
    </xf>
    <xf numFmtId="210" fontId="70" fillId="31" borderId="26">
      <alignment horizontal="center" vertical="center"/>
    </xf>
    <xf numFmtId="199" fontId="69" fillId="39" borderId="26">
      <alignment horizontal="right" vertical="center" indent="1"/>
    </xf>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8" fillId="39" borderId="26">
      <alignment horizontal="right" vertical="center"/>
    </xf>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210" fontId="13" fillId="3" borderId="16"/>
    <xf numFmtId="210" fontId="149" fillId="52" borderId="44" applyNumberFormat="0" applyProtection="0">
      <alignment horizontal="left" vertical="top" indent="1"/>
    </xf>
    <xf numFmtId="4" fontId="97" fillId="16" borderId="44" applyNumberFormat="0" applyProtection="0">
      <alignment horizontal="right" vertical="center"/>
    </xf>
    <xf numFmtId="4" fontId="97" fillId="15" borderId="44" applyNumberFormat="0" applyProtection="0">
      <alignment horizontal="right" vertical="center"/>
    </xf>
    <xf numFmtId="210" fontId="27" fillId="58" borderId="44" applyNumberFormat="0" applyProtection="0">
      <alignment horizontal="left" vertical="top" indent="1"/>
    </xf>
    <xf numFmtId="210" fontId="27" fillId="59" borderId="44" applyNumberFormat="0" applyProtection="0">
      <alignment horizontal="left" vertical="top" indent="1"/>
    </xf>
    <xf numFmtId="210" fontId="27" fillId="13" borderId="44" applyNumberFormat="0" applyProtection="0">
      <alignment horizontal="left" vertical="center" indent="1"/>
    </xf>
    <xf numFmtId="210" fontId="27" fillId="60" borderId="44" applyNumberFormat="0" applyProtection="0">
      <alignment horizontal="left" vertical="center" indent="1"/>
    </xf>
    <xf numFmtId="210" fontId="97" fillId="46" borderId="44" applyNumberFormat="0" applyProtection="0">
      <alignment horizontal="left" vertical="top" indent="1"/>
    </xf>
    <xf numFmtId="210" fontId="45" fillId="36" borderId="21" applyNumberFormat="0" applyAlignment="0" applyProtection="0"/>
    <xf numFmtId="210" fontId="49" fillId="36" borderId="22" applyNumberFormat="0" applyAlignment="0" applyProtection="0"/>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69" fillId="39" borderId="26">
      <alignment horizontal="right" vertical="center"/>
    </xf>
    <xf numFmtId="210" fontId="69" fillId="39" borderId="26">
      <alignment horizontal="right" vertical="center"/>
    </xf>
    <xf numFmtId="210" fontId="69" fillId="39" borderId="26">
      <alignment horizontal="right" vertical="center"/>
    </xf>
    <xf numFmtId="210" fontId="69" fillId="39" borderId="26">
      <alignment horizontal="right" vertical="center"/>
    </xf>
    <xf numFmtId="3" fontId="69" fillId="39" borderId="26">
      <alignment horizontal="right" vertical="center" indent="1"/>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70" fillId="31" borderId="26">
      <alignment horizontal="center"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210" fontId="68" fillId="39" borderId="26">
      <alignment horizontal="right" vertical="center"/>
    </xf>
    <xf numFmtId="3" fontId="68" fillId="39" borderId="26">
      <alignment horizontal="right" vertical="center" indent="1"/>
    </xf>
    <xf numFmtId="198" fontId="68" fillId="39" borderId="26">
      <alignment horizontal="right" vertical="center" indent="1"/>
    </xf>
    <xf numFmtId="4" fontId="68" fillId="39" borderId="26">
      <alignment horizontal="right" vertical="center" indent="1"/>
    </xf>
    <xf numFmtId="199" fontId="68" fillId="39" borderId="26">
      <alignment horizontal="right" vertical="center" indent="1"/>
    </xf>
    <xf numFmtId="200" fontId="68" fillId="39" borderId="26">
      <alignment horizontal="right" vertical="center" indent="1"/>
    </xf>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alignment horizontal="left" vertical="center"/>
    </xf>
    <xf numFmtId="210" fontId="71" fillId="39" borderId="26"/>
    <xf numFmtId="210" fontId="71" fillId="39" borderId="26"/>
    <xf numFmtId="210" fontId="71" fillId="39" borderId="26"/>
    <xf numFmtId="210" fontId="71" fillId="39" borderId="26"/>
    <xf numFmtId="210" fontId="69" fillId="39" borderId="26">
      <alignment horizontal="right" vertical="center"/>
    </xf>
    <xf numFmtId="210" fontId="69" fillId="39" borderId="26">
      <alignment horizontal="right" vertical="center"/>
    </xf>
    <xf numFmtId="210" fontId="69" fillId="39" borderId="26">
      <alignment horizontal="right" vertical="center"/>
    </xf>
    <xf numFmtId="198" fontId="69" fillId="39" borderId="26">
      <alignment horizontal="right" vertical="center" indent="1"/>
    </xf>
    <xf numFmtId="4" fontId="69" fillId="39" borderId="26">
      <alignment horizontal="right" vertical="center" indent="1"/>
    </xf>
    <xf numFmtId="199" fontId="69" fillId="39" borderId="26">
      <alignment horizontal="right" vertical="center" indent="1"/>
    </xf>
    <xf numFmtId="200" fontId="69" fillId="39" borderId="26">
      <alignment horizontal="right" vertical="center" indent="1"/>
    </xf>
    <xf numFmtId="210" fontId="73" fillId="40" borderId="26">
      <alignment horizontal="left" vertical="center"/>
    </xf>
    <xf numFmtId="210" fontId="73" fillId="40" borderId="26">
      <alignment horizontal="left" vertical="center"/>
    </xf>
    <xf numFmtId="3" fontId="68" fillId="39" borderId="26">
      <alignment horizontal="right" vertical="center" indent="1"/>
    </xf>
    <xf numFmtId="210" fontId="73" fillId="40" borderId="26">
      <alignment horizontal="left" vertical="center"/>
    </xf>
    <xf numFmtId="10" fontId="28" fillId="39" borderId="26" applyNumberFormat="0" applyBorder="0" applyAlignment="0" applyProtection="0"/>
    <xf numFmtId="4" fontId="97" fillId="33" borderId="44" applyNumberFormat="0" applyProtection="0">
      <alignment horizontal="right" vertical="center"/>
    </xf>
    <xf numFmtId="193" fontId="9" fillId="0" borderId="57"/>
    <xf numFmtId="193" fontId="9" fillId="0" borderId="57"/>
    <xf numFmtId="192" fontId="9" fillId="0" borderId="57"/>
    <xf numFmtId="192" fontId="9" fillId="0" borderId="57"/>
    <xf numFmtId="210" fontId="45" fillId="36" borderId="21" applyNumberFormat="0" applyAlignment="0" applyProtection="0"/>
    <xf numFmtId="210" fontId="139" fillId="47" borderId="41" applyNumberFormat="0" applyAlignment="0" applyProtection="0"/>
    <xf numFmtId="4" fontId="97" fillId="8" borderId="44" applyNumberFormat="0" applyProtection="0">
      <alignment horizontal="right" vertical="center"/>
    </xf>
    <xf numFmtId="4" fontId="97" fillId="33" borderId="44" applyNumberFormat="0" applyProtection="0">
      <alignment horizontal="right" vertical="center"/>
    </xf>
    <xf numFmtId="210" fontId="97" fillId="46" borderId="44" applyNumberFormat="0" applyProtection="0">
      <alignment horizontal="left" vertical="top" indent="1"/>
    </xf>
    <xf numFmtId="210" fontId="70" fillId="37" borderId="26">
      <alignment horizontal="left" vertical="center"/>
    </xf>
    <xf numFmtId="210" fontId="73" fillId="40" borderId="26">
      <alignment horizontal="left" vertical="center"/>
    </xf>
    <xf numFmtId="210" fontId="26" fillId="23" borderId="40" applyNumberFormat="0" applyFont="0" applyAlignment="0" applyProtection="0"/>
    <xf numFmtId="210" fontId="149" fillId="52" borderId="44" applyNumberFormat="0" applyProtection="0">
      <alignment horizontal="left" vertical="top" indent="1"/>
    </xf>
    <xf numFmtId="210" fontId="27" fillId="59" borderId="44" applyNumberFormat="0" applyProtection="0">
      <alignment horizontal="left" vertical="top" indent="1"/>
    </xf>
    <xf numFmtId="210" fontId="70" fillId="37" borderId="26">
      <alignment horizontal="left" vertical="center"/>
    </xf>
    <xf numFmtId="210" fontId="74" fillId="39" borderId="26">
      <alignment horizontal="left" vertical="center"/>
    </xf>
    <xf numFmtId="193" fontId="9" fillId="0" borderId="57"/>
    <xf numFmtId="4" fontId="68" fillId="39" borderId="26">
      <alignment horizontal="right" vertical="center" indent="1"/>
    </xf>
    <xf numFmtId="4" fontId="69" fillId="39" borderId="26">
      <alignment horizontal="right" vertical="center" indent="1"/>
    </xf>
    <xf numFmtId="210" fontId="68" fillId="39" borderId="26">
      <alignment horizontal="right" vertical="center"/>
    </xf>
    <xf numFmtId="210" fontId="69" fillId="39" borderId="26">
      <alignment horizontal="right" vertical="center"/>
    </xf>
    <xf numFmtId="193" fontId="9" fillId="0" borderId="57"/>
    <xf numFmtId="192" fontId="9" fillId="0" borderId="57"/>
    <xf numFmtId="192" fontId="9" fillId="0" borderId="57"/>
    <xf numFmtId="4" fontId="97" fillId="8" borderId="44" applyNumberFormat="0" applyProtection="0">
      <alignment horizontal="right" vertical="center"/>
    </xf>
    <xf numFmtId="210" fontId="71" fillId="39" borderId="26"/>
    <xf numFmtId="10" fontId="28" fillId="39" borderId="26" applyNumberFormat="0" applyBorder="0" applyAlignment="0" applyProtection="0"/>
    <xf numFmtId="210" fontId="69" fillId="39" borderId="26">
      <alignment horizontal="right" vertical="center"/>
    </xf>
    <xf numFmtId="200" fontId="69" fillId="39" borderId="26">
      <alignment horizontal="right" vertical="center" indent="1"/>
    </xf>
    <xf numFmtId="4" fontId="69" fillId="39" borderId="26">
      <alignment horizontal="right" vertical="center" indent="1"/>
    </xf>
    <xf numFmtId="210" fontId="70" fillId="31" borderId="26">
      <alignment horizontal="center" vertical="center"/>
    </xf>
    <xf numFmtId="4" fontId="68" fillId="39" borderId="26">
      <alignment horizontal="right" vertical="center" indent="1"/>
    </xf>
    <xf numFmtId="210" fontId="68" fillId="39" borderId="26">
      <alignment horizontal="right" vertical="center"/>
    </xf>
    <xf numFmtId="3" fontId="68" fillId="39" borderId="26">
      <alignment horizontal="right" vertical="center" indent="1"/>
    </xf>
    <xf numFmtId="210" fontId="71" fillId="39" borderId="26">
      <alignment horizontal="left" vertical="center"/>
    </xf>
    <xf numFmtId="210" fontId="71" fillId="39" borderId="26">
      <alignment horizontal="left" vertical="center"/>
    </xf>
    <xf numFmtId="210" fontId="73" fillId="40" borderId="26">
      <alignment horizontal="left" vertical="center"/>
    </xf>
    <xf numFmtId="210" fontId="69" fillId="39" borderId="26">
      <alignment horizontal="right" vertical="center"/>
    </xf>
    <xf numFmtId="3" fontId="69" fillId="39" borderId="26">
      <alignment horizontal="right" vertical="center" indent="1"/>
    </xf>
    <xf numFmtId="210" fontId="74" fillId="39" borderId="26">
      <alignment horizontal="left" vertical="center"/>
    </xf>
    <xf numFmtId="210" fontId="73" fillId="40" borderId="26">
      <alignment horizontal="left" vertical="center"/>
    </xf>
    <xf numFmtId="210" fontId="74" fillId="39" borderId="26">
      <alignment horizontal="left" vertical="center"/>
    </xf>
    <xf numFmtId="210" fontId="70" fillId="37" borderId="26">
      <alignment horizontal="left" vertical="center"/>
    </xf>
    <xf numFmtId="210" fontId="71" fillId="39" borderId="26"/>
    <xf numFmtId="3" fontId="69" fillId="39" borderId="26">
      <alignment horizontal="right" vertical="center" indent="1"/>
    </xf>
    <xf numFmtId="210" fontId="27" fillId="13" borderId="44" applyNumberFormat="0" applyProtection="0">
      <alignment horizontal="left" vertical="top" indent="1"/>
    </xf>
    <xf numFmtId="198" fontId="69" fillId="39" borderId="26">
      <alignment horizontal="right" vertical="center" indent="1"/>
    </xf>
    <xf numFmtId="210" fontId="69" fillId="39" borderId="26">
      <alignment horizontal="right" vertical="center"/>
    </xf>
    <xf numFmtId="199" fontId="68" fillId="39" borderId="26">
      <alignment horizontal="right" vertical="center" indent="1"/>
    </xf>
    <xf numFmtId="193" fontId="9" fillId="0" borderId="57"/>
    <xf numFmtId="192" fontId="9" fillId="0" borderId="57"/>
    <xf numFmtId="192" fontId="9" fillId="0" borderId="57"/>
    <xf numFmtId="192" fontId="9" fillId="0" borderId="57"/>
    <xf numFmtId="210" fontId="71" fillId="39" borderId="26">
      <alignment horizontal="left" vertical="center"/>
    </xf>
    <xf numFmtId="210" fontId="73" fillId="40" borderId="26">
      <alignment horizontal="left" vertical="center"/>
    </xf>
    <xf numFmtId="210" fontId="27" fillId="60" borderId="44" applyNumberFormat="0" applyProtection="0">
      <alignment horizontal="left" vertical="top" indent="1"/>
    </xf>
    <xf numFmtId="4" fontId="97" fillId="35" borderId="44" applyNumberFormat="0" applyProtection="0">
      <alignment horizontal="right" vertical="center"/>
    </xf>
    <xf numFmtId="210" fontId="73" fillId="40" borderId="26">
      <alignment horizontal="left" vertical="center"/>
    </xf>
    <xf numFmtId="210" fontId="119" fillId="11" borderId="37" applyNumberFormat="0" applyAlignment="0" applyProtection="0"/>
    <xf numFmtId="210" fontId="139" fillId="47" borderId="41" applyNumberFormat="0" applyAlignment="0" applyProtection="0"/>
    <xf numFmtId="4" fontId="97" fillId="15" borderId="44" applyNumberFormat="0" applyProtection="0">
      <alignment horizontal="right" vertical="center"/>
    </xf>
    <xf numFmtId="210" fontId="139" fillId="47" borderId="41" applyNumberFormat="0" applyAlignment="0" applyProtection="0"/>
    <xf numFmtId="193" fontId="9" fillId="0" borderId="57"/>
    <xf numFmtId="210" fontId="70" fillId="31" borderId="26">
      <alignment horizontal="center" vertical="center"/>
    </xf>
    <xf numFmtId="4" fontId="68" fillId="39" borderId="26">
      <alignment horizontal="right" vertical="center" indent="1"/>
    </xf>
    <xf numFmtId="210" fontId="64" fillId="13" borderId="24" applyNumberFormat="0" applyAlignment="0" applyProtection="0"/>
    <xf numFmtId="193" fontId="9" fillId="0" borderId="57"/>
    <xf numFmtId="192" fontId="9" fillId="0" borderId="57"/>
    <xf numFmtId="193" fontId="9" fillId="0" borderId="57"/>
    <xf numFmtId="210" fontId="69" fillId="39" borderId="26">
      <alignment horizontal="right" vertical="center"/>
    </xf>
    <xf numFmtId="192" fontId="9" fillId="0" borderId="57"/>
    <xf numFmtId="10" fontId="28" fillId="39" borderId="26" applyNumberFormat="0" applyBorder="0" applyAlignment="0" applyProtection="0"/>
    <xf numFmtId="43" fontId="1" fillId="0" borderId="0" applyFont="0" applyFill="0" applyBorder="0" applyAlignment="0" applyProtection="0"/>
    <xf numFmtId="210" fontId="13" fillId="3" borderId="16"/>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210" fontId="69" fillId="39" borderId="26">
      <alignment horizontal="right" vertical="center"/>
    </xf>
    <xf numFmtId="199" fontId="69" fillId="39" borderId="26">
      <alignment horizontal="right" vertical="center" indent="1"/>
    </xf>
    <xf numFmtId="198" fontId="69" fillId="39" borderId="26">
      <alignment horizontal="right" vertical="center" indent="1"/>
    </xf>
    <xf numFmtId="210" fontId="70" fillId="31" borderId="26">
      <alignment horizontal="center" vertical="center"/>
    </xf>
    <xf numFmtId="198" fontId="68" fillId="39" borderId="26">
      <alignment horizontal="right" vertical="center" indent="1"/>
    </xf>
    <xf numFmtId="210" fontId="68" fillId="39" borderId="26">
      <alignment horizontal="right" vertical="center"/>
    </xf>
    <xf numFmtId="210" fontId="68" fillId="39" borderId="26">
      <alignment horizontal="right" vertical="center"/>
    </xf>
    <xf numFmtId="200" fontId="68" fillId="39" borderId="26">
      <alignment horizontal="right" vertical="center" indent="1"/>
    </xf>
    <xf numFmtId="210" fontId="71" fillId="39" borderId="26">
      <alignment horizontal="left" vertical="center"/>
    </xf>
    <xf numFmtId="200" fontId="69" fillId="39" borderId="26">
      <alignment horizontal="right" vertical="center" indent="1"/>
    </xf>
    <xf numFmtId="210" fontId="69" fillId="39" borderId="26">
      <alignment horizontal="right" vertical="center"/>
    </xf>
    <xf numFmtId="210" fontId="69" fillId="39" borderId="26">
      <alignment horizontal="right" vertical="center"/>
    </xf>
    <xf numFmtId="210" fontId="74" fillId="39" borderId="26">
      <alignment horizontal="left" vertical="center"/>
    </xf>
    <xf numFmtId="210" fontId="73" fillId="40" borderId="26">
      <alignment horizontal="left" vertical="center"/>
    </xf>
    <xf numFmtId="210" fontId="74" fillId="39" borderId="26">
      <alignment horizontal="left" vertical="center"/>
    </xf>
    <xf numFmtId="210" fontId="70" fillId="37" borderId="26">
      <alignment horizontal="left" vertical="center"/>
    </xf>
    <xf numFmtId="210" fontId="70" fillId="37" borderId="26">
      <alignment horizontal="left" vertical="center"/>
    </xf>
    <xf numFmtId="4" fontId="97" fillId="15" borderId="44" applyNumberFormat="0" applyProtection="0">
      <alignment horizontal="right" vertical="center"/>
    </xf>
    <xf numFmtId="4" fontId="97" fillId="55" borderId="44" applyNumberFormat="0" applyProtection="0">
      <alignment horizontal="right" vertical="center"/>
    </xf>
    <xf numFmtId="210" fontId="27" fillId="60" borderId="44" applyNumberFormat="0" applyProtection="0">
      <alignment horizontal="left" vertical="center" indent="1"/>
    </xf>
    <xf numFmtId="192" fontId="9" fillId="0" borderId="57"/>
    <xf numFmtId="4" fontId="97" fillId="55" borderId="44" applyNumberFormat="0" applyProtection="0">
      <alignment horizontal="right" vertical="center"/>
    </xf>
    <xf numFmtId="210" fontId="27" fillId="58" borderId="44" applyNumberFormat="0" applyProtection="0">
      <alignment horizontal="left" vertical="center" indent="1"/>
    </xf>
    <xf numFmtId="210" fontId="27" fillId="59" borderId="44" applyNumberFormat="0" applyProtection="0">
      <alignment horizontal="left" vertical="center" indent="1"/>
    </xf>
    <xf numFmtId="210" fontId="27" fillId="13" borderId="44" applyNumberFormat="0" applyProtection="0">
      <alignment horizontal="left" vertical="top" indent="1"/>
    </xf>
    <xf numFmtId="210" fontId="27" fillId="60" borderId="44" applyNumberFormat="0" applyProtection="0">
      <alignment horizontal="left" vertical="top" indent="1"/>
    </xf>
    <xf numFmtId="210" fontId="13" fillId="3" borderId="16"/>
    <xf numFmtId="192" fontId="9" fillId="0" borderId="57"/>
    <xf numFmtId="192" fontId="9" fillId="0" borderId="57"/>
    <xf numFmtId="210" fontId="69" fillId="39" borderId="26">
      <alignment horizontal="right" vertical="center"/>
    </xf>
    <xf numFmtId="210" fontId="71" fillId="39" borderId="26"/>
    <xf numFmtId="210" fontId="90" fillId="0" borderId="33" applyNumberFormat="0" applyFill="0" applyAlignment="0" applyProtection="0"/>
    <xf numFmtId="210" fontId="49" fillId="36" borderId="22" applyNumberFormat="0" applyAlignment="0" applyProtection="0"/>
    <xf numFmtId="210" fontId="45" fillId="36" borderId="2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210" fontId="139" fillId="47" borderId="41" applyNumberFormat="0" applyAlignment="0" applyProtection="0"/>
    <xf numFmtId="192" fontId="9" fillId="0" borderId="57"/>
    <xf numFmtId="192" fontId="9" fillId="0" borderId="57"/>
    <xf numFmtId="192" fontId="9" fillId="0" borderId="57"/>
    <xf numFmtId="192" fontId="9" fillId="0" borderId="57"/>
    <xf numFmtId="193" fontId="9" fillId="0" borderId="57"/>
    <xf numFmtId="193" fontId="9" fillId="0" borderId="57"/>
    <xf numFmtId="192" fontId="9" fillId="0" borderId="57"/>
    <xf numFmtId="193" fontId="9" fillId="0" borderId="57"/>
    <xf numFmtId="193" fontId="9" fillId="0" borderId="57"/>
    <xf numFmtId="193" fontId="9" fillId="0" borderId="57"/>
    <xf numFmtId="193" fontId="9" fillId="0" borderId="57"/>
    <xf numFmtId="210" fontId="26" fillId="23" borderId="40" applyNumberFormat="0" applyFont="0" applyAlignment="0" applyProtection="0"/>
    <xf numFmtId="210" fontId="70" fillId="37" borderId="26">
      <alignment horizontal="left" vertical="center"/>
    </xf>
    <xf numFmtId="210" fontId="119" fillId="11" borderId="37" applyNumberFormat="0" applyAlignment="0" applyProtection="0"/>
    <xf numFmtId="210" fontId="139" fillId="47" borderId="41" applyNumberFormat="0" applyAlignment="0" applyProtection="0"/>
    <xf numFmtId="210" fontId="13" fillId="3" borderId="16"/>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3" fontId="9" fillId="0" borderId="57"/>
    <xf numFmtId="193" fontId="9" fillId="0" borderId="57"/>
    <xf numFmtId="193" fontId="9" fillId="0" borderId="57"/>
    <xf numFmtId="193" fontId="9" fillId="0" borderId="57"/>
    <xf numFmtId="193" fontId="9" fillId="0" borderId="57"/>
    <xf numFmtId="210" fontId="64" fillId="13" borderId="24" applyNumberFormat="0" applyAlignment="0" applyProtection="0"/>
    <xf numFmtId="210" fontId="64" fillId="13" borderId="24" applyNumberFormat="0" applyAlignment="0" applyProtection="0"/>
    <xf numFmtId="193" fontId="9" fillId="0" borderId="57"/>
    <xf numFmtId="210" fontId="69" fillId="39" borderId="26">
      <alignment horizontal="right" vertical="center"/>
    </xf>
    <xf numFmtId="4" fontId="69" fillId="39" borderId="26">
      <alignment horizontal="right" vertical="center" indent="1"/>
    </xf>
    <xf numFmtId="210" fontId="68" fillId="39" borderId="26">
      <alignment horizontal="right" vertical="center"/>
    </xf>
    <xf numFmtId="198" fontId="68" fillId="39" borderId="26">
      <alignment horizontal="right" vertical="center" indent="1"/>
    </xf>
    <xf numFmtId="210" fontId="71" fillId="39" borderId="26">
      <alignment horizontal="left" vertical="center"/>
    </xf>
    <xf numFmtId="210" fontId="71" fillId="39" borderId="26"/>
    <xf numFmtId="210" fontId="69" fillId="39" borderId="26">
      <alignment horizontal="right" vertical="center"/>
    </xf>
    <xf numFmtId="210" fontId="70" fillId="31" borderId="26">
      <alignment horizontal="center" vertical="center"/>
    </xf>
    <xf numFmtId="200" fontId="68" fillId="39" borderId="26">
      <alignment horizontal="right" vertical="center" indent="1"/>
    </xf>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210" fontId="97" fillId="59" borderId="44" applyNumberFormat="0" applyProtection="0">
      <alignment horizontal="left" vertical="top" indent="1"/>
    </xf>
    <xf numFmtId="210" fontId="73" fillId="40" borderId="26">
      <alignment horizontal="left" vertical="center"/>
    </xf>
    <xf numFmtId="192" fontId="9" fillId="0" borderId="57"/>
    <xf numFmtId="192" fontId="9" fillId="0" borderId="57"/>
    <xf numFmtId="1" fontId="190" fillId="0" borderId="58" applyFont="0" applyFill="0" applyBorder="0" applyAlignment="0" applyProtection="0">
      <alignment horizontal="left"/>
    </xf>
    <xf numFmtId="43" fontId="1" fillId="0" borderId="0" applyFont="0" applyFill="0" applyBorder="0" applyAlignment="0" applyProtection="0"/>
    <xf numFmtId="43" fontId="1" fillId="0" borderId="0" applyFont="0" applyFill="0" applyBorder="0" applyAlignment="0" applyProtection="0"/>
    <xf numFmtId="210" fontId="73" fillId="40" borderId="26">
      <alignment horizontal="left" vertical="center"/>
    </xf>
    <xf numFmtId="1" fontId="190" fillId="0" borderId="58" applyFont="0" applyFill="0" applyBorder="0" applyAlignment="0" applyProtection="0">
      <alignment horizontal="left"/>
    </xf>
    <xf numFmtId="210" fontId="71" fillId="39" borderId="26">
      <alignment horizontal="left" vertical="center"/>
    </xf>
    <xf numFmtId="192" fontId="9" fillId="0" borderId="57"/>
    <xf numFmtId="4" fontId="97" fillId="35" borderId="44" applyNumberFormat="0" applyProtection="0">
      <alignment horizontal="right" vertical="center"/>
    </xf>
    <xf numFmtId="4" fontId="97" fillId="14" borderId="44" applyNumberFormat="0" applyProtection="0">
      <alignment horizontal="right" vertical="center"/>
    </xf>
    <xf numFmtId="210" fontId="119" fillId="11" borderId="37" applyNumberFormat="0" applyAlignment="0" applyProtection="0"/>
    <xf numFmtId="210" fontId="49" fillId="36" borderId="22" applyNumberFormat="0" applyAlignment="0" applyProtection="0"/>
    <xf numFmtId="192" fontId="9" fillId="0" borderId="57"/>
    <xf numFmtId="193" fontId="9" fillId="0" borderId="57"/>
    <xf numFmtId="192" fontId="9" fillId="0" borderId="57"/>
    <xf numFmtId="192" fontId="9" fillId="0" borderId="57"/>
    <xf numFmtId="192" fontId="9" fillId="0" borderId="57"/>
    <xf numFmtId="192" fontId="9" fillId="0" borderId="57"/>
    <xf numFmtId="193" fontId="9" fillId="0" borderId="57"/>
    <xf numFmtId="193" fontId="9" fillId="0" borderId="57"/>
    <xf numFmtId="193" fontId="9" fillId="0" borderId="57"/>
    <xf numFmtId="193" fontId="9" fillId="0" borderId="57"/>
    <xf numFmtId="193" fontId="9" fillId="0" borderId="57"/>
    <xf numFmtId="193" fontId="9" fillId="0" borderId="57"/>
    <xf numFmtId="200" fontId="68" fillId="39" borderId="26">
      <alignment horizontal="right" vertical="center" indent="1"/>
    </xf>
    <xf numFmtId="210" fontId="64" fillId="13" borderId="24" applyNumberFormat="0" applyAlignment="0" applyProtection="0"/>
    <xf numFmtId="210" fontId="64" fillId="13" borderId="24" applyNumberFormat="0" applyAlignment="0" applyProtection="0"/>
    <xf numFmtId="210" fontId="68" fillId="39" borderId="26">
      <alignment horizontal="right" vertical="center"/>
    </xf>
    <xf numFmtId="198" fontId="68" fillId="39" borderId="26">
      <alignment horizontal="right" vertical="center" indent="1"/>
    </xf>
    <xf numFmtId="200" fontId="68" fillId="39" borderId="26">
      <alignment horizontal="right" vertical="center" indent="1"/>
    </xf>
    <xf numFmtId="198" fontId="69" fillId="39" borderId="26">
      <alignment horizontal="right" vertical="center" indent="1"/>
    </xf>
    <xf numFmtId="210" fontId="70" fillId="31" borderId="26">
      <alignment horizontal="center" vertical="center"/>
    </xf>
    <xf numFmtId="210" fontId="68" fillId="39" borderId="26">
      <alignment horizontal="right" vertical="center"/>
    </xf>
    <xf numFmtId="198" fontId="68" fillId="39" borderId="26">
      <alignment horizontal="right" vertical="center" indent="1"/>
    </xf>
    <xf numFmtId="210" fontId="26" fillId="23" borderId="40" applyNumberFormat="0" applyFont="0" applyAlignment="0" applyProtection="0"/>
    <xf numFmtId="4" fontId="69" fillId="39" borderId="26">
      <alignment horizontal="right" vertical="center" indent="1"/>
    </xf>
    <xf numFmtId="210" fontId="73" fillId="40" borderId="26">
      <alignment horizontal="left" vertical="center"/>
    </xf>
    <xf numFmtId="210" fontId="73" fillId="40" borderId="26">
      <alignment horizontal="left" vertical="center"/>
    </xf>
    <xf numFmtId="210" fontId="74" fillId="39" borderId="26">
      <alignment horizontal="left" vertical="center"/>
    </xf>
    <xf numFmtId="4" fontId="97" fillId="34" borderId="44" applyNumberFormat="0" applyProtection="0">
      <alignment horizontal="right" vertical="center"/>
    </xf>
    <xf numFmtId="210" fontId="88" fillId="12" borderId="22" applyNumberFormat="0" applyAlignment="0" applyProtection="0"/>
    <xf numFmtId="210" fontId="97" fillId="46" borderId="44" applyNumberFormat="0" applyProtection="0">
      <alignment horizontal="left" vertical="top" indent="1"/>
    </xf>
    <xf numFmtId="210" fontId="27" fillId="13" borderId="44" applyNumberFormat="0" applyProtection="0">
      <alignment horizontal="left" vertical="center" indent="1"/>
    </xf>
    <xf numFmtId="210" fontId="27" fillId="58" borderId="44" applyNumberFormat="0" applyProtection="0">
      <alignment horizontal="left" vertical="center" indent="1"/>
    </xf>
    <xf numFmtId="210" fontId="26" fillId="23" borderId="40" applyNumberFormat="0" applyFont="0" applyAlignment="0" applyProtection="0"/>
    <xf numFmtId="4" fontId="97" fillId="8" borderId="44" applyNumberFormat="0" applyProtection="0">
      <alignment horizontal="right" vertical="center"/>
    </xf>
    <xf numFmtId="210" fontId="139" fillId="47" borderId="41" applyNumberFormat="0" applyAlignment="0" applyProtection="0"/>
    <xf numFmtId="210" fontId="139" fillId="47" borderId="41" applyNumberFormat="0" applyAlignment="0" applyProtection="0"/>
    <xf numFmtId="210" fontId="26" fillId="23" borderId="40" applyNumberFormat="0" applyFont="0" applyAlignment="0" applyProtection="0"/>
    <xf numFmtId="210" fontId="119" fillId="11" borderId="37" applyNumberFormat="0" applyAlignment="0" applyProtection="0"/>
    <xf numFmtId="10" fontId="28" fillId="39" borderId="26" applyNumberFormat="0" applyBorder="0" applyAlignment="0" applyProtection="0"/>
    <xf numFmtId="210" fontId="88" fillId="12" borderId="22" applyNumberFormat="0" applyAlignment="0" applyProtection="0"/>
    <xf numFmtId="210" fontId="69" fillId="39" borderId="26">
      <alignment horizontal="right" vertical="center"/>
    </xf>
    <xf numFmtId="210" fontId="70" fillId="31" borderId="26">
      <alignment horizontal="center" vertical="center"/>
    </xf>
    <xf numFmtId="210" fontId="69" fillId="39" borderId="26">
      <alignment horizontal="right" vertical="center"/>
    </xf>
    <xf numFmtId="210" fontId="71" fillId="39" borderId="26"/>
    <xf numFmtId="210" fontId="71" fillId="39" borderId="26">
      <alignment horizontal="left" vertical="center"/>
    </xf>
    <xf numFmtId="4" fontId="68" fillId="39" borderId="26">
      <alignment horizontal="right" vertical="center" indent="1"/>
    </xf>
    <xf numFmtId="210" fontId="68" fillId="39" borderId="26">
      <alignment horizontal="right" vertical="center"/>
    </xf>
    <xf numFmtId="199" fontId="69" fillId="39" borderId="26">
      <alignment horizontal="right" vertical="center" indent="1"/>
    </xf>
    <xf numFmtId="210" fontId="69" fillId="39" borderId="26">
      <alignment horizontal="right" vertical="center"/>
    </xf>
    <xf numFmtId="193" fontId="9" fillId="0" borderId="57"/>
    <xf numFmtId="210" fontId="64" fillId="13" borderId="24" applyNumberFormat="0" applyAlignment="0" applyProtection="0"/>
    <xf numFmtId="210" fontId="64" fillId="13" borderId="24" applyNumberFormat="0" applyAlignment="0" applyProtection="0"/>
    <xf numFmtId="210" fontId="64" fillId="13" borderId="24" applyNumberFormat="0" applyAlignment="0" applyProtection="0"/>
    <xf numFmtId="193" fontId="9" fillId="0" borderId="57"/>
    <xf numFmtId="193" fontId="9" fillId="0" borderId="57"/>
    <xf numFmtId="193" fontId="9" fillId="0" borderId="57"/>
    <xf numFmtId="193" fontId="9" fillId="0" borderId="57"/>
    <xf numFmtId="193" fontId="9" fillId="0" borderId="57"/>
    <xf numFmtId="192" fontId="9" fillId="0" borderId="57"/>
    <xf numFmtId="192" fontId="9" fillId="0" borderId="57"/>
    <xf numFmtId="193" fontId="9" fillId="0" borderId="57"/>
    <xf numFmtId="192" fontId="9" fillId="0" borderId="57"/>
    <xf numFmtId="192" fontId="9" fillId="0" borderId="57"/>
    <xf numFmtId="192" fontId="9" fillId="0" borderId="57"/>
    <xf numFmtId="192" fontId="9" fillId="0" borderId="57"/>
    <xf numFmtId="192" fontId="9" fillId="0" borderId="57"/>
    <xf numFmtId="210" fontId="45" fillId="36" borderId="21" applyNumberFormat="0" applyAlignment="0" applyProtection="0"/>
    <xf numFmtId="210" fontId="26" fillId="23" borderId="40" applyNumberFormat="0" applyFont="0" applyAlignment="0" applyProtection="0"/>
    <xf numFmtId="10" fontId="28" fillId="39" borderId="26" applyNumberFormat="0" applyBorder="0" applyAlignment="0" applyProtection="0"/>
    <xf numFmtId="210" fontId="119" fillId="11" borderId="37" applyNumberFormat="0" applyAlignment="0" applyProtection="0"/>
    <xf numFmtId="193" fontId="9" fillId="0" borderId="57"/>
    <xf numFmtId="193" fontId="9" fillId="0" borderId="57"/>
    <xf numFmtId="193" fontId="9" fillId="0" borderId="57"/>
    <xf numFmtId="193" fontId="9" fillId="0" borderId="57"/>
    <xf numFmtId="192" fontId="9" fillId="0" borderId="57"/>
    <xf numFmtId="193" fontId="9" fillId="0" borderId="57"/>
    <xf numFmtId="193"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192" fontId="9" fillId="0" borderId="57"/>
    <xf numFmtId="210" fontId="3" fillId="46" borderId="40" applyNumberFormat="0" applyFont="0" applyAlignment="0" applyProtection="0"/>
    <xf numFmtId="210" fontId="139" fillId="47" borderId="41" applyNumberFormat="0" applyAlignment="0" applyProtection="0"/>
    <xf numFmtId="210" fontId="27" fillId="58" borderId="44" applyNumberFormat="0" applyProtection="0">
      <alignment horizontal="left" vertical="center" indent="1"/>
    </xf>
    <xf numFmtId="210" fontId="149" fillId="52" borderId="44" applyNumberFormat="0" applyProtection="0">
      <alignment horizontal="left" vertical="top" indent="1"/>
    </xf>
    <xf numFmtId="210" fontId="139" fillId="47" borderId="41" applyNumberFormat="0" applyAlignment="0" applyProtection="0"/>
    <xf numFmtId="210" fontId="139" fillId="47" borderId="41" applyNumberFormat="0" applyAlignment="0" applyProtection="0"/>
    <xf numFmtId="210" fontId="88" fillId="12" borderId="22" applyNumberFormat="0" applyAlignment="0" applyProtection="0"/>
    <xf numFmtId="43" fontId="1" fillId="0" borderId="0" applyFont="0" applyFill="0" applyBorder="0" applyAlignment="0" applyProtection="0"/>
    <xf numFmtId="210" fontId="73" fillId="40" borderId="26">
      <alignment horizontal="left" vertical="center"/>
    </xf>
    <xf numFmtId="210" fontId="73" fillId="40" borderId="26">
      <alignment horizontal="left" vertical="center"/>
    </xf>
    <xf numFmtId="210" fontId="73" fillId="40"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4" fillId="39" borderId="26">
      <alignment horizontal="left" vertical="center"/>
    </xf>
    <xf numFmtId="210" fontId="70" fillId="37" borderId="26">
      <alignment horizontal="left" vertical="center"/>
    </xf>
    <xf numFmtId="210" fontId="70" fillId="37" borderId="26">
      <alignment horizontal="left" vertical="center"/>
    </xf>
    <xf numFmtId="210" fontId="70" fillId="37" borderId="26">
      <alignment horizontal="left" vertical="center"/>
    </xf>
    <xf numFmtId="210" fontId="70" fillId="37" borderId="26">
      <alignment horizontal="left" vertical="center"/>
    </xf>
    <xf numFmtId="210" fontId="88" fillId="12" borderId="22" applyNumberFormat="0" applyAlignment="0" applyProtection="0"/>
    <xf numFmtId="210" fontId="90" fillId="0" borderId="33" applyNumberFormat="0" applyFill="0" applyAlignment="0" applyProtection="0"/>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10" fontId="28" fillId="39" borderId="26" applyNumberFormat="0" applyBorder="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119" fillId="11" borderId="37" applyNumberFormat="0" applyAlignment="0" applyProtection="0"/>
    <xf numFmtId="210" fontId="3" fillId="46" borderId="40" applyNumberFormat="0" applyFont="0" applyAlignment="0" applyProtection="0"/>
    <xf numFmtId="210" fontId="3" fillId="46" borderId="40" applyNumberFormat="0" applyFont="0" applyAlignment="0" applyProtection="0"/>
    <xf numFmtId="210" fontId="3" fillId="46"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26" fillId="23" borderId="40" applyNumberFormat="0" applyFont="0" applyAlignment="0" applyProtection="0"/>
    <xf numFmtId="210" fontId="3" fillId="46" borderId="40" applyNumberFormat="0" applyFont="0" applyAlignment="0" applyProtection="0"/>
    <xf numFmtId="210" fontId="38" fillId="46" borderId="40" applyNumberFormat="0" applyFon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39" fillId="47" borderId="41" applyNumberFormat="0" applyAlignment="0" applyProtection="0"/>
    <xf numFmtId="210" fontId="149" fillId="52" borderId="44" applyNumberFormat="0" applyProtection="0">
      <alignment horizontal="left" vertical="top" indent="1"/>
    </xf>
    <xf numFmtId="4" fontId="97" fillId="8" borderId="44" applyNumberFormat="0" applyProtection="0">
      <alignment horizontal="right" vertical="center"/>
    </xf>
    <xf numFmtId="4" fontId="97" fillId="14" borderId="44" applyNumberFormat="0" applyProtection="0">
      <alignment horizontal="right" vertical="center"/>
    </xf>
    <xf numFmtId="4" fontId="97" fillId="33" borderId="44" applyNumberFormat="0" applyProtection="0">
      <alignment horizontal="right" vertical="center"/>
    </xf>
    <xf numFmtId="4" fontId="97" fillId="16" borderId="44" applyNumberFormat="0" applyProtection="0">
      <alignment horizontal="right" vertical="center"/>
    </xf>
    <xf numFmtId="4" fontId="97" fillId="20" borderId="44" applyNumberFormat="0" applyProtection="0">
      <alignment horizontal="right" vertical="center"/>
    </xf>
    <xf numFmtId="4" fontId="97" fillId="35" borderId="44" applyNumberFormat="0" applyProtection="0">
      <alignment horizontal="right" vertical="center"/>
    </xf>
    <xf numFmtId="4" fontId="97" fillId="34" borderId="44" applyNumberFormat="0" applyProtection="0">
      <alignment horizontal="right" vertical="center"/>
    </xf>
    <xf numFmtId="4" fontId="97" fillId="55" borderId="44" applyNumberFormat="0" applyProtection="0">
      <alignment horizontal="right" vertical="center"/>
    </xf>
    <xf numFmtId="4" fontId="97" fillId="15" borderId="44" applyNumberFormat="0" applyProtection="0">
      <alignment horizontal="right" vertical="center"/>
    </xf>
    <xf numFmtId="210" fontId="27" fillId="58" borderId="44" applyNumberFormat="0" applyProtection="0">
      <alignment horizontal="left" vertical="center" indent="1"/>
    </xf>
    <xf numFmtId="210" fontId="27" fillId="58" borderId="44" applyNumberFormat="0" applyProtection="0">
      <alignment horizontal="left" vertical="top" indent="1"/>
    </xf>
    <xf numFmtId="210" fontId="27" fillId="59" borderId="44" applyNumberFormat="0" applyProtection="0">
      <alignment horizontal="left" vertical="center" indent="1"/>
    </xf>
    <xf numFmtId="210" fontId="27" fillId="59" borderId="44" applyNumberFormat="0" applyProtection="0">
      <alignment horizontal="left" vertical="top" indent="1"/>
    </xf>
    <xf numFmtId="210" fontId="27" fillId="13" borderId="44" applyNumberFormat="0" applyProtection="0">
      <alignment horizontal="left" vertical="center" indent="1"/>
    </xf>
    <xf numFmtId="210" fontId="27" fillId="13" borderId="44" applyNumberFormat="0" applyProtection="0">
      <alignment horizontal="left" vertical="top" indent="1"/>
    </xf>
    <xf numFmtId="210" fontId="27" fillId="60" borderId="44" applyNumberFormat="0" applyProtection="0">
      <alignment horizontal="left" vertical="center" indent="1"/>
    </xf>
    <xf numFmtId="210" fontId="27" fillId="60" borderId="44" applyNumberFormat="0" applyProtection="0">
      <alignment horizontal="left" vertical="top" indent="1"/>
    </xf>
    <xf numFmtId="210" fontId="97" fillId="46" borderId="44" applyNumberFormat="0" applyProtection="0">
      <alignment horizontal="left" vertical="top" indent="1"/>
    </xf>
    <xf numFmtId="210" fontId="97" fillId="59" borderId="44" applyNumberFormat="0" applyProtection="0">
      <alignment horizontal="left" vertical="top" indent="1"/>
    </xf>
    <xf numFmtId="1" fontId="190" fillId="0" borderId="58" applyFont="0" applyFill="0" applyBorder="0" applyAlignment="0" applyProtection="0">
      <alignment horizontal="left"/>
    </xf>
    <xf numFmtId="169" fontId="215" fillId="0" borderId="0" applyNumberFormat="0" applyFill="0" applyBorder="0" applyAlignment="0" applyProtection="0"/>
    <xf numFmtId="0" fontId="3" fillId="0" borderId="0"/>
  </cellStyleXfs>
  <cellXfs count="576">
    <xf numFmtId="169" fontId="0" fillId="0" borderId="0" xfId="0"/>
    <xf numFmtId="170" fontId="6" fillId="2" borderId="0" xfId="0" applyNumberFormat="1" applyFont="1" applyFill="1" applyAlignment="1">
      <alignment vertical="center"/>
    </xf>
    <xf numFmtId="169" fontId="6" fillId="0" borderId="0" xfId="0" applyFont="1" applyAlignment="1">
      <alignment vertical="center"/>
    </xf>
    <xf numFmtId="170" fontId="3" fillId="2" borderId="0" xfId="2" applyNumberFormat="1" applyFont="1" applyFill="1" applyAlignment="1">
      <alignment horizontal="left" vertical="center"/>
    </xf>
    <xf numFmtId="169" fontId="6" fillId="0" borderId="0" xfId="0" applyFont="1" applyAlignment="1">
      <alignment horizontal="right" vertical="center"/>
    </xf>
    <xf numFmtId="9" fontId="6" fillId="0" borderId="0" xfId="1" applyFont="1" applyAlignment="1">
      <alignment vertical="center"/>
    </xf>
    <xf numFmtId="9" fontId="6" fillId="2" borderId="0" xfId="1" applyFont="1" applyFill="1" applyBorder="1" applyAlignment="1">
      <alignment horizontal="right" vertical="center"/>
    </xf>
    <xf numFmtId="9" fontId="6" fillId="2" borderId="0" xfId="1" applyFont="1" applyFill="1" applyBorder="1" applyAlignment="1">
      <alignment vertical="center"/>
    </xf>
    <xf numFmtId="9" fontId="6" fillId="0" borderId="0" xfId="1" applyFont="1" applyFill="1" applyBorder="1" applyAlignment="1">
      <alignment horizontal="center" vertical="center"/>
    </xf>
    <xf numFmtId="210" fontId="2" fillId="2" borderId="0" xfId="565" applyFont="1" applyFill="1" applyAlignment="1">
      <alignment vertical="center"/>
    </xf>
    <xf numFmtId="210" fontId="193" fillId="2" borderId="0" xfId="565" applyFont="1" applyFill="1" applyAlignment="1">
      <alignment vertical="center"/>
    </xf>
    <xf numFmtId="210" fontId="6" fillId="2" borderId="0" xfId="565" applyFont="1" applyFill="1" applyAlignment="1">
      <alignment vertical="center"/>
    </xf>
    <xf numFmtId="210" fontId="6" fillId="2" borderId="0" xfId="565" applyFont="1" applyFill="1" applyAlignment="1">
      <alignment horizontal="right" vertical="center"/>
    </xf>
    <xf numFmtId="169" fontId="2" fillId="0" borderId="8" xfId="565" applyNumberFormat="1" applyFont="1" applyBorder="1" applyAlignment="1">
      <alignment horizontal="left" vertical="center"/>
    </xf>
    <xf numFmtId="210" fontId="6" fillId="2" borderId="10" xfId="565" applyFont="1" applyFill="1" applyBorder="1" applyAlignment="1">
      <alignment vertical="center"/>
    </xf>
    <xf numFmtId="210" fontId="6" fillId="2" borderId="8" xfId="565" applyFont="1" applyFill="1" applyBorder="1" applyAlignment="1">
      <alignment vertical="center"/>
    </xf>
    <xf numFmtId="171" fontId="3" fillId="2" borderId="0" xfId="1" applyNumberFormat="1" applyFont="1" applyFill="1" applyBorder="1" applyAlignment="1">
      <alignment horizontal="center" vertical="center"/>
    </xf>
    <xf numFmtId="3" fontId="6" fillId="2" borderId="0" xfId="565" applyNumberFormat="1" applyFont="1" applyFill="1" applyAlignment="1">
      <alignment vertical="center"/>
    </xf>
    <xf numFmtId="170" fontId="3" fillId="2" borderId="0" xfId="565" applyNumberFormat="1" applyFont="1" applyFill="1" applyAlignment="1">
      <alignment horizontal="left" vertical="center"/>
    </xf>
    <xf numFmtId="170" fontId="6" fillId="2" borderId="0" xfId="565" applyNumberFormat="1" applyFont="1" applyFill="1" applyAlignment="1">
      <alignment vertical="center"/>
    </xf>
    <xf numFmtId="3" fontId="6" fillId="2" borderId="0" xfId="565" applyNumberFormat="1" applyFont="1" applyFill="1" applyAlignment="1">
      <alignment horizontal="right" vertical="center"/>
    </xf>
    <xf numFmtId="170" fontId="3" fillId="2" borderId="0" xfId="565" applyNumberFormat="1" applyFont="1" applyFill="1" applyAlignment="1">
      <alignment vertical="center"/>
    </xf>
    <xf numFmtId="170" fontId="6" fillId="2" borderId="0" xfId="565" applyNumberFormat="1" applyFont="1" applyFill="1" applyAlignment="1">
      <alignment horizontal="left" vertical="center"/>
    </xf>
    <xf numFmtId="170" fontId="6" fillId="2" borderId="0" xfId="565" applyNumberFormat="1" applyFont="1" applyFill="1" applyAlignment="1">
      <alignment horizontal="center" vertical="center"/>
    </xf>
    <xf numFmtId="170" fontId="6" fillId="2" borderId="0" xfId="565" applyNumberFormat="1" applyFont="1" applyFill="1" applyAlignment="1">
      <alignment horizontal="left" vertical="center" indent="1"/>
    </xf>
    <xf numFmtId="170" fontId="10" fillId="2" borderId="0" xfId="565" applyNumberFormat="1" applyFont="1" applyFill="1" applyAlignment="1">
      <alignment vertical="center"/>
    </xf>
    <xf numFmtId="170" fontId="10" fillId="0" borderId="0" xfId="565" applyNumberFormat="1" applyFont="1" applyAlignment="1">
      <alignment vertical="center"/>
    </xf>
    <xf numFmtId="170" fontId="6" fillId="2" borderId="11" xfId="565" applyNumberFormat="1" applyFont="1" applyFill="1" applyBorder="1" applyAlignment="1">
      <alignment horizontal="left" vertical="center"/>
    </xf>
    <xf numFmtId="170" fontId="3" fillId="2" borderId="11" xfId="565" applyNumberFormat="1" applyFont="1" applyFill="1" applyBorder="1" applyAlignment="1">
      <alignment horizontal="left" vertical="center"/>
    </xf>
    <xf numFmtId="170" fontId="6" fillId="2" borderId="11" xfId="565" applyNumberFormat="1" applyFont="1" applyFill="1" applyBorder="1" applyAlignment="1">
      <alignment horizontal="center" vertical="center"/>
    </xf>
    <xf numFmtId="170" fontId="6" fillId="2" borderId="11" xfId="565" applyNumberFormat="1" applyFont="1" applyFill="1" applyBorder="1" applyAlignment="1">
      <alignment vertical="center"/>
    </xf>
    <xf numFmtId="3" fontId="193" fillId="2" borderId="0" xfId="565" applyNumberFormat="1" applyFont="1" applyFill="1" applyAlignment="1">
      <alignment horizontal="right" vertical="center"/>
    </xf>
    <xf numFmtId="171" fontId="6" fillId="2" borderId="1" xfId="1" applyNumberFormat="1" applyFont="1" applyFill="1" applyBorder="1" applyAlignment="1">
      <alignment horizontal="center" vertical="center"/>
    </xf>
    <xf numFmtId="3" fontId="6" fillId="2" borderId="1" xfId="565" applyNumberFormat="1" applyFont="1" applyFill="1" applyBorder="1" applyAlignment="1">
      <alignment horizontal="center" vertical="center"/>
    </xf>
    <xf numFmtId="3" fontId="6" fillId="2" borderId="0" xfId="565" applyNumberFormat="1" applyFont="1" applyFill="1" applyAlignment="1">
      <alignment horizontal="center" vertical="center"/>
    </xf>
    <xf numFmtId="173" fontId="3" fillId="2" borderId="0" xfId="565" applyNumberFormat="1" applyFont="1" applyFill="1" applyAlignment="1">
      <alignment vertical="center"/>
    </xf>
    <xf numFmtId="173" fontId="6" fillId="2" borderId="0" xfId="565" applyNumberFormat="1" applyFont="1" applyFill="1" applyAlignment="1">
      <alignment vertical="center"/>
    </xf>
    <xf numFmtId="9" fontId="6" fillId="2" borderId="0" xfId="565" applyNumberFormat="1" applyFont="1" applyFill="1" applyAlignment="1">
      <alignment horizontal="right" vertical="center"/>
    </xf>
    <xf numFmtId="244" fontId="6" fillId="2" borderId="0" xfId="565" applyNumberFormat="1" applyFont="1" applyFill="1" applyAlignment="1">
      <alignment vertical="center"/>
    </xf>
    <xf numFmtId="9" fontId="8" fillId="2" borderId="1" xfId="565" applyNumberFormat="1" applyFont="1" applyFill="1" applyBorder="1" applyAlignment="1">
      <alignment horizontal="center" vertical="center"/>
    </xf>
    <xf numFmtId="210" fontId="6" fillId="2" borderId="0" xfId="565" applyFont="1" applyFill="1" applyAlignment="1">
      <alignment horizontal="left" vertical="center" indent="1"/>
    </xf>
    <xf numFmtId="210" fontId="6" fillId="2" borderId="0" xfId="565" applyFont="1" applyFill="1" applyAlignment="1">
      <alignment horizontal="center" vertical="center"/>
    </xf>
    <xf numFmtId="210" fontId="6" fillId="2" borderId="0" xfId="565" applyFont="1" applyFill="1" applyAlignment="1">
      <alignment horizontal="left" vertical="center"/>
    </xf>
    <xf numFmtId="170" fontId="3" fillId="2" borderId="10" xfId="565" applyNumberFormat="1" applyFont="1" applyFill="1" applyBorder="1" applyAlignment="1">
      <alignment horizontal="left" vertical="center"/>
    </xf>
    <xf numFmtId="9" fontId="3" fillId="2" borderId="0" xfId="1" applyFont="1" applyFill="1" applyBorder="1" applyAlignment="1">
      <alignment vertical="center"/>
    </xf>
    <xf numFmtId="210" fontId="10" fillId="2" borderId="0" xfId="565" applyFont="1" applyFill="1" applyAlignment="1">
      <alignment vertical="center"/>
    </xf>
    <xf numFmtId="210" fontId="3" fillId="2" borderId="0" xfId="565" applyFont="1" applyFill="1" applyAlignment="1">
      <alignment vertical="center"/>
    </xf>
    <xf numFmtId="9" fontId="6" fillId="2" borderId="0" xfId="565" applyNumberFormat="1" applyFont="1" applyFill="1" applyAlignment="1">
      <alignment vertical="center"/>
    </xf>
    <xf numFmtId="210" fontId="3" fillId="2" borderId="10" xfId="565" applyFont="1" applyFill="1" applyBorder="1" applyAlignment="1">
      <alignment vertical="center"/>
    </xf>
    <xf numFmtId="169" fontId="5" fillId="0" borderId="0" xfId="565" applyNumberFormat="1" applyFont="1" applyAlignment="1">
      <alignment vertical="center"/>
    </xf>
    <xf numFmtId="169" fontId="6" fillId="0" borderId="0" xfId="565" applyNumberFormat="1" applyFont="1" applyAlignment="1">
      <alignment vertical="center"/>
    </xf>
    <xf numFmtId="169" fontId="6" fillId="0" borderId="0" xfId="565" applyNumberFormat="1" applyFont="1" applyAlignment="1">
      <alignment horizontal="center" vertical="center"/>
    </xf>
    <xf numFmtId="169" fontId="6" fillId="0" borderId="0" xfId="565" applyNumberFormat="1" applyFont="1" applyAlignment="1">
      <alignment horizontal="left" vertical="center"/>
    </xf>
    <xf numFmtId="170" fontId="6" fillId="0" borderId="0" xfId="565" applyNumberFormat="1" applyFont="1" applyAlignment="1">
      <alignment vertical="center"/>
    </xf>
    <xf numFmtId="169" fontId="2" fillId="0" borderId="2" xfId="565" applyNumberFormat="1" applyFont="1" applyBorder="1" applyAlignment="1">
      <alignment vertical="center"/>
    </xf>
    <xf numFmtId="169" fontId="6" fillId="2" borderId="0" xfId="565" applyNumberFormat="1" applyFont="1" applyFill="1" applyAlignment="1">
      <alignment vertical="center"/>
    </xf>
    <xf numFmtId="169" fontId="6" fillId="0" borderId="6" xfId="565" applyNumberFormat="1" applyFont="1" applyBorder="1" applyAlignment="1">
      <alignment horizontal="center" vertical="center"/>
    </xf>
    <xf numFmtId="169" fontId="6" fillId="0" borderId="8" xfId="565" applyNumberFormat="1" applyFont="1" applyBorder="1" applyAlignment="1">
      <alignment vertical="center"/>
    </xf>
    <xf numFmtId="169" fontId="6" fillId="0" borderId="10" xfId="565" applyNumberFormat="1" applyFont="1" applyBorder="1" applyAlignment="1">
      <alignment horizontal="left" vertical="center"/>
    </xf>
    <xf numFmtId="169" fontId="6" fillId="0" borderId="10" xfId="565" applyNumberFormat="1" applyFont="1" applyBorder="1" applyAlignment="1">
      <alignment vertical="center"/>
    </xf>
    <xf numFmtId="170" fontId="10" fillId="2" borderId="10" xfId="565" applyNumberFormat="1" applyFont="1" applyFill="1" applyBorder="1" applyAlignment="1">
      <alignment vertical="center"/>
    </xf>
    <xf numFmtId="210" fontId="12" fillId="2" borderId="0" xfId="565" applyFont="1" applyFill="1" applyAlignment="1">
      <alignment vertical="center"/>
    </xf>
    <xf numFmtId="9" fontId="12" fillId="2" borderId="0" xfId="565" applyNumberFormat="1" applyFont="1" applyFill="1" applyAlignment="1">
      <alignment vertical="center"/>
    </xf>
    <xf numFmtId="9" fontId="6" fillId="2" borderId="0" xfId="1" applyFont="1" applyFill="1" applyBorder="1" applyAlignment="1">
      <alignment horizontal="center" vertical="center"/>
    </xf>
    <xf numFmtId="169" fontId="2" fillId="0" borderId="0" xfId="565" applyNumberFormat="1" applyFont="1" applyAlignment="1">
      <alignment vertical="center"/>
    </xf>
    <xf numFmtId="170" fontId="6" fillId="67" borderId="0" xfId="0" applyNumberFormat="1" applyFont="1" applyFill="1" applyAlignment="1">
      <alignment vertical="center"/>
    </xf>
    <xf numFmtId="171" fontId="6" fillId="2" borderId="0" xfId="1" applyNumberFormat="1" applyFont="1" applyFill="1" applyBorder="1" applyAlignment="1">
      <alignment vertical="center"/>
    </xf>
    <xf numFmtId="171" fontId="2" fillId="0" borderId="0" xfId="1" applyNumberFormat="1" applyFont="1" applyAlignment="1">
      <alignment horizontal="right" vertical="center"/>
    </xf>
    <xf numFmtId="169" fontId="3" fillId="0" borderId="0" xfId="565" applyNumberFormat="1" applyFont="1" applyAlignment="1">
      <alignment vertical="center"/>
    </xf>
    <xf numFmtId="210" fontId="9" fillId="0" borderId="10" xfId="2" applyFont="1" applyBorder="1" applyAlignment="1">
      <alignment vertical="center"/>
    </xf>
    <xf numFmtId="9" fontId="9" fillId="0" borderId="10" xfId="1" applyFont="1" applyFill="1" applyBorder="1" applyAlignment="1">
      <alignment vertical="center"/>
    </xf>
    <xf numFmtId="169" fontId="2" fillId="0" borderId="1" xfId="565" applyNumberFormat="1" applyFont="1" applyBorder="1" applyAlignment="1">
      <alignment horizontal="center" vertical="center"/>
    </xf>
    <xf numFmtId="169" fontId="9" fillId="0" borderId="0" xfId="565" applyNumberFormat="1" applyFont="1" applyAlignment="1">
      <alignment vertical="center"/>
    </xf>
    <xf numFmtId="170" fontId="2" fillId="2" borderId="10" xfId="565" applyNumberFormat="1" applyFont="1" applyFill="1" applyBorder="1" applyAlignment="1">
      <alignment vertical="center"/>
    </xf>
    <xf numFmtId="210" fontId="9" fillId="0" borderId="0" xfId="2" applyFont="1" applyAlignment="1">
      <alignment vertical="center"/>
    </xf>
    <xf numFmtId="9" fontId="9" fillId="0" borderId="0" xfId="1" applyFont="1" applyFill="1" applyBorder="1" applyAlignment="1">
      <alignment vertical="center"/>
    </xf>
    <xf numFmtId="170" fontId="2" fillId="2" borderId="0" xfId="565" applyNumberFormat="1" applyFont="1" applyFill="1" applyAlignment="1">
      <alignment vertical="center"/>
    </xf>
    <xf numFmtId="1" fontId="9" fillId="0" borderId="0" xfId="2" applyNumberFormat="1" applyFont="1" applyAlignment="1">
      <alignment vertical="center"/>
    </xf>
    <xf numFmtId="169" fontId="2" fillId="0" borderId="0" xfId="565" applyNumberFormat="1" applyFont="1" applyAlignment="1">
      <alignment horizontal="center" vertical="center"/>
    </xf>
    <xf numFmtId="210" fontId="3" fillId="0" borderId="0" xfId="2" applyFont="1" applyAlignment="1">
      <alignment vertical="center"/>
    </xf>
    <xf numFmtId="9" fontId="3" fillId="0" borderId="0" xfId="1" applyFont="1" applyFill="1" applyBorder="1" applyAlignment="1">
      <alignment vertical="center"/>
    </xf>
    <xf numFmtId="169" fontId="2" fillId="0" borderId="7" xfId="565" applyNumberFormat="1" applyFont="1" applyBorder="1" applyAlignment="1">
      <alignment horizontal="center" vertical="center" wrapText="1"/>
    </xf>
    <xf numFmtId="171" fontId="2" fillId="2" borderId="0" xfId="1" applyNumberFormat="1" applyFont="1" applyFill="1" applyBorder="1" applyAlignment="1">
      <alignment horizontal="right" vertical="center"/>
    </xf>
    <xf numFmtId="210" fontId="197" fillId="2" borderId="0" xfId="565" applyFont="1" applyFill="1" applyAlignment="1">
      <alignment vertical="center"/>
    </xf>
    <xf numFmtId="171" fontId="6" fillId="2" borderId="0" xfId="1" applyNumberFormat="1" applyFont="1" applyFill="1" applyBorder="1" applyAlignment="1">
      <alignment horizontal="center" vertical="center"/>
    </xf>
    <xf numFmtId="171" fontId="6" fillId="2" borderId="7" xfId="1" applyNumberFormat="1" applyFont="1" applyFill="1" applyBorder="1" applyAlignment="1">
      <alignment horizontal="center" vertical="center"/>
    </xf>
    <xf numFmtId="171" fontId="6" fillId="2" borderId="14" xfId="1" applyNumberFormat="1" applyFont="1" applyFill="1" applyBorder="1" applyAlignment="1">
      <alignment horizontal="center" vertical="center"/>
    </xf>
    <xf numFmtId="171" fontId="6" fillId="2" borderId="15" xfId="1" applyNumberFormat="1" applyFont="1" applyFill="1" applyBorder="1" applyAlignment="1">
      <alignment horizontal="center" vertical="center"/>
    </xf>
    <xf numFmtId="1" fontId="2" fillId="2" borderId="0" xfId="565" applyNumberFormat="1" applyFont="1" applyFill="1" applyAlignment="1">
      <alignment vertical="center"/>
    </xf>
    <xf numFmtId="210" fontId="10" fillId="0" borderId="0" xfId="565" applyFont="1" applyAlignment="1">
      <alignment vertical="center"/>
    </xf>
    <xf numFmtId="210" fontId="3" fillId="0" borderId="0" xfId="565" applyFont="1" applyAlignment="1">
      <alignment vertical="center"/>
    </xf>
    <xf numFmtId="169" fontId="6" fillId="2" borderId="1" xfId="565" applyNumberFormat="1" applyFont="1" applyFill="1" applyBorder="1" applyAlignment="1">
      <alignment horizontal="center" vertical="center"/>
    </xf>
    <xf numFmtId="210" fontId="6" fillId="68" borderId="0" xfId="565" applyFont="1" applyFill="1" applyAlignment="1">
      <alignment vertical="center"/>
    </xf>
    <xf numFmtId="171" fontId="6" fillId="66" borderId="1" xfId="1" applyNumberFormat="1" applyFont="1" applyFill="1" applyBorder="1" applyAlignment="1">
      <alignment horizontal="center" vertical="center"/>
    </xf>
    <xf numFmtId="210" fontId="6" fillId="2" borderId="0" xfId="565" applyFont="1" applyFill="1" applyAlignment="1">
      <alignment vertical="center" wrapText="1"/>
    </xf>
    <xf numFmtId="1" fontId="6" fillId="0" borderId="0" xfId="565" applyNumberFormat="1" applyFont="1" applyAlignment="1">
      <alignment vertical="center"/>
    </xf>
    <xf numFmtId="9" fontId="9" fillId="0" borderId="0" xfId="1" applyFont="1" applyFill="1" applyAlignment="1">
      <alignment horizontal="center" vertical="center"/>
    </xf>
    <xf numFmtId="210" fontId="9" fillId="0" borderId="0" xfId="565" applyFont="1" applyAlignment="1">
      <alignment horizontal="center" vertical="center"/>
    </xf>
    <xf numFmtId="0" fontId="12" fillId="2" borderId="1" xfId="565" applyNumberFormat="1" applyFont="1" applyFill="1" applyBorder="1" applyAlignment="1">
      <alignment horizontal="center" vertical="center"/>
    </xf>
    <xf numFmtId="0" fontId="12" fillId="2" borderId="0" xfId="565" applyNumberFormat="1" applyFont="1" applyFill="1" applyAlignment="1">
      <alignment vertical="center"/>
    </xf>
    <xf numFmtId="169" fontId="6" fillId="2" borderId="0" xfId="565" applyNumberFormat="1" applyFont="1" applyFill="1" applyAlignment="1">
      <alignment horizontal="center" vertical="center"/>
    </xf>
    <xf numFmtId="172" fontId="6" fillId="2" borderId="0" xfId="565" applyNumberFormat="1" applyFont="1" applyFill="1" applyAlignment="1">
      <alignment horizontal="center" vertical="center"/>
    </xf>
    <xf numFmtId="0" fontId="6" fillId="2" borderId="0" xfId="565" applyNumberFormat="1" applyFont="1" applyFill="1" applyAlignment="1">
      <alignment vertical="center"/>
    </xf>
    <xf numFmtId="210" fontId="194" fillId="2" borderId="0" xfId="565" applyFont="1" applyFill="1" applyAlignment="1">
      <alignment vertical="center"/>
    </xf>
    <xf numFmtId="9" fontId="3" fillId="2" borderId="0" xfId="1" applyFont="1" applyFill="1" applyBorder="1" applyAlignment="1">
      <alignment horizontal="center" vertical="center"/>
    </xf>
    <xf numFmtId="9" fontId="6" fillId="2" borderId="0" xfId="1" applyFont="1" applyFill="1" applyAlignment="1">
      <alignment vertical="center"/>
    </xf>
    <xf numFmtId="210" fontId="6" fillId="2" borderId="12" xfId="565" applyFont="1" applyFill="1" applyBorder="1" applyAlignment="1">
      <alignment vertical="center"/>
    </xf>
    <xf numFmtId="170" fontId="3" fillId="2" borderId="12" xfId="565" applyNumberFormat="1" applyFont="1" applyFill="1" applyBorder="1" applyAlignment="1">
      <alignment horizontal="left" vertical="center"/>
    </xf>
    <xf numFmtId="170" fontId="6" fillId="2" borderId="12" xfId="565" applyNumberFormat="1" applyFont="1" applyFill="1" applyBorder="1" applyAlignment="1">
      <alignment horizontal="left" vertical="center"/>
    </xf>
    <xf numFmtId="0" fontId="6" fillId="2" borderId="0" xfId="565" applyNumberFormat="1" applyFont="1" applyFill="1" applyAlignment="1">
      <alignment horizontal="left" vertical="center"/>
    </xf>
    <xf numFmtId="0" fontId="2" fillId="2" borderId="0" xfId="565" applyNumberFormat="1" applyFont="1" applyFill="1" applyAlignment="1">
      <alignment horizontal="center" vertical="center"/>
    </xf>
    <xf numFmtId="210" fontId="2" fillId="2" borderId="0" xfId="565" applyFont="1" applyFill="1" applyAlignment="1">
      <alignment horizontal="center" vertical="center"/>
    </xf>
    <xf numFmtId="170" fontId="2" fillId="2" borderId="0" xfId="565" applyNumberFormat="1" applyFont="1" applyFill="1" applyAlignment="1">
      <alignment horizontal="left" vertical="center"/>
    </xf>
    <xf numFmtId="1" fontId="6" fillId="2" borderId="0" xfId="565" applyNumberFormat="1" applyFont="1" applyFill="1" applyAlignment="1">
      <alignment vertical="center"/>
    </xf>
    <xf numFmtId="246" fontId="3" fillId="2" borderId="0" xfId="565" applyNumberFormat="1" applyFont="1" applyFill="1" applyAlignment="1">
      <alignment vertical="center"/>
    </xf>
    <xf numFmtId="170" fontId="9" fillId="2" borderId="0" xfId="565" applyNumberFormat="1" applyFont="1" applyFill="1" applyAlignment="1">
      <alignment vertical="center"/>
    </xf>
    <xf numFmtId="170" fontId="3" fillId="0" borderId="0" xfId="565" applyNumberFormat="1" applyFont="1" applyAlignment="1">
      <alignment vertical="center"/>
    </xf>
    <xf numFmtId="169" fontId="199" fillId="0" borderId="0" xfId="0" applyFont="1"/>
    <xf numFmtId="1" fontId="3" fillId="2" borderId="0" xfId="1" applyNumberFormat="1" applyFont="1" applyFill="1" applyBorder="1" applyAlignment="1">
      <alignment vertical="center"/>
    </xf>
    <xf numFmtId="0" fontId="3" fillId="2" borderId="0" xfId="565" applyNumberFormat="1" applyFont="1" applyFill="1" applyAlignment="1">
      <alignment horizontal="center" vertical="center"/>
    </xf>
    <xf numFmtId="210" fontId="6" fillId="2" borderId="6" xfId="565" applyFont="1" applyFill="1" applyBorder="1" applyAlignment="1">
      <alignment vertical="center"/>
    </xf>
    <xf numFmtId="0" fontId="3" fillId="2" borderId="10" xfId="565" applyNumberFormat="1" applyFont="1" applyFill="1" applyBorder="1" applyAlignment="1">
      <alignment horizontal="center" vertical="center"/>
    </xf>
    <xf numFmtId="210" fontId="6" fillId="2" borderId="9" xfId="565" applyFont="1" applyFill="1" applyBorder="1" applyAlignment="1">
      <alignment vertical="center"/>
    </xf>
    <xf numFmtId="9" fontId="3" fillId="2" borderId="10" xfId="1" applyFont="1" applyFill="1" applyBorder="1" applyAlignment="1">
      <alignment horizontal="center" vertical="center"/>
    </xf>
    <xf numFmtId="9" fontId="0" fillId="0" borderId="9" xfId="1" applyFont="1" applyBorder="1"/>
    <xf numFmtId="169" fontId="199" fillId="0" borderId="10" xfId="0" applyFont="1" applyBorder="1"/>
    <xf numFmtId="9" fontId="9" fillId="0" borderId="0" xfId="1" applyFont="1" applyFill="1" applyBorder="1" applyAlignment="1">
      <alignment horizontal="center" vertical="center"/>
    </xf>
    <xf numFmtId="169" fontId="2" fillId="0" borderId="0" xfId="565" applyNumberFormat="1" applyFont="1" applyAlignment="1">
      <alignment horizontal="left" vertical="center"/>
    </xf>
    <xf numFmtId="9" fontId="0" fillId="0" borderId="0" xfId="1" applyFont="1" applyBorder="1"/>
    <xf numFmtId="169" fontId="204" fillId="69" borderId="0" xfId="0" applyFont="1" applyFill="1"/>
    <xf numFmtId="210" fontId="6" fillId="2" borderId="25" xfId="565" applyFont="1" applyFill="1" applyBorder="1" applyAlignment="1">
      <alignment vertical="center"/>
    </xf>
    <xf numFmtId="210" fontId="2" fillId="2" borderId="25" xfId="565" applyFont="1" applyFill="1" applyBorder="1" applyAlignment="1">
      <alignment vertical="center"/>
    </xf>
    <xf numFmtId="210" fontId="6" fillId="0" borderId="0" xfId="565" applyFont="1" applyAlignment="1">
      <alignment vertical="center"/>
    </xf>
    <xf numFmtId="171" fontId="6" fillId="2" borderId="0" xfId="565" applyNumberFormat="1" applyFont="1" applyFill="1" applyAlignment="1">
      <alignment vertical="center"/>
    </xf>
    <xf numFmtId="210" fontId="194" fillId="2" borderId="0" xfId="565" applyFont="1" applyFill="1" applyAlignment="1">
      <alignment horizontal="left" vertical="center"/>
    </xf>
    <xf numFmtId="9" fontId="0" fillId="0" borderId="0" xfId="1" applyFont="1"/>
    <xf numFmtId="210" fontId="2" fillId="0" borderId="0" xfId="565" applyFont="1" applyAlignment="1">
      <alignment vertical="center"/>
    </xf>
    <xf numFmtId="169" fontId="2" fillId="0" borderId="2" xfId="565" applyNumberFormat="1" applyFont="1" applyBorder="1" applyAlignment="1">
      <alignment horizontal="left" vertical="center"/>
    </xf>
    <xf numFmtId="210" fontId="6" fillId="2" borderId="57" xfId="565" applyFont="1" applyFill="1" applyBorder="1" applyAlignment="1">
      <alignment vertical="center"/>
    </xf>
    <xf numFmtId="170" fontId="3" fillId="2" borderId="57" xfId="565" applyNumberFormat="1" applyFont="1" applyFill="1" applyBorder="1" applyAlignment="1">
      <alignment horizontal="center" vertical="center"/>
    </xf>
    <xf numFmtId="171" fontId="9" fillId="2" borderId="0" xfId="1" applyNumberFormat="1" applyFont="1" applyFill="1" applyBorder="1" applyAlignment="1">
      <alignment horizontal="center" vertical="center"/>
    </xf>
    <xf numFmtId="3" fontId="6" fillId="0" borderId="0" xfId="565" applyNumberFormat="1" applyFont="1" applyAlignment="1">
      <alignment horizontal="center" vertical="center"/>
    </xf>
    <xf numFmtId="210" fontId="201" fillId="2" borderId="0" xfId="565" quotePrefix="1" applyFont="1" applyFill="1" applyAlignment="1">
      <alignment horizontal="center" vertical="center"/>
    </xf>
    <xf numFmtId="210" fontId="6" fillId="2" borderId="2" xfId="565" applyFont="1" applyFill="1" applyBorder="1" applyAlignment="1">
      <alignment vertical="center"/>
    </xf>
    <xf numFmtId="10" fontId="6" fillId="2" borderId="0" xfId="1" applyNumberFormat="1" applyFont="1" applyFill="1" applyBorder="1" applyAlignment="1">
      <alignment vertical="center"/>
    </xf>
    <xf numFmtId="168" fontId="6" fillId="2" borderId="0" xfId="1184" applyFont="1" applyFill="1" applyBorder="1" applyAlignment="1">
      <alignment vertical="center"/>
    </xf>
    <xf numFmtId="245" fontId="6" fillId="2" borderId="0" xfId="1184" applyNumberFormat="1" applyFont="1" applyFill="1" applyBorder="1" applyAlignment="1">
      <alignment vertical="center"/>
    </xf>
    <xf numFmtId="210" fontId="193" fillId="0" borderId="0" xfId="565" applyFont="1" applyAlignment="1">
      <alignment vertical="center"/>
    </xf>
    <xf numFmtId="9" fontId="3" fillId="0" borderId="0" xfId="1" applyFont="1" applyFill="1" applyBorder="1" applyAlignment="1">
      <alignment horizontal="center" vertical="center"/>
    </xf>
    <xf numFmtId="9" fontId="7" fillId="0" borderId="0" xfId="1" applyFont="1" applyFill="1" applyBorder="1" applyAlignment="1">
      <alignment horizontal="center" vertical="center" wrapText="1"/>
    </xf>
    <xf numFmtId="0" fontId="6" fillId="0" borderId="0" xfId="565" applyNumberFormat="1" applyFont="1" applyAlignment="1">
      <alignment horizontal="left" vertical="center"/>
    </xf>
    <xf numFmtId="210" fontId="201" fillId="2" borderId="0" xfId="565" applyFont="1" applyFill="1" applyAlignment="1">
      <alignment vertical="center"/>
    </xf>
    <xf numFmtId="169" fontId="6" fillId="0" borderId="57" xfId="565" applyNumberFormat="1" applyFont="1" applyBorder="1" applyAlignment="1">
      <alignment horizontal="left" vertical="center"/>
    </xf>
    <xf numFmtId="169" fontId="6" fillId="0" borderId="57" xfId="565" applyNumberFormat="1" applyFont="1" applyBorder="1" applyAlignment="1">
      <alignment vertical="center"/>
    </xf>
    <xf numFmtId="9" fontId="6" fillId="0" borderId="57" xfId="1" applyFont="1" applyFill="1" applyBorder="1" applyAlignment="1">
      <alignment horizontal="center" vertical="center"/>
    </xf>
    <xf numFmtId="3" fontId="6" fillId="0" borderId="6" xfId="565" applyNumberFormat="1" applyFont="1" applyBorder="1" applyAlignment="1">
      <alignment horizontal="center" vertical="center"/>
    </xf>
    <xf numFmtId="9" fontId="6" fillId="2" borderId="6" xfId="1" applyFont="1" applyFill="1" applyBorder="1" applyAlignment="1">
      <alignment vertical="center"/>
    </xf>
    <xf numFmtId="9" fontId="6" fillId="2" borderId="9" xfId="1" applyFont="1" applyFill="1" applyBorder="1" applyAlignment="1">
      <alignment vertical="center"/>
    </xf>
    <xf numFmtId="210" fontId="6" fillId="0" borderId="0" xfId="565" applyFont="1" applyAlignment="1">
      <alignment horizontal="left" vertical="center" indent="1"/>
    </xf>
    <xf numFmtId="170" fontId="3" fillId="0" borderId="0" xfId="565" applyNumberFormat="1" applyFont="1" applyAlignment="1">
      <alignment horizontal="left" vertical="center"/>
    </xf>
    <xf numFmtId="169" fontId="200" fillId="0" borderId="0" xfId="0" applyFont="1"/>
    <xf numFmtId="247" fontId="0" fillId="0" borderId="0" xfId="0" applyNumberFormat="1"/>
    <xf numFmtId="245" fontId="6" fillId="2" borderId="0" xfId="1184" applyNumberFormat="1" applyFont="1" applyFill="1" applyAlignment="1">
      <alignment vertical="center"/>
    </xf>
    <xf numFmtId="9" fontId="6" fillId="2" borderId="1" xfId="1" applyFont="1" applyFill="1" applyBorder="1" applyAlignment="1">
      <alignment vertical="center"/>
    </xf>
    <xf numFmtId="245" fontId="6" fillId="2" borderId="0" xfId="1184" applyNumberFormat="1" applyFont="1" applyFill="1" applyBorder="1" applyAlignment="1">
      <alignment horizontal="center" vertical="center"/>
    </xf>
    <xf numFmtId="1" fontId="6" fillId="2" borderId="10" xfId="565" applyNumberFormat="1" applyFont="1" applyFill="1" applyBorder="1" applyAlignment="1">
      <alignment vertical="center"/>
    </xf>
    <xf numFmtId="210" fontId="6" fillId="2" borderId="59" xfId="565" applyFont="1" applyFill="1" applyBorder="1" applyAlignment="1">
      <alignment vertical="center"/>
    </xf>
    <xf numFmtId="1" fontId="6" fillId="2" borderId="6" xfId="565" applyNumberFormat="1" applyFont="1" applyFill="1" applyBorder="1" applyAlignment="1">
      <alignment vertical="center"/>
    </xf>
    <xf numFmtId="210" fontId="6" fillId="2" borderId="1" xfId="565" applyFont="1" applyFill="1" applyBorder="1" applyAlignment="1">
      <alignment vertical="center"/>
    </xf>
    <xf numFmtId="171" fontId="2" fillId="0" borderId="0" xfId="1" applyNumberFormat="1" applyFont="1" applyFill="1" applyBorder="1" applyAlignment="1">
      <alignment horizontal="right" vertical="center"/>
    </xf>
    <xf numFmtId="210" fontId="4" fillId="0" borderId="0" xfId="565" applyFont="1" applyAlignment="1">
      <alignment vertical="center"/>
    </xf>
    <xf numFmtId="210" fontId="11" fillId="0" borderId="0" xfId="565" applyFont="1" applyAlignment="1">
      <alignment vertical="center"/>
    </xf>
    <xf numFmtId="1" fontId="6" fillId="2" borderId="9" xfId="565" applyNumberFormat="1" applyFont="1" applyFill="1" applyBorder="1" applyAlignment="1">
      <alignment vertical="center"/>
    </xf>
    <xf numFmtId="170" fontId="2" fillId="2" borderId="1" xfId="565" applyNumberFormat="1" applyFont="1" applyFill="1" applyBorder="1" applyAlignment="1">
      <alignment vertical="center"/>
    </xf>
    <xf numFmtId="245" fontId="6" fillId="2" borderId="1" xfId="1184" applyNumberFormat="1" applyFont="1" applyFill="1" applyBorder="1" applyAlignment="1">
      <alignment vertical="center"/>
    </xf>
    <xf numFmtId="169" fontId="6" fillId="0" borderId="8" xfId="565" applyNumberFormat="1" applyFont="1" applyBorder="1" applyAlignment="1">
      <alignment horizontal="left" vertical="center"/>
    </xf>
    <xf numFmtId="9" fontId="8" fillId="2" borderId="0" xfId="565" applyNumberFormat="1" applyFont="1" applyFill="1" applyAlignment="1">
      <alignment horizontal="center" vertical="center"/>
    </xf>
    <xf numFmtId="210" fontId="6" fillId="2" borderId="58" xfId="565" applyFont="1" applyFill="1" applyBorder="1" applyAlignment="1">
      <alignment vertical="center"/>
    </xf>
    <xf numFmtId="9" fontId="3" fillId="2" borderId="59" xfId="1" applyFont="1" applyFill="1" applyBorder="1" applyAlignment="1">
      <alignment horizontal="center" vertical="center"/>
    </xf>
    <xf numFmtId="171" fontId="7" fillId="0" borderId="0" xfId="1" applyNumberFormat="1" applyFont="1" applyFill="1" applyBorder="1" applyAlignment="1">
      <alignment horizontal="center" vertical="center" wrapText="1"/>
    </xf>
    <xf numFmtId="210" fontId="6" fillId="2" borderId="60" xfId="565" applyFont="1" applyFill="1" applyBorder="1" applyAlignment="1">
      <alignment vertical="center"/>
    </xf>
    <xf numFmtId="10" fontId="193" fillId="2" borderId="0" xfId="1" applyNumberFormat="1" applyFont="1" applyFill="1" applyAlignment="1">
      <alignment vertical="center"/>
    </xf>
    <xf numFmtId="210" fontId="2" fillId="2" borderId="0" xfId="565" applyFont="1" applyFill="1" applyAlignment="1">
      <alignment horizontal="right" vertical="center"/>
    </xf>
    <xf numFmtId="210" fontId="194" fillId="2" borderId="0" xfId="565" applyFont="1" applyFill="1" applyAlignment="1">
      <alignment horizontal="right" vertical="center"/>
    </xf>
    <xf numFmtId="0" fontId="6" fillId="2" borderId="0" xfId="565" applyNumberFormat="1" applyFont="1" applyFill="1" applyAlignment="1">
      <alignment horizontal="right" vertical="center"/>
    </xf>
    <xf numFmtId="210" fontId="6" fillId="2" borderId="0" xfId="565" applyFont="1" applyFill="1" applyAlignment="1">
      <alignment horizontal="right" vertical="center" indent="1"/>
    </xf>
    <xf numFmtId="9" fontId="3" fillId="2" borderId="1" xfId="1" applyFont="1" applyFill="1" applyBorder="1" applyAlignment="1">
      <alignment horizontal="center" vertical="center" wrapText="1"/>
    </xf>
    <xf numFmtId="0" fontId="3" fillId="67" borderId="0" xfId="565" applyNumberFormat="1" applyFont="1" applyFill="1" applyAlignment="1">
      <alignment vertical="center"/>
    </xf>
    <xf numFmtId="210" fontId="6" fillId="0" borderId="58" xfId="565" applyFont="1" applyBorder="1" applyAlignment="1">
      <alignment horizontal="left" vertical="center"/>
    </xf>
    <xf numFmtId="210" fontId="2" fillId="2" borderId="58" xfId="565" applyFont="1" applyFill="1" applyBorder="1" applyAlignment="1">
      <alignment vertical="center"/>
    </xf>
    <xf numFmtId="9" fontId="6" fillId="0" borderId="59" xfId="1" applyFont="1" applyFill="1" applyBorder="1" applyAlignment="1">
      <alignment horizontal="center" vertical="center"/>
    </xf>
    <xf numFmtId="9" fontId="6" fillId="0" borderId="60" xfId="1" applyFont="1" applyFill="1" applyBorder="1" applyAlignment="1">
      <alignment horizontal="center" vertical="center"/>
    </xf>
    <xf numFmtId="248" fontId="6" fillId="0" borderId="0" xfId="565" applyNumberFormat="1" applyFont="1" applyAlignment="1">
      <alignment horizontal="center" vertical="center"/>
    </xf>
    <xf numFmtId="169" fontId="0" fillId="0" borderId="1" xfId="0" applyBorder="1"/>
    <xf numFmtId="168" fontId="6" fillId="2" borderId="1" xfId="1184" applyFont="1" applyFill="1" applyBorder="1" applyAlignment="1">
      <alignment vertical="center"/>
    </xf>
    <xf numFmtId="171" fontId="0" fillId="0" borderId="0" xfId="1" applyNumberFormat="1" applyFont="1"/>
    <xf numFmtId="168" fontId="6" fillId="2" borderId="6" xfId="1184" applyFont="1" applyFill="1" applyBorder="1" applyAlignment="1">
      <alignment vertical="center"/>
    </xf>
    <xf numFmtId="168" fontId="6" fillId="2" borderId="9" xfId="1184" applyFont="1" applyFill="1" applyBorder="1" applyAlignment="1">
      <alignment vertical="center"/>
    </xf>
    <xf numFmtId="0" fontId="2" fillId="2" borderId="0" xfId="565" applyNumberFormat="1" applyFont="1" applyFill="1" applyAlignment="1">
      <alignment horizontal="left" vertical="center"/>
    </xf>
    <xf numFmtId="210" fontId="6" fillId="2" borderId="58" xfId="565" applyFont="1" applyFill="1" applyBorder="1" applyAlignment="1">
      <alignment horizontal="left" vertical="center"/>
    </xf>
    <xf numFmtId="170" fontId="3" fillId="70" borderId="0" xfId="565" applyNumberFormat="1" applyFont="1" applyFill="1" applyAlignment="1">
      <alignment horizontal="left" vertical="center"/>
    </xf>
    <xf numFmtId="0" fontId="6" fillId="2" borderId="1" xfId="565" applyNumberFormat="1" applyFont="1" applyFill="1" applyBorder="1" applyAlignment="1">
      <alignment horizontal="center" vertical="center"/>
    </xf>
    <xf numFmtId="9" fontId="0" fillId="0" borderId="6" xfId="1" applyFont="1" applyBorder="1"/>
    <xf numFmtId="170" fontId="6" fillId="0" borderId="1" xfId="565" applyNumberFormat="1" applyFont="1" applyBorder="1" applyAlignment="1">
      <alignment vertical="center"/>
    </xf>
    <xf numFmtId="9" fontId="3" fillId="2" borderId="57" xfId="1" applyFont="1" applyFill="1" applyBorder="1" applyAlignment="1">
      <alignment horizontal="center" vertical="center"/>
    </xf>
    <xf numFmtId="0" fontId="207" fillId="2" borderId="1" xfId="565" applyNumberFormat="1" applyFont="1" applyFill="1" applyBorder="1" applyAlignment="1">
      <alignment horizontal="center" vertical="center"/>
    </xf>
    <xf numFmtId="0" fontId="208" fillId="2" borderId="0" xfId="565" applyNumberFormat="1" applyFont="1" applyFill="1" applyAlignment="1">
      <alignment vertical="center"/>
    </xf>
    <xf numFmtId="169" fontId="205" fillId="0" borderId="0" xfId="565" applyNumberFormat="1" applyFont="1" applyAlignment="1">
      <alignment vertical="center"/>
    </xf>
    <xf numFmtId="0" fontId="12" fillId="0" borderId="1" xfId="565" applyNumberFormat="1" applyFont="1" applyBorder="1" applyAlignment="1">
      <alignment horizontal="center" vertical="center"/>
    </xf>
    <xf numFmtId="169" fontId="196" fillId="0" borderId="0" xfId="565" applyNumberFormat="1" applyFont="1" applyAlignment="1">
      <alignment horizontal="center" vertical="center"/>
    </xf>
    <xf numFmtId="169" fontId="6" fillId="0" borderId="14" xfId="565" applyNumberFormat="1" applyFont="1" applyBorder="1" applyAlignment="1">
      <alignment horizontal="center" vertical="center"/>
    </xf>
    <xf numFmtId="169" fontId="6" fillId="0" borderId="15" xfId="565" applyNumberFormat="1" applyFont="1" applyBorder="1" applyAlignment="1">
      <alignment horizontal="center" vertical="center"/>
    </xf>
    <xf numFmtId="170" fontId="2" fillId="0" borderId="0" xfId="565" applyNumberFormat="1" applyFont="1" applyAlignment="1">
      <alignment vertical="center"/>
    </xf>
    <xf numFmtId="170" fontId="209" fillId="2" borderId="0" xfId="565" applyNumberFormat="1" applyFont="1" applyFill="1" applyAlignment="1">
      <alignment horizontal="left" vertical="center"/>
    </xf>
    <xf numFmtId="10" fontId="194" fillId="2" borderId="0" xfId="1" applyNumberFormat="1" applyFont="1" applyFill="1" applyBorder="1" applyAlignment="1">
      <alignment vertical="center"/>
    </xf>
    <xf numFmtId="168" fontId="6" fillId="2" borderId="0" xfId="1184" applyFont="1" applyFill="1" applyAlignment="1">
      <alignment vertical="center"/>
    </xf>
    <xf numFmtId="250" fontId="6" fillId="2" borderId="0" xfId="1184" applyNumberFormat="1" applyFont="1" applyFill="1" applyBorder="1" applyAlignment="1">
      <alignment vertical="center"/>
    </xf>
    <xf numFmtId="210" fontId="6" fillId="70" borderId="8" xfId="565" applyFont="1" applyFill="1" applyBorder="1" applyAlignment="1">
      <alignment vertical="center"/>
    </xf>
    <xf numFmtId="170" fontId="3" fillId="70" borderId="10" xfId="565" applyNumberFormat="1" applyFont="1" applyFill="1" applyBorder="1" applyAlignment="1">
      <alignment horizontal="left" vertical="center"/>
    </xf>
    <xf numFmtId="169" fontId="2" fillId="0" borderId="57" xfId="565" applyNumberFormat="1" applyFont="1" applyBorder="1" applyAlignment="1">
      <alignment horizontal="left" vertical="center"/>
    </xf>
    <xf numFmtId="210" fontId="6" fillId="0" borderId="59" xfId="565" applyFont="1" applyBorder="1" applyAlignment="1">
      <alignment horizontal="left" vertical="center"/>
    </xf>
    <xf numFmtId="170" fontId="6" fillId="0" borderId="0" xfId="565" applyNumberFormat="1" applyFont="1" applyAlignment="1">
      <alignment horizontal="left" vertical="center"/>
    </xf>
    <xf numFmtId="171" fontId="6" fillId="2" borderId="0" xfId="1" applyNumberFormat="1" applyFont="1" applyFill="1" applyAlignment="1">
      <alignment vertical="center"/>
    </xf>
    <xf numFmtId="210" fontId="6" fillId="0" borderId="0" xfId="565" applyFont="1" applyAlignment="1">
      <alignment horizontal="left" vertical="center"/>
    </xf>
    <xf numFmtId="0" fontId="196" fillId="2" borderId="0" xfId="565" applyNumberFormat="1" applyFont="1" applyFill="1" applyAlignment="1">
      <alignment vertical="center"/>
    </xf>
    <xf numFmtId="0" fontId="3" fillId="2" borderId="59" xfId="565" applyNumberFormat="1" applyFont="1" applyFill="1" applyBorder="1" applyAlignment="1">
      <alignment horizontal="center" vertical="center"/>
    </xf>
    <xf numFmtId="210" fontId="2" fillId="2" borderId="57" xfId="565" applyFont="1" applyFill="1" applyBorder="1" applyAlignment="1">
      <alignment vertical="center"/>
    </xf>
    <xf numFmtId="210" fontId="6" fillId="0" borderId="0" xfId="565" applyFont="1" applyAlignment="1">
      <alignment horizontal="right" vertical="center"/>
    </xf>
    <xf numFmtId="210" fontId="2" fillId="2" borderId="2" xfId="565" applyFont="1" applyFill="1" applyBorder="1" applyAlignment="1">
      <alignment vertical="center"/>
    </xf>
    <xf numFmtId="0" fontId="6" fillId="0" borderId="0" xfId="565" applyNumberFormat="1" applyFont="1" applyAlignment="1">
      <alignment vertical="center"/>
    </xf>
    <xf numFmtId="9" fontId="6" fillId="0" borderId="0" xfId="1" applyFont="1" applyFill="1" applyBorder="1" applyAlignment="1">
      <alignment vertical="center"/>
    </xf>
    <xf numFmtId="210" fontId="6" fillId="0" borderId="2" xfId="565" applyFont="1" applyBorder="1" applyAlignment="1">
      <alignment vertical="center"/>
    </xf>
    <xf numFmtId="210" fontId="6" fillId="0" borderId="57" xfId="565" applyFont="1" applyBorder="1" applyAlignment="1">
      <alignment vertical="center"/>
    </xf>
    <xf numFmtId="0" fontId="3" fillId="2" borderId="57" xfId="565" applyNumberFormat="1" applyFont="1" applyFill="1" applyBorder="1" applyAlignment="1">
      <alignment horizontal="center" vertical="center"/>
    </xf>
    <xf numFmtId="169" fontId="82" fillId="0" borderId="0" xfId="0" applyFont="1"/>
    <xf numFmtId="169" fontId="6" fillId="0" borderId="0" xfId="0" applyFont="1"/>
    <xf numFmtId="245" fontId="6" fillId="0" borderId="0" xfId="1184" applyNumberFormat="1" applyFont="1"/>
    <xf numFmtId="3" fontId="6" fillId="2" borderId="59" xfId="565" applyNumberFormat="1" applyFont="1" applyFill="1" applyBorder="1" applyAlignment="1">
      <alignment horizontal="right" vertical="center"/>
    </xf>
    <xf numFmtId="170" fontId="3" fillId="2" borderId="59" xfId="565" applyNumberFormat="1" applyFont="1" applyFill="1" applyBorder="1" applyAlignment="1">
      <alignment horizontal="left" vertical="center"/>
    </xf>
    <xf numFmtId="3" fontId="6" fillId="2" borderId="59" xfId="565" applyNumberFormat="1" applyFont="1" applyFill="1" applyBorder="1" applyAlignment="1">
      <alignment vertical="center"/>
    </xf>
    <xf numFmtId="9" fontId="6" fillId="2" borderId="0" xfId="1" applyFont="1" applyFill="1" applyBorder="1" applyAlignment="1">
      <alignment horizontal="left" vertical="center"/>
    </xf>
    <xf numFmtId="171" fontId="7" fillId="2" borderId="0" xfId="1" applyNumberFormat="1" applyFont="1" applyFill="1" applyBorder="1" applyAlignment="1">
      <alignment horizontal="center" vertical="center" wrapText="1"/>
    </xf>
    <xf numFmtId="9" fontId="7" fillId="2" borderId="0" xfId="1" applyFont="1" applyFill="1" applyBorder="1" applyAlignment="1">
      <alignment horizontal="center" vertical="center" wrapText="1"/>
    </xf>
    <xf numFmtId="169" fontId="195" fillId="0" borderId="0" xfId="0" applyFont="1"/>
    <xf numFmtId="169" fontId="195" fillId="2" borderId="0" xfId="0" applyFont="1" applyFill="1"/>
    <xf numFmtId="169" fontId="6" fillId="0" borderId="0" xfId="0" applyFont="1" applyAlignment="1">
      <alignment horizontal="left"/>
    </xf>
    <xf numFmtId="169" fontId="6" fillId="71" borderId="0" xfId="0" applyFont="1" applyFill="1"/>
    <xf numFmtId="169" fontId="2" fillId="0" borderId="0" xfId="0" applyFont="1"/>
    <xf numFmtId="169" fontId="6" fillId="0" borderId="6" xfId="0" applyFont="1" applyBorder="1"/>
    <xf numFmtId="245" fontId="6" fillId="0" borderId="6" xfId="1184" applyNumberFormat="1" applyFont="1" applyBorder="1"/>
    <xf numFmtId="245" fontId="6" fillId="2" borderId="6" xfId="1184" applyNumberFormat="1" applyFont="1" applyFill="1" applyBorder="1" applyAlignment="1">
      <alignment vertical="center"/>
    </xf>
    <xf numFmtId="245" fontId="6" fillId="0" borderId="6" xfId="1184" applyNumberFormat="1" applyFont="1" applyFill="1" applyBorder="1" applyAlignment="1">
      <alignment vertical="center"/>
    </xf>
    <xf numFmtId="171" fontId="6" fillId="2" borderId="6" xfId="1" applyNumberFormat="1" applyFont="1" applyFill="1" applyBorder="1" applyAlignment="1">
      <alignment vertical="center"/>
    </xf>
    <xf numFmtId="248" fontId="6" fillId="0" borderId="6" xfId="565" applyNumberFormat="1" applyFont="1" applyBorder="1" applyAlignment="1">
      <alignment horizontal="center" vertical="center"/>
    </xf>
    <xf numFmtId="9" fontId="6" fillId="0" borderId="6" xfId="1" applyFont="1" applyFill="1" applyBorder="1" applyAlignment="1">
      <alignment horizontal="center" vertical="center"/>
    </xf>
    <xf numFmtId="170" fontId="10" fillId="2" borderId="9" xfId="565" applyNumberFormat="1" applyFont="1" applyFill="1" applyBorder="1" applyAlignment="1">
      <alignment vertical="center"/>
    </xf>
    <xf numFmtId="171" fontId="6" fillId="0" borderId="6" xfId="1" applyNumberFormat="1" applyFont="1" applyBorder="1"/>
    <xf numFmtId="171" fontId="6" fillId="70" borderId="6" xfId="0" applyNumberFormat="1" applyFont="1" applyFill="1" applyBorder="1"/>
    <xf numFmtId="171" fontId="6" fillId="70" borderId="9" xfId="0" applyNumberFormat="1" applyFont="1" applyFill="1" applyBorder="1"/>
    <xf numFmtId="0" fontId="6" fillId="2" borderId="2" xfId="565" applyNumberFormat="1" applyFont="1" applyFill="1" applyBorder="1" applyAlignment="1">
      <alignment horizontal="center" vertical="center"/>
    </xf>
    <xf numFmtId="210" fontId="6" fillId="2" borderId="61" xfId="565" applyFont="1" applyFill="1" applyBorder="1" applyAlignment="1">
      <alignment vertical="center"/>
    </xf>
    <xf numFmtId="169" fontId="6" fillId="0" borderId="61" xfId="565" applyNumberFormat="1" applyFont="1" applyBorder="1" applyAlignment="1">
      <alignment horizontal="left" vertical="center"/>
    </xf>
    <xf numFmtId="9" fontId="6" fillId="0" borderId="6" xfId="1" applyFont="1" applyBorder="1"/>
    <xf numFmtId="9" fontId="6" fillId="0" borderId="9" xfId="1" applyFont="1" applyBorder="1"/>
    <xf numFmtId="245" fontId="6" fillId="0" borderId="0" xfId="1184" applyNumberFormat="1" applyFont="1" applyBorder="1"/>
    <xf numFmtId="169" fontId="6" fillId="0" borderId="8" xfId="0" applyFont="1" applyBorder="1"/>
    <xf numFmtId="245" fontId="6" fillId="0" borderId="10" xfId="1184" applyNumberFormat="1" applyFont="1" applyBorder="1"/>
    <xf numFmtId="244" fontId="3" fillId="2" borderId="57" xfId="565" applyNumberFormat="1" applyFont="1" applyFill="1" applyBorder="1" applyAlignment="1">
      <alignment horizontal="center" vertical="center"/>
    </xf>
    <xf numFmtId="170" fontId="2" fillId="2" borderId="25" xfId="565" applyNumberFormat="1" applyFont="1" applyFill="1" applyBorder="1" applyAlignment="1">
      <alignment horizontal="left" vertical="center"/>
    </xf>
    <xf numFmtId="170" fontId="3" fillId="2" borderId="25" xfId="565" applyNumberFormat="1" applyFont="1" applyFill="1" applyBorder="1" applyAlignment="1">
      <alignment horizontal="left" vertical="center"/>
    </xf>
    <xf numFmtId="1" fontId="6" fillId="2" borderId="0" xfId="1184" applyNumberFormat="1" applyFont="1" applyFill="1" applyBorder="1" applyAlignment="1">
      <alignment vertical="center"/>
    </xf>
    <xf numFmtId="169" fontId="6" fillId="0" borderId="0" xfId="0" applyFont="1" applyAlignment="1">
      <alignment horizontal="center" vertical="center" wrapText="1"/>
    </xf>
    <xf numFmtId="170" fontId="6" fillId="0" borderId="1" xfId="565" applyNumberFormat="1" applyFont="1" applyBorder="1" applyAlignment="1">
      <alignment horizontal="center" vertical="center"/>
    </xf>
    <xf numFmtId="210" fontId="4" fillId="2" borderId="0" xfId="565" applyFont="1" applyFill="1" applyAlignment="1">
      <alignment vertical="center"/>
    </xf>
    <xf numFmtId="169" fontId="195" fillId="0" borderId="0" xfId="0" applyFont="1" applyAlignment="1">
      <alignment horizontal="left"/>
    </xf>
    <xf numFmtId="210" fontId="2" fillId="2" borderId="0" xfId="565" applyFont="1" applyFill="1" applyAlignment="1">
      <alignment horizontal="left" vertical="center"/>
    </xf>
    <xf numFmtId="171" fontId="3" fillId="2" borderId="0" xfId="1" applyNumberFormat="1" applyFont="1" applyFill="1" applyBorder="1" applyAlignment="1">
      <alignment vertical="center"/>
    </xf>
    <xf numFmtId="0" fontId="212" fillId="2" borderId="0" xfId="1" applyNumberFormat="1" applyFont="1" applyFill="1" applyBorder="1" applyAlignment="1">
      <alignment horizontal="center" vertical="center" wrapText="1"/>
    </xf>
    <xf numFmtId="9" fontId="212" fillId="2" borderId="0" xfId="1" applyFont="1" applyFill="1" applyBorder="1" applyAlignment="1">
      <alignment horizontal="center" vertical="center" wrapText="1"/>
    </xf>
    <xf numFmtId="210" fontId="200" fillId="2" borderId="0" xfId="565" applyFont="1" applyFill="1" applyAlignment="1">
      <alignment vertical="center"/>
    </xf>
    <xf numFmtId="0" fontId="7" fillId="2" borderId="0" xfId="1" applyNumberFormat="1" applyFont="1" applyFill="1" applyBorder="1" applyAlignment="1">
      <alignment horizontal="center" vertical="center" wrapText="1"/>
    </xf>
    <xf numFmtId="169" fontId="0" fillId="2" borderId="0" xfId="0" applyFill="1"/>
    <xf numFmtId="169" fontId="2" fillId="0" borderId="61" xfId="565" applyNumberFormat="1" applyFont="1" applyBorder="1" applyAlignment="1">
      <alignment horizontal="left" vertical="center"/>
    </xf>
    <xf numFmtId="210" fontId="6" fillId="2" borderId="7" xfId="565" applyFont="1" applyFill="1" applyBorder="1" applyAlignment="1">
      <alignment vertical="center"/>
    </xf>
    <xf numFmtId="210" fontId="6" fillId="2" borderId="15" xfId="565" applyFont="1" applyFill="1" applyBorder="1" applyAlignment="1">
      <alignment vertical="center"/>
    </xf>
    <xf numFmtId="210" fontId="6" fillId="0" borderId="6" xfId="565" applyFont="1" applyBorder="1" applyAlignment="1">
      <alignment vertical="center"/>
    </xf>
    <xf numFmtId="170" fontId="9" fillId="2" borderId="0" xfId="565" applyNumberFormat="1" applyFont="1" applyFill="1" applyAlignment="1">
      <alignment horizontal="left" vertical="center"/>
    </xf>
    <xf numFmtId="2" fontId="6" fillId="2" borderId="0" xfId="565" applyNumberFormat="1" applyFont="1" applyFill="1" applyAlignment="1">
      <alignment vertical="center"/>
    </xf>
    <xf numFmtId="210" fontId="11" fillId="2" borderId="0" xfId="565" applyFont="1" applyFill="1" applyAlignment="1">
      <alignment horizontal="right" vertical="center"/>
    </xf>
    <xf numFmtId="2" fontId="4" fillId="2" borderId="0" xfId="565" applyNumberFormat="1" applyFont="1" applyFill="1" applyAlignment="1">
      <alignment horizontal="right" vertical="center"/>
    </xf>
    <xf numFmtId="0" fontId="4" fillId="2" borderId="0" xfId="565" applyNumberFormat="1" applyFont="1" applyFill="1" applyAlignment="1">
      <alignment horizontal="right" vertical="center"/>
    </xf>
    <xf numFmtId="0" fontId="4" fillId="2" borderId="0" xfId="565" applyNumberFormat="1" applyFont="1" applyFill="1" applyAlignment="1">
      <alignment vertical="center"/>
    </xf>
    <xf numFmtId="0" fontId="6" fillId="0" borderId="1" xfId="565" applyNumberFormat="1" applyFont="1" applyBorder="1" applyAlignment="1">
      <alignment horizontal="center" vertical="center"/>
    </xf>
    <xf numFmtId="0" fontId="6" fillId="2" borderId="0" xfId="565" applyNumberFormat="1" applyFont="1" applyFill="1" applyAlignment="1">
      <alignment vertical="center" wrapText="1"/>
    </xf>
    <xf numFmtId="9" fontId="7" fillId="2" borderId="61" xfId="1" applyFont="1" applyFill="1" applyBorder="1" applyAlignment="1">
      <alignment horizontal="center" vertical="center" wrapText="1"/>
    </xf>
    <xf numFmtId="1" fontId="6" fillId="2" borderId="0" xfId="1" applyNumberFormat="1" applyFont="1" applyFill="1" applyBorder="1" applyAlignment="1">
      <alignment vertical="center"/>
    </xf>
    <xf numFmtId="171" fontId="0" fillId="0" borderId="0" xfId="1" applyNumberFormat="1" applyFont="1" applyAlignment="1">
      <alignment horizontal="left"/>
    </xf>
    <xf numFmtId="9" fontId="6" fillId="2" borderId="59" xfId="565" applyNumberFormat="1" applyFont="1" applyFill="1" applyBorder="1" applyAlignment="1">
      <alignment vertical="center"/>
    </xf>
    <xf numFmtId="170" fontId="6" fillId="2" borderId="59" xfId="565" applyNumberFormat="1" applyFont="1" applyFill="1" applyBorder="1" applyAlignment="1">
      <alignment vertical="center"/>
    </xf>
    <xf numFmtId="170" fontId="3" fillId="2" borderId="59" xfId="565" applyNumberFormat="1" applyFont="1" applyFill="1" applyBorder="1" applyAlignment="1">
      <alignment vertical="center"/>
    </xf>
    <xf numFmtId="169" fontId="6" fillId="0" borderId="61" xfId="565" applyNumberFormat="1" applyFont="1" applyBorder="1" applyAlignment="1">
      <alignment vertical="center"/>
    </xf>
    <xf numFmtId="1" fontId="1" fillId="0" borderId="0" xfId="565" applyNumberFormat="1" applyAlignment="1">
      <alignment horizontal="left" vertical="center"/>
    </xf>
    <xf numFmtId="1" fontId="195" fillId="2" borderId="0" xfId="565" applyNumberFormat="1" applyFont="1" applyFill="1" applyAlignment="1">
      <alignment horizontal="left" vertical="center"/>
    </xf>
    <xf numFmtId="1" fontId="1" fillId="0" borderId="0" xfId="1" applyNumberFormat="1" applyFont="1" applyAlignment="1">
      <alignment horizontal="left"/>
    </xf>
    <xf numFmtId="210" fontId="2" fillId="2" borderId="61" xfId="565" applyFont="1" applyFill="1" applyBorder="1" applyAlignment="1">
      <alignment vertical="center"/>
    </xf>
    <xf numFmtId="2" fontId="6" fillId="2" borderId="0" xfId="565" applyNumberFormat="1" applyFont="1" applyFill="1" applyAlignment="1">
      <alignment horizontal="left" vertical="center"/>
    </xf>
    <xf numFmtId="169" fontId="6" fillId="0" borderId="0" xfId="0" applyFont="1" applyAlignment="1">
      <alignment horizontal="left" vertical="center"/>
    </xf>
    <xf numFmtId="1" fontId="6" fillId="2" borderId="0" xfId="565" applyNumberFormat="1" applyFont="1" applyFill="1" applyAlignment="1">
      <alignment horizontal="left" vertical="center"/>
    </xf>
    <xf numFmtId="210" fontId="194" fillId="2" borderId="0" xfId="565" applyFont="1" applyFill="1" applyAlignment="1">
      <alignment horizontal="center" vertical="center"/>
    </xf>
    <xf numFmtId="0" fontId="6" fillId="2" borderId="0" xfId="1" applyNumberFormat="1" applyFont="1" applyFill="1" applyBorder="1" applyAlignment="1">
      <alignment horizontal="center" vertical="center"/>
    </xf>
    <xf numFmtId="9" fontId="6" fillId="2" borderId="0" xfId="1" applyFont="1" applyFill="1" applyAlignment="1">
      <alignment horizontal="left" vertical="center"/>
    </xf>
    <xf numFmtId="0" fontId="6" fillId="2" borderId="0" xfId="565" applyNumberFormat="1" applyFont="1" applyFill="1" applyAlignment="1">
      <alignment horizontal="center" vertical="center"/>
    </xf>
    <xf numFmtId="9" fontId="3" fillId="2" borderId="0" xfId="1" applyFont="1" applyFill="1" applyBorder="1" applyAlignment="1">
      <alignment horizontal="right" vertical="center"/>
    </xf>
    <xf numFmtId="210" fontId="4" fillId="2" borderId="6" xfId="565" applyFont="1" applyFill="1" applyBorder="1" applyAlignment="1">
      <alignment vertical="center"/>
    </xf>
    <xf numFmtId="210" fontId="6" fillId="2" borderId="6" xfId="565" applyFont="1" applyFill="1" applyBorder="1" applyAlignment="1">
      <alignment horizontal="right" vertical="center"/>
    </xf>
    <xf numFmtId="9" fontId="7" fillId="0" borderId="6" xfId="1" applyFont="1" applyFill="1" applyBorder="1" applyAlignment="1">
      <alignment horizontal="center" vertical="center" wrapText="1"/>
    </xf>
    <xf numFmtId="0" fontId="6" fillId="2" borderId="6" xfId="565" applyNumberFormat="1" applyFont="1" applyFill="1" applyBorder="1" applyAlignment="1">
      <alignment vertical="center"/>
    </xf>
    <xf numFmtId="210" fontId="194" fillId="2" borderId="6" xfId="565" applyFont="1" applyFill="1" applyBorder="1" applyAlignment="1">
      <alignment vertical="center"/>
    </xf>
    <xf numFmtId="0" fontId="7" fillId="2" borderId="6" xfId="1" applyNumberFormat="1" applyFont="1" applyFill="1" applyBorder="1" applyAlignment="1">
      <alignment horizontal="center" vertical="center" wrapText="1"/>
    </xf>
    <xf numFmtId="0" fontId="6" fillId="2" borderId="6" xfId="565" applyNumberFormat="1" applyFont="1" applyFill="1" applyBorder="1" applyAlignment="1">
      <alignment vertical="center" wrapText="1"/>
    </xf>
    <xf numFmtId="210" fontId="194" fillId="0" borderId="6" xfId="565" applyFont="1" applyBorder="1" applyAlignment="1">
      <alignment vertical="center"/>
    </xf>
    <xf numFmtId="9" fontId="7" fillId="2" borderId="6" xfId="1" applyFont="1" applyFill="1" applyBorder="1" applyAlignment="1">
      <alignment horizontal="center" vertical="center" wrapText="1"/>
    </xf>
    <xf numFmtId="1" fontId="7" fillId="2" borderId="0" xfId="565" applyNumberFormat="1" applyFont="1" applyFill="1" applyAlignment="1">
      <alignment horizontal="center" vertical="center" wrapText="1"/>
    </xf>
    <xf numFmtId="1" fontId="7" fillId="2" borderId="0" xfId="1" applyNumberFormat="1" applyFont="1" applyFill="1" applyBorder="1" applyAlignment="1">
      <alignment horizontal="center" vertical="center" wrapText="1"/>
    </xf>
    <xf numFmtId="210" fontId="7" fillId="2" borderId="0" xfId="1" applyNumberFormat="1" applyFont="1" applyFill="1" applyBorder="1" applyAlignment="1">
      <alignment horizontal="center" vertical="center" wrapText="1"/>
    </xf>
    <xf numFmtId="0" fontId="7" fillId="2" borderId="0" xfId="1185" applyNumberFormat="1" applyFont="1" applyFill="1" applyBorder="1" applyAlignment="1">
      <alignment horizontal="center" vertical="center" wrapText="1"/>
    </xf>
    <xf numFmtId="1" fontId="7" fillId="2" borderId="0" xfId="1185" applyNumberFormat="1" applyFont="1" applyFill="1" applyBorder="1" applyAlignment="1">
      <alignment horizontal="center" vertical="center" wrapText="1"/>
    </xf>
    <xf numFmtId="169" fontId="216" fillId="2" borderId="0" xfId="2750" applyFont="1" applyFill="1" applyBorder="1" applyAlignment="1">
      <alignment vertical="top" wrapText="1"/>
    </xf>
    <xf numFmtId="169" fontId="6" fillId="2" borderId="0" xfId="0" applyFont="1" applyFill="1" applyAlignment="1">
      <alignment vertical="top"/>
    </xf>
    <xf numFmtId="169" fontId="6" fillId="2" borderId="0" xfId="0" applyFont="1" applyFill="1"/>
    <xf numFmtId="169" fontId="216" fillId="2" borderId="0" xfId="2750" applyFont="1" applyFill="1"/>
    <xf numFmtId="210" fontId="6" fillId="2" borderId="62" xfId="565" applyFont="1" applyFill="1" applyBorder="1" applyAlignment="1">
      <alignment vertical="center"/>
    </xf>
    <xf numFmtId="210" fontId="6" fillId="0" borderId="60" xfId="565" applyFont="1" applyBorder="1" applyAlignment="1">
      <alignment horizontal="left" vertical="center"/>
    </xf>
    <xf numFmtId="210" fontId="6" fillId="0" borderId="6" xfId="565" applyFont="1" applyBorder="1" applyAlignment="1">
      <alignment horizontal="left" vertical="center"/>
    </xf>
    <xf numFmtId="210" fontId="6" fillId="0" borderId="62" xfId="565" applyFont="1" applyBorder="1" applyAlignment="1">
      <alignment vertical="center"/>
    </xf>
    <xf numFmtId="0" fontId="6" fillId="2" borderId="57" xfId="565" applyNumberFormat="1" applyFont="1" applyFill="1" applyBorder="1" applyAlignment="1">
      <alignment horizontal="center" vertical="center"/>
    </xf>
    <xf numFmtId="169" fontId="195" fillId="0" borderId="10" xfId="0" applyFont="1" applyBorder="1"/>
    <xf numFmtId="210" fontId="2" fillId="2" borderId="8" xfId="565" applyFont="1" applyFill="1" applyBorder="1" applyAlignment="1">
      <alignment vertical="center"/>
    </xf>
    <xf numFmtId="49" fontId="6" fillId="2" borderId="0" xfId="565" applyNumberFormat="1" applyFont="1" applyFill="1" applyAlignment="1">
      <alignment horizontal="right" vertical="center" indent="1"/>
    </xf>
    <xf numFmtId="210" fontId="194" fillId="0" borderId="0" xfId="565" applyFont="1" applyAlignment="1">
      <alignment horizontal="center" vertical="center"/>
    </xf>
    <xf numFmtId="210" fontId="6" fillId="2" borderId="59" xfId="565" applyFont="1" applyFill="1" applyBorder="1" applyAlignment="1">
      <alignment horizontal="left" vertical="center"/>
    </xf>
    <xf numFmtId="169" fontId="7" fillId="2" borderId="59" xfId="1" applyNumberFormat="1" applyFont="1" applyFill="1" applyBorder="1" applyAlignment="1">
      <alignment horizontal="center" vertical="center" wrapText="1"/>
    </xf>
    <xf numFmtId="169" fontId="7" fillId="2" borderId="0" xfId="1" applyNumberFormat="1" applyFont="1" applyFill="1" applyBorder="1" applyAlignment="1">
      <alignment horizontal="center" vertical="center" wrapText="1"/>
    </xf>
    <xf numFmtId="210" fontId="9" fillId="2" borderId="0" xfId="565" applyFont="1" applyFill="1" applyAlignment="1">
      <alignment vertical="center"/>
    </xf>
    <xf numFmtId="210" fontId="6" fillId="2" borderId="2" xfId="565" applyFont="1" applyFill="1" applyBorder="1" applyAlignment="1">
      <alignment horizontal="left" vertical="center"/>
    </xf>
    <xf numFmtId="0" fontId="3" fillId="0" borderId="1" xfId="1" applyNumberFormat="1" applyFont="1" applyBorder="1" applyAlignment="1">
      <alignment horizontal="center" vertical="center" wrapText="1"/>
    </xf>
    <xf numFmtId="210" fontId="3" fillId="2" borderId="0" xfId="565" applyFont="1" applyFill="1" applyAlignment="1">
      <alignment horizontal="right" vertical="center"/>
    </xf>
    <xf numFmtId="0" fontId="3" fillId="0" borderId="0" xfId="1" applyNumberFormat="1" applyFont="1" applyAlignment="1">
      <alignment horizontal="center" vertical="center" wrapText="1"/>
    </xf>
    <xf numFmtId="0" fontId="3" fillId="0" borderId="6" xfId="1" applyNumberFormat="1" applyFont="1" applyBorder="1" applyAlignment="1">
      <alignment horizontal="center" vertical="center" wrapText="1"/>
    </xf>
    <xf numFmtId="9" fontId="3" fillId="0" borderId="1" xfId="1" applyFont="1" applyBorder="1" applyAlignment="1">
      <alignment horizontal="center" vertical="center" wrapText="1"/>
    </xf>
    <xf numFmtId="9" fontId="3" fillId="0" borderId="62" xfId="1" applyFont="1" applyBorder="1" applyAlignment="1">
      <alignment horizontal="center" vertical="center" wrapText="1"/>
    </xf>
    <xf numFmtId="210" fontId="3" fillId="2" borderId="6" xfId="565" applyFont="1" applyFill="1" applyBorder="1" applyAlignment="1">
      <alignment vertical="center"/>
    </xf>
    <xf numFmtId="9" fontId="3" fillId="0" borderId="57" xfId="1" applyFont="1" applyBorder="1" applyAlignment="1">
      <alignment horizontal="center" vertical="center" wrapText="1"/>
    </xf>
    <xf numFmtId="1" fontId="3" fillId="0" borderId="1" xfId="1" applyNumberFormat="1" applyFont="1" applyBorder="1" applyAlignment="1">
      <alignment horizontal="center" vertical="center" wrapText="1"/>
    </xf>
    <xf numFmtId="9" fontId="3" fillId="0" borderId="0" xfId="1" applyFont="1" applyFill="1" applyBorder="1" applyAlignment="1">
      <alignment horizontal="center" vertical="center" wrapText="1"/>
    </xf>
    <xf numFmtId="210" fontId="9" fillId="0" borderId="0" xfId="565" applyFont="1" applyAlignment="1">
      <alignment vertical="center"/>
    </xf>
    <xf numFmtId="171" fontId="3" fillId="2" borderId="1" xfId="1" applyNumberFormat="1" applyFont="1" applyFill="1" applyBorder="1" applyAlignment="1">
      <alignment horizontal="center" vertical="center" wrapText="1"/>
    </xf>
    <xf numFmtId="210" fontId="9" fillId="2" borderId="0" xfId="565" applyFont="1" applyFill="1" applyAlignment="1">
      <alignment horizontal="center" vertical="center"/>
    </xf>
    <xf numFmtId="0" fontId="9" fillId="2" borderId="0" xfId="565" applyNumberFormat="1" applyFont="1" applyFill="1" applyAlignment="1">
      <alignment horizontal="center" vertical="center"/>
    </xf>
    <xf numFmtId="9" fontId="3" fillId="2" borderId="0" xfId="1" applyFont="1" applyFill="1" applyAlignment="1">
      <alignment vertical="center"/>
    </xf>
    <xf numFmtId="210" fontId="128" fillId="2" borderId="0" xfId="565" applyFont="1" applyFill="1" applyAlignment="1">
      <alignment horizontal="center" vertical="center"/>
    </xf>
    <xf numFmtId="0" fontId="3" fillId="2" borderId="1" xfId="1" applyNumberFormat="1" applyFont="1" applyFill="1" applyBorder="1" applyAlignment="1">
      <alignment horizontal="center" vertical="center" wrapText="1"/>
    </xf>
    <xf numFmtId="0" fontId="3" fillId="2" borderId="0" xfId="1" applyNumberFormat="1" applyFont="1" applyFill="1" applyBorder="1" applyAlignment="1">
      <alignment horizontal="center" vertical="center" wrapText="1"/>
    </xf>
    <xf numFmtId="9" fontId="3" fillId="2" borderId="0" xfId="1" applyFont="1" applyFill="1" applyBorder="1" applyAlignment="1">
      <alignment horizontal="center" vertical="center" wrapText="1"/>
    </xf>
    <xf numFmtId="210" fontId="128" fillId="0" borderId="0" xfId="565" applyFont="1" applyAlignment="1">
      <alignment horizontal="center" vertical="center"/>
    </xf>
    <xf numFmtId="10" fontId="3" fillId="0" borderId="0" xfId="1" applyNumberFormat="1" applyFont="1" applyFill="1" applyBorder="1" applyAlignment="1">
      <alignment horizontal="center" vertical="center" wrapText="1"/>
    </xf>
    <xf numFmtId="210" fontId="3" fillId="2" borderId="0" xfId="565" applyFont="1" applyFill="1" applyAlignment="1">
      <alignment horizontal="center" vertical="center"/>
    </xf>
    <xf numFmtId="171" fontId="3" fillId="2" borderId="1" xfId="1" applyNumberFormat="1" applyFont="1" applyFill="1" applyBorder="1" applyAlignment="1">
      <alignment horizontal="center" vertical="top" wrapText="1"/>
    </xf>
    <xf numFmtId="190" fontId="3" fillId="2" borderId="1" xfId="1" applyNumberFormat="1" applyFont="1" applyFill="1" applyBorder="1" applyAlignment="1">
      <alignment horizontal="center" vertical="top" wrapText="1"/>
    </xf>
    <xf numFmtId="249" fontId="3" fillId="2" borderId="0" xfId="565" applyNumberFormat="1" applyFont="1" applyFill="1" applyAlignment="1">
      <alignment vertical="center"/>
    </xf>
    <xf numFmtId="170" fontId="3" fillId="2" borderId="1" xfId="565" applyNumberFormat="1" applyFont="1" applyFill="1" applyBorder="1" applyAlignment="1">
      <alignment horizontal="left" vertical="center"/>
    </xf>
    <xf numFmtId="9" fontId="3" fillId="2" borderId="1" xfId="1" applyFont="1" applyFill="1" applyBorder="1" applyAlignment="1">
      <alignment horizontal="right" vertical="center"/>
    </xf>
    <xf numFmtId="1" fontId="3" fillId="2" borderId="1" xfId="1" applyNumberFormat="1" applyFont="1" applyFill="1" applyBorder="1" applyAlignment="1">
      <alignment horizontal="right" vertical="center"/>
    </xf>
    <xf numFmtId="2" fontId="3" fillId="2" borderId="0" xfId="1" applyNumberFormat="1" applyFont="1" applyFill="1" applyBorder="1" applyAlignment="1">
      <alignment horizontal="right" vertical="center"/>
    </xf>
    <xf numFmtId="1" fontId="6" fillId="2" borderId="0" xfId="1" applyNumberFormat="1" applyFont="1" applyFill="1" applyAlignment="1">
      <alignment vertical="center"/>
    </xf>
    <xf numFmtId="210" fontId="6" fillId="0" borderId="61" xfId="565" applyFont="1" applyBorder="1" applyAlignment="1">
      <alignment vertical="center"/>
    </xf>
    <xf numFmtId="171" fontId="3" fillId="0" borderId="1" xfId="1" applyNumberFormat="1" applyFont="1" applyBorder="1" applyAlignment="1">
      <alignment horizontal="center" vertical="center" wrapText="1"/>
    </xf>
    <xf numFmtId="171" fontId="3" fillId="0" borderId="15" xfId="1" applyNumberFormat="1" applyFont="1" applyBorder="1" applyAlignment="1">
      <alignment horizontal="center" vertical="center" wrapText="1"/>
    </xf>
    <xf numFmtId="171" fontId="6" fillId="2" borderId="0" xfId="565" applyNumberFormat="1" applyFont="1" applyFill="1" applyAlignment="1">
      <alignment horizontal="right" vertical="center"/>
    </xf>
    <xf numFmtId="171" fontId="6" fillId="2" borderId="58" xfId="565" applyNumberFormat="1" applyFont="1" applyFill="1" applyBorder="1" applyAlignment="1">
      <alignment vertical="center"/>
    </xf>
    <xf numFmtId="171" fontId="6" fillId="2" borderId="59" xfId="565" applyNumberFormat="1" applyFont="1" applyFill="1" applyBorder="1" applyAlignment="1">
      <alignment vertical="center"/>
    </xf>
    <xf numFmtId="171" fontId="6" fillId="2" borderId="60" xfId="565" applyNumberFormat="1" applyFont="1" applyFill="1" applyBorder="1" applyAlignment="1">
      <alignment vertical="center"/>
    </xf>
    <xf numFmtId="0" fontId="6" fillId="2" borderId="0" xfId="565" applyNumberFormat="1" applyFont="1" applyFill="1" applyAlignment="1">
      <alignment horizontal="center" vertical="center" wrapText="1"/>
    </xf>
    <xf numFmtId="49" fontId="6" fillId="2" borderId="0" xfId="565" applyNumberFormat="1" applyFont="1" applyFill="1" applyAlignment="1">
      <alignment horizontal="center" vertical="center"/>
    </xf>
    <xf numFmtId="210" fontId="9" fillId="2" borderId="0" xfId="1" applyNumberFormat="1" applyFont="1" applyFill="1" applyBorder="1" applyAlignment="1">
      <alignment vertical="center"/>
    </xf>
    <xf numFmtId="171" fontId="6" fillId="0" borderId="0" xfId="565" applyNumberFormat="1" applyFont="1" applyAlignment="1">
      <alignment horizontal="center" vertical="center"/>
    </xf>
    <xf numFmtId="1" fontId="3" fillId="0" borderId="15" xfId="1" applyNumberFormat="1" applyFont="1" applyBorder="1" applyAlignment="1">
      <alignment horizontal="center" vertical="center" wrapText="1"/>
    </xf>
    <xf numFmtId="0" fontId="3" fillId="2" borderId="0" xfId="1" applyNumberFormat="1" applyFont="1" applyFill="1" applyBorder="1" applyAlignment="1">
      <alignment horizontal="center" vertical="center"/>
    </xf>
    <xf numFmtId="9" fontId="6" fillId="2" borderId="0" xfId="565" applyNumberFormat="1" applyFont="1" applyFill="1" applyAlignment="1">
      <alignment horizontal="left" vertical="center"/>
    </xf>
    <xf numFmtId="9" fontId="3" fillId="2" borderId="0" xfId="1" applyFont="1" applyFill="1" applyBorder="1" applyAlignment="1">
      <alignment horizontal="left" vertical="center"/>
    </xf>
    <xf numFmtId="9" fontId="6" fillId="0" borderId="0" xfId="565" applyNumberFormat="1" applyFont="1" applyAlignment="1">
      <alignment vertical="center"/>
    </xf>
    <xf numFmtId="2" fontId="3" fillId="0" borderId="0" xfId="1" applyNumberFormat="1" applyFont="1" applyFill="1" applyBorder="1" applyAlignment="1">
      <alignment vertical="center"/>
    </xf>
    <xf numFmtId="251" fontId="3" fillId="0" borderId="0" xfId="1" applyNumberFormat="1" applyFont="1" applyFill="1" applyBorder="1" applyAlignment="1">
      <alignment vertical="center"/>
    </xf>
    <xf numFmtId="252" fontId="6" fillId="2" borderId="0" xfId="565" applyNumberFormat="1" applyFont="1" applyFill="1" applyAlignment="1">
      <alignment vertical="center"/>
    </xf>
    <xf numFmtId="170" fontId="6" fillId="2" borderId="0" xfId="565" applyNumberFormat="1" applyFont="1" applyFill="1" applyAlignment="1">
      <alignment horizontal="right" vertical="center"/>
    </xf>
    <xf numFmtId="169" fontId="3" fillId="0" borderId="61" xfId="565" applyNumberFormat="1" applyFont="1" applyBorder="1" applyAlignment="1">
      <alignment vertical="center"/>
    </xf>
    <xf numFmtId="253" fontId="6" fillId="2" borderId="0" xfId="565" applyNumberFormat="1" applyFont="1" applyFill="1" applyAlignment="1">
      <alignment vertical="center"/>
    </xf>
    <xf numFmtId="252" fontId="6" fillId="0" borderId="0" xfId="565" applyNumberFormat="1" applyFont="1" applyAlignment="1">
      <alignment vertical="center"/>
    </xf>
    <xf numFmtId="171" fontId="6" fillId="0" borderId="0" xfId="1" applyNumberFormat="1" applyFont="1" applyFill="1" applyBorder="1" applyAlignment="1">
      <alignment horizontal="center" vertical="center"/>
    </xf>
    <xf numFmtId="171" fontId="6" fillId="0" borderId="6" xfId="1" applyNumberFormat="1" applyFont="1" applyFill="1" applyBorder="1" applyAlignment="1">
      <alignment horizontal="center" vertical="center"/>
    </xf>
    <xf numFmtId="169" fontId="227" fillId="0" borderId="0" xfId="0" applyFont="1" applyAlignment="1">
      <alignment horizontal="left" vertical="center" indent="2"/>
    </xf>
    <xf numFmtId="170" fontId="194" fillId="2" borderId="0" xfId="565" applyNumberFormat="1" applyFont="1" applyFill="1" applyAlignment="1">
      <alignment horizontal="left" vertical="center"/>
    </xf>
    <xf numFmtId="210" fontId="2" fillId="2" borderId="59" xfId="565" applyFont="1" applyFill="1" applyBorder="1" applyAlignment="1">
      <alignment vertical="center"/>
    </xf>
    <xf numFmtId="0" fontId="3" fillId="2" borderId="59" xfId="1" applyNumberFormat="1" applyFont="1" applyFill="1" applyBorder="1" applyAlignment="1">
      <alignment horizontal="center" vertical="center"/>
    </xf>
    <xf numFmtId="0" fontId="3" fillId="2" borderId="57" xfId="1" applyNumberFormat="1" applyFont="1" applyFill="1" applyBorder="1" applyAlignment="1">
      <alignment horizontal="center" vertical="center"/>
    </xf>
    <xf numFmtId="171" fontId="6" fillId="2" borderId="10" xfId="565" applyNumberFormat="1" applyFont="1" applyFill="1" applyBorder="1" applyAlignment="1">
      <alignment vertical="center"/>
    </xf>
    <xf numFmtId="171" fontId="6" fillId="2" borderId="9" xfId="565" applyNumberFormat="1" applyFont="1" applyFill="1" applyBorder="1" applyAlignment="1">
      <alignment vertical="center"/>
    </xf>
    <xf numFmtId="2" fontId="7" fillId="2" borderId="0" xfId="1" applyNumberFormat="1" applyFont="1" applyFill="1" applyBorder="1" applyAlignment="1">
      <alignment horizontal="center" vertical="center" wrapText="1"/>
    </xf>
    <xf numFmtId="171" fontId="3" fillId="0" borderId="2" xfId="1" applyNumberFormat="1" applyFont="1" applyBorder="1" applyAlignment="1">
      <alignment horizontal="center" vertical="center" wrapText="1"/>
    </xf>
    <xf numFmtId="171" fontId="3" fillId="0" borderId="57" xfId="1" applyNumberFormat="1" applyFont="1" applyBorder="1" applyAlignment="1">
      <alignment horizontal="center" vertical="center" wrapText="1"/>
    </xf>
    <xf numFmtId="171" fontId="3" fillId="0" borderId="62" xfId="1" applyNumberFormat="1" applyFont="1" applyBorder="1" applyAlignment="1">
      <alignment horizontal="center" vertical="center" wrapText="1"/>
    </xf>
    <xf numFmtId="171" fontId="6" fillId="2" borderId="6" xfId="565" applyNumberFormat="1" applyFont="1" applyFill="1" applyBorder="1" applyAlignment="1">
      <alignment vertical="center"/>
    </xf>
    <xf numFmtId="9" fontId="3" fillId="0" borderId="15" xfId="1" applyFont="1" applyBorder="1" applyAlignment="1">
      <alignment horizontal="center" vertical="center" wrapText="1"/>
    </xf>
    <xf numFmtId="1" fontId="3" fillId="2" borderId="0" xfId="1" applyNumberFormat="1" applyFont="1" applyFill="1" applyBorder="1" applyAlignment="1">
      <alignment horizontal="left" vertical="center"/>
    </xf>
    <xf numFmtId="210" fontId="6" fillId="0" borderId="60" xfId="565" applyFont="1" applyBorder="1" applyAlignment="1">
      <alignment vertical="center"/>
    </xf>
    <xf numFmtId="9" fontId="3" fillId="2" borderId="0" xfId="565" applyNumberFormat="1" applyFont="1" applyFill="1" applyAlignment="1">
      <alignment horizontal="right" vertical="center"/>
    </xf>
    <xf numFmtId="1" fontId="6" fillId="2" borderId="0" xfId="1" applyNumberFormat="1" applyFont="1" applyFill="1" applyBorder="1" applyAlignment="1">
      <alignment horizontal="right" vertical="center"/>
    </xf>
    <xf numFmtId="170" fontId="10" fillId="0" borderId="0" xfId="565" applyNumberFormat="1" applyFont="1" applyAlignment="1">
      <alignment horizontal="center" vertical="center"/>
    </xf>
    <xf numFmtId="210" fontId="6" fillId="70" borderId="61" xfId="565" applyFont="1" applyFill="1" applyBorder="1" applyAlignment="1">
      <alignment vertical="center"/>
    </xf>
    <xf numFmtId="169" fontId="6" fillId="0" borderId="61" xfId="0" applyFont="1" applyBorder="1"/>
    <xf numFmtId="210" fontId="6" fillId="0" borderId="61" xfId="565" applyFont="1" applyBorder="1" applyAlignment="1">
      <alignment horizontal="left" vertical="center"/>
    </xf>
    <xf numFmtId="9" fontId="6" fillId="0" borderId="62" xfId="1" applyFont="1" applyFill="1" applyBorder="1" applyAlignment="1">
      <alignment horizontal="center" vertical="center"/>
    </xf>
    <xf numFmtId="169" fontId="201" fillId="2" borderId="0" xfId="0" applyFont="1" applyFill="1" applyAlignment="1">
      <alignment horizontal="right" vertical="center"/>
    </xf>
    <xf numFmtId="169" fontId="82" fillId="2" borderId="0" xfId="0" applyFont="1" applyFill="1"/>
    <xf numFmtId="246" fontId="6" fillId="2" borderId="0" xfId="565" applyNumberFormat="1" applyFont="1" applyFill="1" applyAlignment="1">
      <alignment vertical="center"/>
    </xf>
    <xf numFmtId="2" fontId="6" fillId="2" borderId="0" xfId="565" applyNumberFormat="1" applyFont="1" applyFill="1" applyAlignment="1">
      <alignment vertical="center" wrapText="1"/>
    </xf>
    <xf numFmtId="3" fontId="193" fillId="0" borderId="0" xfId="565" applyNumberFormat="1" applyFont="1" applyAlignment="1">
      <alignment horizontal="right" vertical="center"/>
    </xf>
    <xf numFmtId="0" fontId="4" fillId="0" borderId="0" xfId="565" applyNumberFormat="1" applyFont="1" applyAlignment="1">
      <alignment vertical="center"/>
    </xf>
    <xf numFmtId="0" fontId="3" fillId="0" borderId="0" xfId="2751"/>
    <xf numFmtId="4" fontId="6" fillId="0" borderId="0" xfId="0" applyNumberFormat="1" applyFont="1" applyAlignment="1">
      <alignment horizontal="left"/>
    </xf>
    <xf numFmtId="9" fontId="3" fillId="0" borderId="0" xfId="1" applyFont="1" applyFill="1" applyProtection="1"/>
    <xf numFmtId="249" fontId="6" fillId="2" borderId="0" xfId="565" applyNumberFormat="1" applyFont="1" applyFill="1" applyAlignment="1">
      <alignment vertical="center"/>
    </xf>
    <xf numFmtId="254" fontId="6" fillId="2" borderId="0" xfId="565" applyNumberFormat="1" applyFont="1" applyFill="1" applyAlignment="1">
      <alignment vertical="center"/>
    </xf>
    <xf numFmtId="210" fontId="128" fillId="0" borderId="0" xfId="2" applyFont="1" applyAlignment="1">
      <alignment vertical="center"/>
    </xf>
    <xf numFmtId="249" fontId="6" fillId="2" borderId="0" xfId="565" applyNumberFormat="1" applyFont="1" applyFill="1" applyAlignment="1">
      <alignment horizontal="left" vertical="center" indent="2"/>
    </xf>
    <xf numFmtId="2" fontId="6" fillId="0" borderId="0" xfId="1" applyNumberFormat="1" applyFont="1" applyAlignment="1">
      <alignment vertical="center"/>
    </xf>
    <xf numFmtId="2" fontId="3" fillId="2" borderId="0" xfId="1" applyNumberFormat="1" applyFont="1" applyFill="1" applyAlignment="1">
      <alignment vertical="center"/>
    </xf>
    <xf numFmtId="255" fontId="3" fillId="2" borderId="0" xfId="1" applyNumberFormat="1" applyFont="1" applyFill="1" applyAlignment="1">
      <alignment vertical="center"/>
    </xf>
    <xf numFmtId="0" fontId="6" fillId="2" borderId="62" xfId="565" applyNumberFormat="1" applyFont="1" applyFill="1" applyBorder="1" applyAlignment="1">
      <alignment horizontal="center" vertical="center"/>
    </xf>
    <xf numFmtId="4" fontId="6" fillId="2" borderId="0" xfId="565" applyNumberFormat="1" applyFont="1" applyFill="1" applyAlignment="1">
      <alignment vertical="center"/>
    </xf>
    <xf numFmtId="10" fontId="3" fillId="2" borderId="0" xfId="1" applyNumberFormat="1" applyFont="1" applyFill="1" applyAlignment="1">
      <alignment horizontal="left" vertical="center"/>
    </xf>
    <xf numFmtId="10" fontId="6" fillId="2" borderId="0" xfId="1" applyNumberFormat="1" applyFont="1" applyFill="1" applyBorder="1" applyAlignment="1">
      <alignment horizontal="right" vertical="center"/>
    </xf>
    <xf numFmtId="169" fontId="2" fillId="0" borderId="0" xfId="565" applyNumberFormat="1" applyFont="1" applyAlignment="1">
      <alignment horizontal="right" vertical="center"/>
    </xf>
    <xf numFmtId="171" fontId="2" fillId="0" borderId="0" xfId="1" applyNumberFormat="1" applyFont="1" applyFill="1" applyAlignment="1">
      <alignment horizontal="right" vertical="center"/>
    </xf>
    <xf numFmtId="171" fontId="6" fillId="2" borderId="0" xfId="1" applyNumberFormat="1" applyFont="1" applyFill="1" applyBorder="1" applyAlignment="1">
      <alignment horizontal="left" vertical="center"/>
    </xf>
    <xf numFmtId="169" fontId="6" fillId="0" borderId="0" xfId="565" applyNumberFormat="1" applyFont="1" applyAlignment="1">
      <alignment horizontal="right" vertical="center"/>
    </xf>
    <xf numFmtId="171" fontId="2" fillId="0" borderId="0" xfId="1" applyNumberFormat="1" applyFont="1" applyBorder="1" applyAlignment="1">
      <alignment horizontal="right" vertical="center"/>
    </xf>
    <xf numFmtId="245" fontId="12" fillId="2" borderId="0" xfId="1184" applyNumberFormat="1" applyFont="1" applyFill="1" applyBorder="1" applyAlignment="1">
      <alignment vertical="center"/>
    </xf>
    <xf numFmtId="1" fontId="3" fillId="2" borderId="0" xfId="1" applyNumberFormat="1" applyFont="1" applyFill="1" applyBorder="1" applyAlignment="1">
      <alignment horizontal="right" vertical="center"/>
    </xf>
    <xf numFmtId="170" fontId="201" fillId="2" borderId="0" xfId="565" applyNumberFormat="1" applyFont="1" applyFill="1" applyAlignment="1">
      <alignment horizontal="left" vertical="center"/>
    </xf>
    <xf numFmtId="169" fontId="230" fillId="0" borderId="0" xfId="0" applyFont="1"/>
    <xf numFmtId="169" fontId="231" fillId="0" borderId="0" xfId="2750" applyFont="1" applyAlignment="1" applyProtection="1">
      <alignment vertical="center"/>
      <protection hidden="1"/>
    </xf>
    <xf numFmtId="169" fontId="230" fillId="0" borderId="0" xfId="0" applyFont="1" applyAlignment="1" applyProtection="1">
      <alignment vertical="center"/>
      <protection hidden="1"/>
    </xf>
    <xf numFmtId="169" fontId="232" fillId="0" borderId="0" xfId="0" applyFont="1" applyAlignment="1">
      <alignment horizontal="center"/>
    </xf>
    <xf numFmtId="169" fontId="233" fillId="0" borderId="0" xfId="0" applyFont="1"/>
    <xf numFmtId="169" fontId="234" fillId="0" borderId="0" xfId="0" applyFont="1"/>
    <xf numFmtId="169" fontId="202" fillId="72" borderId="0" xfId="0" applyFont="1" applyFill="1"/>
    <xf numFmtId="169" fontId="235" fillId="72" borderId="0" xfId="0" applyFont="1" applyFill="1" applyAlignment="1">
      <alignment vertical="center"/>
    </xf>
    <xf numFmtId="169" fontId="204" fillId="73" borderId="0" xfId="0" applyFont="1" applyFill="1"/>
    <xf numFmtId="169" fontId="203" fillId="73" borderId="0" xfId="0" applyFont="1" applyFill="1"/>
    <xf numFmtId="210" fontId="4" fillId="72" borderId="58" xfId="565" applyFont="1" applyFill="1" applyBorder="1" applyAlignment="1">
      <alignment vertical="center"/>
    </xf>
    <xf numFmtId="210" fontId="4" fillId="72" borderId="59" xfId="565" applyFont="1" applyFill="1" applyBorder="1" applyAlignment="1">
      <alignment vertical="center"/>
    </xf>
    <xf numFmtId="210" fontId="4" fillId="72" borderId="60" xfId="565" applyFont="1" applyFill="1" applyBorder="1" applyAlignment="1">
      <alignment vertical="center"/>
    </xf>
    <xf numFmtId="210" fontId="4" fillId="72" borderId="0" xfId="565" applyFont="1" applyFill="1" applyAlignment="1">
      <alignment vertical="center"/>
    </xf>
    <xf numFmtId="210" fontId="6" fillId="72" borderId="0" xfId="565" applyFont="1" applyFill="1" applyAlignment="1">
      <alignment vertical="center"/>
    </xf>
    <xf numFmtId="210" fontId="4" fillId="72" borderId="60" xfId="565" applyFont="1" applyFill="1" applyBorder="1" applyAlignment="1">
      <alignment horizontal="center" vertical="center"/>
    </xf>
    <xf numFmtId="169" fontId="206" fillId="72" borderId="61" xfId="0" applyFont="1" applyFill="1" applyBorder="1"/>
    <xf numFmtId="169" fontId="206" fillId="72" borderId="0" xfId="0" applyFont="1" applyFill="1"/>
    <xf numFmtId="169" fontId="206" fillId="72" borderId="6" xfId="0" applyFont="1" applyFill="1" applyBorder="1"/>
    <xf numFmtId="210" fontId="198" fillId="74" borderId="0" xfId="565" applyFont="1" applyFill="1" applyAlignment="1">
      <alignment vertical="center"/>
    </xf>
    <xf numFmtId="210" fontId="6" fillId="74" borderId="0" xfId="565" applyFont="1" applyFill="1" applyAlignment="1">
      <alignment vertical="center"/>
    </xf>
    <xf numFmtId="2" fontId="6" fillId="0" borderId="0" xfId="565" applyNumberFormat="1" applyFont="1" applyAlignment="1">
      <alignment vertical="center"/>
    </xf>
    <xf numFmtId="210" fontId="198" fillId="75" borderId="0" xfId="565" applyFont="1" applyFill="1" applyAlignment="1">
      <alignment vertical="center"/>
    </xf>
    <xf numFmtId="210" fontId="203" fillId="75" borderId="0" xfId="565" applyFont="1" applyFill="1" applyAlignment="1">
      <alignment vertical="center"/>
    </xf>
    <xf numFmtId="210" fontId="6" fillId="75" borderId="0" xfId="565" applyFont="1" applyFill="1" applyAlignment="1">
      <alignment vertical="center"/>
    </xf>
    <xf numFmtId="210" fontId="238" fillId="75" borderId="0" xfId="565" applyFont="1" applyFill="1" applyAlignment="1">
      <alignment vertical="center"/>
    </xf>
    <xf numFmtId="210" fontId="238" fillId="74" borderId="0" xfId="565" applyFont="1" applyFill="1" applyAlignment="1">
      <alignment vertical="center"/>
    </xf>
    <xf numFmtId="169" fontId="238" fillId="73" borderId="0" xfId="0" applyFont="1" applyFill="1" applyAlignment="1">
      <alignment vertical="center"/>
    </xf>
    <xf numFmtId="169" fontId="236" fillId="73" borderId="0" xfId="0" applyFont="1" applyFill="1" applyAlignment="1">
      <alignment vertical="center"/>
    </xf>
    <xf numFmtId="9" fontId="6" fillId="2" borderId="6" xfId="1" applyFont="1" applyFill="1" applyBorder="1" applyAlignment="1">
      <alignment horizontal="center" vertical="center"/>
    </xf>
    <xf numFmtId="9" fontId="6" fillId="2" borderId="10" xfId="1" applyFont="1" applyFill="1" applyBorder="1" applyAlignment="1">
      <alignment horizontal="center" vertical="center"/>
    </xf>
    <xf numFmtId="9" fontId="6" fillId="2" borderId="9" xfId="1" applyFont="1" applyFill="1" applyBorder="1" applyAlignment="1">
      <alignment horizontal="center" vertical="center"/>
    </xf>
    <xf numFmtId="210" fontId="6" fillId="0" borderId="10" xfId="565" applyFont="1" applyBorder="1" applyAlignment="1">
      <alignment vertical="center"/>
    </xf>
    <xf numFmtId="210" fontId="6" fillId="0" borderId="59" xfId="565" applyFont="1" applyBorder="1" applyAlignment="1">
      <alignment vertical="center"/>
    </xf>
    <xf numFmtId="9" fontId="6" fillId="2" borderId="59" xfId="1" applyFont="1" applyFill="1" applyBorder="1" applyAlignment="1">
      <alignment horizontal="center" vertical="center"/>
    </xf>
    <xf numFmtId="9" fontId="6" fillId="2" borderId="60" xfId="1" applyFont="1" applyFill="1" applyBorder="1" applyAlignment="1">
      <alignment horizontal="center" vertical="center"/>
    </xf>
    <xf numFmtId="0" fontId="7" fillId="76" borderId="1" xfId="1" applyNumberFormat="1" applyFont="1" applyFill="1" applyBorder="1" applyAlignment="1">
      <alignment horizontal="center" vertical="center" wrapText="1"/>
    </xf>
    <xf numFmtId="169" fontId="6" fillId="76" borderId="1" xfId="565" applyNumberFormat="1" applyFont="1" applyFill="1" applyBorder="1" applyAlignment="1">
      <alignment horizontal="center" vertical="center"/>
    </xf>
    <xf numFmtId="1" fontId="7" fillId="76" borderId="1" xfId="565" applyNumberFormat="1" applyFont="1" applyFill="1" applyBorder="1" applyAlignment="1">
      <alignment horizontal="center" vertical="center" wrapText="1"/>
    </xf>
    <xf numFmtId="210" fontId="239" fillId="72" borderId="62" xfId="565" applyFont="1" applyFill="1" applyBorder="1" applyAlignment="1">
      <alignment vertical="center"/>
    </xf>
    <xf numFmtId="210" fontId="239" fillId="72" borderId="0" xfId="565" applyFont="1" applyFill="1" applyAlignment="1">
      <alignment vertical="center"/>
    </xf>
    <xf numFmtId="171" fontId="7" fillId="75" borderId="62" xfId="1" applyNumberFormat="1" applyFont="1" applyFill="1" applyBorder="1" applyAlignment="1">
      <alignment horizontal="center" vertical="center" wrapText="1"/>
    </xf>
    <xf numFmtId="9" fontId="7" fillId="75" borderId="62" xfId="1" applyFont="1" applyFill="1" applyBorder="1" applyAlignment="1">
      <alignment horizontal="center" vertical="center" wrapText="1"/>
    </xf>
    <xf numFmtId="171" fontId="7" fillId="76" borderId="1" xfId="1" applyNumberFormat="1" applyFont="1" applyFill="1" applyBorder="1" applyAlignment="1">
      <alignment horizontal="center" vertical="center" wrapText="1"/>
    </xf>
    <xf numFmtId="171" fontId="7" fillId="76" borderId="62" xfId="1" applyNumberFormat="1" applyFont="1" applyFill="1" applyBorder="1" applyAlignment="1">
      <alignment horizontal="center" vertical="center" wrapText="1"/>
    </xf>
    <xf numFmtId="0" fontId="7" fillId="76" borderId="62" xfId="1" applyNumberFormat="1" applyFont="1" applyFill="1" applyBorder="1" applyAlignment="1">
      <alignment horizontal="center" vertical="center" wrapText="1"/>
    </xf>
    <xf numFmtId="1" fontId="7" fillId="76" borderId="1" xfId="1" applyNumberFormat="1" applyFont="1" applyFill="1" applyBorder="1" applyAlignment="1">
      <alignment horizontal="center" vertical="center" wrapText="1"/>
    </xf>
    <xf numFmtId="9" fontId="7" fillId="76" borderId="1" xfId="1" applyFont="1" applyFill="1" applyBorder="1" applyAlignment="1">
      <alignment horizontal="center" vertical="center" wrapText="1"/>
    </xf>
    <xf numFmtId="9" fontId="7" fillId="76" borderId="15" xfId="1" applyFont="1" applyFill="1" applyBorder="1" applyAlignment="1">
      <alignment horizontal="center" vertical="center" wrapText="1"/>
    </xf>
    <xf numFmtId="9" fontId="7" fillId="76" borderId="62" xfId="1" applyFont="1" applyFill="1" applyBorder="1" applyAlignment="1">
      <alignment horizontal="center" vertical="center" wrapText="1"/>
    </xf>
    <xf numFmtId="1" fontId="7" fillId="76" borderId="62" xfId="1" applyNumberFormat="1" applyFont="1" applyFill="1" applyBorder="1" applyAlignment="1">
      <alignment horizontal="center" vertical="center" wrapText="1"/>
    </xf>
    <xf numFmtId="210" fontId="7" fillId="76" borderId="1" xfId="1" applyNumberFormat="1" applyFont="1" applyFill="1" applyBorder="1" applyAlignment="1">
      <alignment horizontal="center" vertical="center" wrapText="1"/>
    </xf>
    <xf numFmtId="210" fontId="7" fillId="76" borderId="62" xfId="1" applyNumberFormat="1" applyFont="1" applyFill="1" applyBorder="1" applyAlignment="1">
      <alignment horizontal="center" vertical="center" wrapText="1"/>
    </xf>
    <xf numFmtId="0" fontId="7" fillId="76" borderId="1" xfId="1185" applyNumberFormat="1" applyFont="1" applyFill="1" applyBorder="1" applyAlignment="1">
      <alignment horizontal="center" vertical="center" wrapText="1"/>
    </xf>
    <xf numFmtId="1" fontId="7" fillId="76" borderId="1" xfId="379" applyNumberFormat="1" applyFont="1" applyFill="1" applyBorder="1" applyAlignment="1">
      <alignment horizontal="center" vertical="center" wrapText="1"/>
    </xf>
    <xf numFmtId="0" fontId="7" fillId="76" borderId="62" xfId="1185" applyNumberFormat="1" applyFont="1" applyFill="1" applyBorder="1" applyAlignment="1">
      <alignment horizontal="center" vertical="center" wrapText="1"/>
    </xf>
    <xf numFmtId="0" fontId="7" fillId="76" borderId="1" xfId="379" applyNumberFormat="1" applyFont="1" applyFill="1" applyBorder="1" applyAlignment="1">
      <alignment horizontal="center" vertical="center" wrapText="1"/>
    </xf>
    <xf numFmtId="1" fontId="7" fillId="76" borderId="1" xfId="1185" applyNumberFormat="1" applyFont="1" applyFill="1" applyBorder="1" applyAlignment="1">
      <alignment horizontal="center" vertical="center" wrapText="1"/>
    </xf>
    <xf numFmtId="1" fontId="7" fillId="76" borderId="62" xfId="1185" applyNumberFormat="1" applyFont="1" applyFill="1" applyBorder="1" applyAlignment="1">
      <alignment horizontal="center" vertical="center" wrapText="1"/>
    </xf>
    <xf numFmtId="9" fontId="7" fillId="76" borderId="1" xfId="1185" applyNumberFormat="1" applyFont="1" applyFill="1" applyBorder="1" applyAlignment="1">
      <alignment horizontal="center" vertical="center" wrapText="1"/>
    </xf>
    <xf numFmtId="169" fontId="6" fillId="77" borderId="58" xfId="0" applyFont="1" applyFill="1" applyBorder="1"/>
    <xf numFmtId="210" fontId="6" fillId="77" borderId="59" xfId="565" applyFont="1" applyFill="1" applyBorder="1" applyAlignment="1">
      <alignment vertical="center"/>
    </xf>
    <xf numFmtId="210" fontId="6" fillId="77" borderId="60" xfId="565" applyFont="1" applyFill="1" applyBorder="1" applyAlignment="1">
      <alignment vertical="center"/>
    </xf>
    <xf numFmtId="169" fontId="6" fillId="77" borderId="15" xfId="0" applyFont="1" applyFill="1" applyBorder="1" applyAlignment="1">
      <alignment vertical="top"/>
    </xf>
    <xf numFmtId="169" fontId="216" fillId="77" borderId="15" xfId="2750" applyFont="1" applyFill="1" applyBorder="1" applyAlignment="1">
      <alignment vertical="top" wrapText="1"/>
    </xf>
    <xf numFmtId="169" fontId="216" fillId="77" borderId="9" xfId="2750" applyFont="1" applyFill="1" applyBorder="1" applyAlignment="1">
      <alignment vertical="top" wrapText="1"/>
    </xf>
    <xf numFmtId="169" fontId="6" fillId="77" borderId="61" xfId="0" applyFont="1" applyFill="1" applyBorder="1"/>
    <xf numFmtId="169" fontId="216" fillId="77" borderId="59" xfId="2750" applyFont="1" applyFill="1" applyBorder="1"/>
    <xf numFmtId="210" fontId="6" fillId="77" borderId="0" xfId="565" applyFont="1" applyFill="1" applyAlignment="1">
      <alignment vertical="center"/>
    </xf>
    <xf numFmtId="210" fontId="6" fillId="77" borderId="6" xfId="565" applyFont="1" applyFill="1" applyBorder="1" applyAlignment="1">
      <alignment vertical="center"/>
    </xf>
    <xf numFmtId="169" fontId="6" fillId="77" borderId="1" xfId="0" applyFont="1" applyFill="1" applyBorder="1" applyAlignment="1">
      <alignment vertical="top"/>
    </xf>
    <xf numFmtId="169" fontId="216" fillId="77" borderId="1" xfId="2750" applyFont="1" applyFill="1" applyBorder="1" applyAlignment="1">
      <alignment vertical="top" wrapText="1"/>
    </xf>
    <xf numFmtId="169" fontId="216" fillId="77" borderId="62" xfId="2750" applyFont="1" applyFill="1" applyBorder="1" applyAlignment="1">
      <alignment vertical="top" wrapText="1"/>
    </xf>
    <xf numFmtId="169" fontId="216" fillId="77" borderId="10" xfId="2750" applyFont="1" applyFill="1" applyBorder="1"/>
    <xf numFmtId="169" fontId="6" fillId="77" borderId="8" xfId="0" applyFont="1" applyFill="1" applyBorder="1"/>
    <xf numFmtId="210" fontId="6" fillId="77" borderId="57" xfId="565" applyFont="1" applyFill="1" applyBorder="1" applyAlignment="1">
      <alignment vertical="center"/>
    </xf>
    <xf numFmtId="210" fontId="6" fillId="77" borderId="62" xfId="565" applyFont="1" applyFill="1" applyBorder="1" applyAlignment="1">
      <alignment vertical="center"/>
    </xf>
    <xf numFmtId="210" fontId="240" fillId="72" borderId="0" xfId="565" applyFont="1" applyFill="1" applyAlignment="1">
      <alignment vertical="center"/>
    </xf>
    <xf numFmtId="10" fontId="7" fillId="76" borderId="1" xfId="1" applyNumberFormat="1" applyFont="1" applyFill="1" applyBorder="1" applyAlignment="1">
      <alignment horizontal="center" vertical="center" wrapText="1"/>
    </xf>
    <xf numFmtId="190" fontId="7" fillId="76" borderId="1" xfId="1" applyNumberFormat="1" applyFont="1" applyFill="1" applyBorder="1" applyAlignment="1">
      <alignment horizontal="center" vertical="center" wrapText="1"/>
    </xf>
    <xf numFmtId="210" fontId="195" fillId="72" borderId="0" xfId="565" applyFont="1" applyFill="1" applyAlignment="1">
      <alignment vertical="center"/>
    </xf>
    <xf numFmtId="1" fontId="7" fillId="76" borderId="1" xfId="1" applyNumberFormat="1" applyFont="1" applyFill="1" applyBorder="1" applyAlignment="1">
      <alignment horizontal="center" vertical="top" wrapText="1"/>
    </xf>
    <xf numFmtId="169" fontId="7" fillId="76" borderId="1" xfId="1" applyNumberFormat="1" applyFont="1" applyFill="1" applyBorder="1" applyAlignment="1">
      <alignment horizontal="center" vertical="center" wrapText="1"/>
    </xf>
    <xf numFmtId="170" fontId="7" fillId="76" borderId="58" xfId="565" applyNumberFormat="1" applyFont="1" applyFill="1" applyBorder="1" applyAlignment="1">
      <alignment horizontal="left" vertical="center"/>
    </xf>
    <xf numFmtId="170" fontId="7" fillId="76" borderId="59" xfId="565" applyNumberFormat="1" applyFont="1" applyFill="1" applyBorder="1" applyAlignment="1">
      <alignment horizontal="left" vertical="center"/>
    </xf>
    <xf numFmtId="170" fontId="7" fillId="76" borderId="60" xfId="565" applyNumberFormat="1" applyFont="1" applyFill="1" applyBorder="1" applyAlignment="1">
      <alignment horizontal="left" vertical="center"/>
    </xf>
    <xf numFmtId="170" fontId="7" fillId="76" borderId="61" xfId="565" applyNumberFormat="1" applyFont="1" applyFill="1" applyBorder="1" applyAlignment="1">
      <alignment horizontal="left" vertical="center"/>
    </xf>
    <xf numFmtId="170" fontId="7" fillId="76" borderId="0" xfId="565" applyNumberFormat="1" applyFont="1" applyFill="1" applyAlignment="1">
      <alignment horizontal="left" vertical="center"/>
    </xf>
    <xf numFmtId="170" fontId="7" fillId="76" borderId="6" xfId="565" applyNumberFormat="1" applyFont="1" applyFill="1" applyBorder="1" applyAlignment="1">
      <alignment horizontal="left" vertical="center"/>
    </xf>
    <xf numFmtId="170" fontId="7" fillId="76" borderId="8" xfId="565" applyNumberFormat="1" applyFont="1" applyFill="1" applyBorder="1" applyAlignment="1">
      <alignment horizontal="left" vertical="center"/>
    </xf>
    <xf numFmtId="170" fontId="7" fillId="76" borderId="10" xfId="565" applyNumberFormat="1" applyFont="1" applyFill="1" applyBorder="1" applyAlignment="1">
      <alignment horizontal="left" vertical="center"/>
    </xf>
    <xf numFmtId="170" fontId="7" fillId="76" borderId="9" xfId="565" applyNumberFormat="1" applyFont="1" applyFill="1" applyBorder="1" applyAlignment="1">
      <alignment horizontal="left" vertical="center"/>
    </xf>
    <xf numFmtId="9" fontId="211" fillId="76" borderId="1" xfId="1" applyFont="1" applyFill="1" applyBorder="1" applyAlignment="1">
      <alignment vertical="center"/>
    </xf>
    <xf numFmtId="170" fontId="211" fillId="76" borderId="1" xfId="565" applyNumberFormat="1" applyFont="1" applyFill="1" applyBorder="1" applyAlignment="1">
      <alignment vertical="center"/>
    </xf>
    <xf numFmtId="0" fontId="4" fillId="72" borderId="0" xfId="565" applyNumberFormat="1" applyFont="1" applyFill="1" applyAlignment="1">
      <alignment vertical="center"/>
    </xf>
    <xf numFmtId="0" fontId="239" fillId="72" borderId="0" xfId="565" applyNumberFormat="1" applyFont="1" applyFill="1" applyAlignment="1">
      <alignment vertical="center"/>
    </xf>
    <xf numFmtId="169" fontId="216" fillId="77" borderId="1" xfId="2750" applyFont="1" applyFill="1" applyBorder="1" applyAlignment="1">
      <alignment vertical="top"/>
    </xf>
    <xf numFmtId="210" fontId="198" fillId="72" borderId="0" xfId="565" applyFont="1" applyFill="1" applyAlignment="1">
      <alignment vertical="center"/>
    </xf>
    <xf numFmtId="210" fontId="242" fillId="2" borderId="0" xfId="565" applyFont="1" applyFill="1" applyAlignment="1">
      <alignment vertical="center"/>
    </xf>
    <xf numFmtId="210" fontId="242" fillId="0" borderId="0" xfId="565" applyFont="1" applyAlignment="1">
      <alignment vertical="center"/>
    </xf>
    <xf numFmtId="210" fontId="198" fillId="72" borderId="2" xfId="565" applyFont="1" applyFill="1" applyBorder="1" applyAlignment="1">
      <alignment vertical="center"/>
    </xf>
    <xf numFmtId="210" fontId="243" fillId="72" borderId="57" xfId="565" applyFont="1" applyFill="1" applyBorder="1" applyAlignment="1">
      <alignment vertical="center"/>
    </xf>
    <xf numFmtId="210" fontId="243" fillId="72" borderId="0" xfId="565" applyFont="1" applyFill="1" applyAlignment="1">
      <alignment vertical="center"/>
    </xf>
    <xf numFmtId="210" fontId="241" fillId="72" borderId="0" xfId="565" applyFont="1" applyFill="1" applyAlignment="1">
      <alignment vertical="center"/>
    </xf>
    <xf numFmtId="0" fontId="198" fillId="72" borderId="0" xfId="565" applyNumberFormat="1" applyFont="1" applyFill="1" applyAlignment="1">
      <alignment vertical="center"/>
    </xf>
    <xf numFmtId="210" fontId="210" fillId="72" borderId="0" xfId="565" applyFont="1" applyFill="1" applyAlignment="1">
      <alignment vertical="center"/>
    </xf>
    <xf numFmtId="210" fontId="11" fillId="72" borderId="0" xfId="565" applyFont="1" applyFill="1" applyAlignment="1">
      <alignment vertical="center"/>
    </xf>
    <xf numFmtId="210" fontId="11" fillId="72" borderId="0" xfId="565" applyFont="1" applyFill="1" applyAlignment="1">
      <alignment horizontal="right" vertical="center"/>
    </xf>
    <xf numFmtId="2" fontId="4" fillId="72" borderId="0" xfId="565" applyNumberFormat="1" applyFont="1" applyFill="1" applyAlignment="1">
      <alignment horizontal="right" vertical="center"/>
    </xf>
    <xf numFmtId="0" fontId="4" fillId="72" borderId="0" xfId="565" applyNumberFormat="1" applyFont="1" applyFill="1" applyAlignment="1">
      <alignment horizontal="right" vertical="center"/>
    </xf>
    <xf numFmtId="171" fontId="6" fillId="75" borderId="1" xfId="1" applyNumberFormat="1" applyFont="1" applyFill="1" applyBorder="1" applyAlignment="1">
      <alignment horizontal="center" vertical="center"/>
    </xf>
    <xf numFmtId="171" fontId="6" fillId="75" borderId="1" xfId="565" applyNumberFormat="1" applyFont="1" applyFill="1" applyBorder="1" applyAlignment="1">
      <alignment horizontal="center" vertical="center"/>
    </xf>
    <xf numFmtId="171" fontId="2" fillId="75" borderId="1" xfId="1" applyNumberFormat="1" applyFont="1" applyFill="1" applyBorder="1" applyAlignment="1">
      <alignment horizontal="center" vertical="center"/>
    </xf>
    <xf numFmtId="169" fontId="4" fillId="75" borderId="2" xfId="565" applyNumberFormat="1" applyFont="1" applyFill="1" applyBorder="1" applyAlignment="1">
      <alignment horizontal="left" vertical="center"/>
    </xf>
    <xf numFmtId="169" fontId="4" fillId="75" borderId="62" xfId="565" applyNumberFormat="1" applyFont="1" applyFill="1" applyBorder="1" applyAlignment="1">
      <alignment horizontal="left" vertical="center"/>
    </xf>
    <xf numFmtId="49" fontId="3" fillId="2" borderId="0" xfId="565" applyNumberFormat="1" applyFont="1" applyFill="1" applyAlignment="1">
      <alignment horizontal="center" vertical="center"/>
    </xf>
    <xf numFmtId="0" fontId="3" fillId="2" borderId="0" xfId="565" applyNumberFormat="1" applyFont="1" applyFill="1" applyAlignment="1">
      <alignment horizontal="center" vertical="center"/>
    </xf>
    <xf numFmtId="0" fontId="6" fillId="2" borderId="0" xfId="565" applyNumberFormat="1" applyFont="1" applyFill="1" applyAlignment="1">
      <alignment horizontal="center" vertical="center" wrapText="1"/>
    </xf>
    <xf numFmtId="0" fontId="3" fillId="2" borderId="0" xfId="565" applyNumberFormat="1" applyFont="1" applyFill="1" applyAlignment="1">
      <alignment horizontal="center" vertical="center" wrapText="1"/>
    </xf>
    <xf numFmtId="0" fontId="6" fillId="2" borderId="0" xfId="565" applyNumberFormat="1" applyFont="1" applyFill="1" applyAlignment="1">
      <alignment horizontal="center" vertical="center"/>
    </xf>
    <xf numFmtId="169" fontId="7" fillId="76" borderId="2" xfId="565" applyNumberFormat="1" applyFont="1" applyFill="1" applyBorder="1" applyAlignment="1">
      <alignment horizontal="center" vertical="center"/>
    </xf>
    <xf numFmtId="169" fontId="7" fillId="76" borderId="62" xfId="565" applyNumberFormat="1" applyFont="1" applyFill="1" applyBorder="1" applyAlignment="1">
      <alignment horizontal="center" vertical="center"/>
    </xf>
    <xf numFmtId="169" fontId="232" fillId="0" borderId="0" xfId="0" applyFont="1" applyAlignment="1" applyProtection="1">
      <alignment vertical="center"/>
      <protection hidden="1"/>
    </xf>
    <xf numFmtId="169" fontId="230" fillId="0" borderId="0" xfId="0" applyFont="1" applyAlignment="1">
      <alignment vertical="center"/>
    </xf>
    <xf numFmtId="169" fontId="0" fillId="0" borderId="0" xfId="0" applyAlignment="1">
      <alignment vertical="center"/>
    </xf>
    <xf numFmtId="169" fontId="0" fillId="0" borderId="0" xfId="0" applyFill="1"/>
  </cellXfs>
  <cellStyles count="2752">
    <cellStyle name="_x0006_" xfId="3" xr:uid="{00000000-0005-0000-0000-000000000000}"/>
    <cellStyle name="_x0006_ 2" xfId="1410" xr:uid="{00000000-0005-0000-0000-000001000000}"/>
    <cellStyle name="_x0006_ 2 2" xfId="1885" xr:uid="{00000000-0005-0000-0000-000002000000}"/>
    <cellStyle name="_x0006_ 2 2 2" xfId="2471" xr:uid="{00000000-0005-0000-0000-000003000000}"/>
    <cellStyle name="_x0006_ 2 3" xfId="2497" xr:uid="{00000000-0005-0000-0000-000004000000}"/>
    <cellStyle name="_x0006_ 3" xfId="1819" xr:uid="{00000000-0005-0000-0000-000005000000}"/>
    <cellStyle name="_x0006_ 3 2" xfId="2240" xr:uid="{00000000-0005-0000-0000-000006000000}"/>
    <cellStyle name="_x0006_ 4" xfId="2439" xr:uid="{00000000-0005-0000-0000-000007000000}"/>
    <cellStyle name="_x000a_shell=progma" xfId="4" xr:uid="{00000000-0005-0000-0000-000008000000}"/>
    <cellStyle name="_x000a_shell=progma 2" xfId="5" xr:uid="{00000000-0005-0000-0000-000009000000}"/>
    <cellStyle name=".Assumption" xfId="6" xr:uid="{00000000-0005-0000-0000-00000A000000}"/>
    <cellStyle name=".Pickup" xfId="7" xr:uid="{00000000-0005-0000-0000-00000B000000}"/>
    <cellStyle name=".Warning" xfId="8" xr:uid="{00000000-0005-0000-0000-00000C000000}"/>
    <cellStyle name="?" xfId="9" xr:uid="{00000000-0005-0000-0000-00000D000000}"/>
    <cellStyle name="????" xfId="10" xr:uid="{00000000-0005-0000-0000-00000E000000}"/>
    <cellStyle name="?????" xfId="11" xr:uid="{00000000-0005-0000-0000-00000F000000}"/>
    <cellStyle name="????????" xfId="12" xr:uid="{00000000-0005-0000-0000-000010000000}"/>
    <cellStyle name="?????????????" xfId="13" xr:uid="{00000000-0005-0000-0000-000011000000}"/>
    <cellStyle name="??????????_BOPENGC" xfId="14" xr:uid="{00000000-0005-0000-0000-000012000000}"/>
    <cellStyle name="?????????1" xfId="15" xr:uid="{00000000-0005-0000-0000-000013000000}"/>
    <cellStyle name="?????????2" xfId="16" xr:uid="{00000000-0005-0000-0000-000014000000}"/>
    <cellStyle name="???????_BOPENGC" xfId="17" xr:uid="{00000000-0005-0000-0000-000015000000}"/>
    <cellStyle name="??_0-3?????" xfId="18" xr:uid="{00000000-0005-0000-0000-000016000000}"/>
    <cellStyle name="_080808 McK Al data" xfId="19" xr:uid="{00000000-0005-0000-0000-000017000000}"/>
    <cellStyle name="_BUP057_Alumina cost curve escalation to 2015 v3" xfId="20" xr:uid="{00000000-0005-0000-0000-000018000000}"/>
    <cellStyle name="_Gas Details" xfId="21" xr:uid="{00000000-0005-0000-0000-000019000000}"/>
    <cellStyle name="_Gas Details_Protocol" xfId="22" xr:uid="{00000000-0005-0000-0000-00001A000000}"/>
    <cellStyle name="_Gas Details_Protocol back-up" xfId="23" xr:uid="{00000000-0005-0000-0000-00001B000000}"/>
    <cellStyle name="_Gas Details_Protocol_Protocol back-up" xfId="24" xr:uid="{00000000-0005-0000-0000-00001C000000}"/>
    <cellStyle name="_Happy Camper prodtons_-750A_$10_camp_c" xfId="25" xr:uid="{00000000-0005-0000-0000-00001D000000}"/>
    <cellStyle name="_Matrix of Options July07 (NW Mods)" xfId="26" xr:uid="{00000000-0005-0000-0000-00001E000000}"/>
    <cellStyle name="_Matrix of options with summary - with sorting macro NW8.0 (2)" xfId="27" xr:uid="{00000000-0005-0000-0000-00001F000000}"/>
    <cellStyle name="_Matrix of options with summary - with sorting macro NW9.0" xfId="28" xr:uid="{00000000-0005-0000-0000-000020000000}"/>
    <cellStyle name="_Matrix of options with summary NW7 0" xfId="29" xr:uid="{00000000-0005-0000-0000-000021000000}"/>
    <cellStyle name="_Matrix of options with summary NW7.0" xfId="30" xr:uid="{00000000-0005-0000-0000-000022000000}"/>
    <cellStyle name="_Matrix of options with summary NW7.0(cases only)" xfId="31" xr:uid="{00000000-0005-0000-0000-000023000000}"/>
    <cellStyle name="_Matrix of options with summary NW8.0 cases with list" xfId="32" xr:uid="{00000000-0005-0000-0000-000024000000}"/>
    <cellStyle name="_No. 09 Power cost forecast by province" xfId="33" xr:uid="{00000000-0005-0000-0000-000025000000}"/>
    <cellStyle name="_No. 09 Power cost forecast by province_Protocol back-up" xfId="34" xr:uid="{00000000-0005-0000-0000-000026000000}"/>
    <cellStyle name="_PCBC output template for Damian Rogers (20080806) (2)" xfId="35" xr:uid="{00000000-0005-0000-0000-000027000000}"/>
    <cellStyle name="_PCBC output template for Damian Rogers (20080806) (2) 2" xfId="36" xr:uid="{00000000-0005-0000-0000-000028000000}"/>
    <cellStyle name="_PCBC output template for Damian Rogers (20080806) (2) 2 2" xfId="37" xr:uid="{00000000-0005-0000-0000-000029000000}"/>
    <cellStyle name="_PCBC output template for Damian Rogers (20080806) (2) 2_Kosovo" xfId="38" xr:uid="{00000000-0005-0000-0000-00002A000000}"/>
    <cellStyle name="_PCBC output template for Damian Rogers (20080806) (2) 3" xfId="39" xr:uid="{00000000-0005-0000-0000-00002B000000}"/>
    <cellStyle name="_prodtons_L1_10_220k_150dpts" xfId="40" xr:uid="{00000000-0005-0000-0000-00002C000000}"/>
    <cellStyle name="_RT Data Extraction Oyu Tolgoi 11 Nov 07 V8" xfId="41" xr:uid="{00000000-0005-0000-0000-00002D000000}"/>
    <cellStyle name="_Sheet1" xfId="42" xr:uid="{00000000-0005-0000-0000-00002E000000}"/>
    <cellStyle name="_Sheet1_Protocol back-up" xfId="43" xr:uid="{00000000-0005-0000-0000-00002F000000}"/>
    <cellStyle name="=C:\WINNT\SYSTEM32\COMMAND.COM" xfId="44" xr:uid="{00000000-0005-0000-0000-000030000000}"/>
    <cellStyle name="=C:\WINNT35\SYSTEM32\COMMAND.COM" xfId="45" xr:uid="{00000000-0005-0000-0000-000031000000}"/>
    <cellStyle name="=D:\WINNT\SYSTEM32\COMMAND.COM" xfId="46" xr:uid="{00000000-0005-0000-0000-000032000000}"/>
    <cellStyle name="=D:\WINNT\SYSTEM32\COMMAND.COM 2" xfId="47" xr:uid="{00000000-0005-0000-0000-000033000000}"/>
    <cellStyle name="02_Rule above and below" xfId="48" xr:uid="{00000000-0005-0000-0000-000034000000}"/>
    <cellStyle name="03_Table Notes" xfId="49" xr:uid="{00000000-0005-0000-0000-000035000000}"/>
    <cellStyle name="04_Bold table figs" xfId="50" xr:uid="{00000000-0005-0000-0000-000036000000}"/>
    <cellStyle name="05_table figs" xfId="51" xr:uid="{00000000-0005-0000-0000-000037000000}"/>
    <cellStyle name="06_per cent" xfId="52" xr:uid="{00000000-0005-0000-0000-000038000000}"/>
    <cellStyle name="07_Bold table text" xfId="53" xr:uid="{00000000-0005-0000-0000-000039000000}"/>
    <cellStyle name="0752-93035" xfId="54" xr:uid="{00000000-0005-0000-0000-00003A000000}"/>
    <cellStyle name="0752-93035 2" xfId="55" xr:uid="{00000000-0005-0000-0000-00003B000000}"/>
    <cellStyle name="0752-93035 3" xfId="56" xr:uid="{00000000-0005-0000-0000-00003C000000}"/>
    <cellStyle name="1 Date Input" xfId="57" xr:uid="{00000000-0005-0000-0000-00003D000000}"/>
    <cellStyle name="1 indent" xfId="58" xr:uid="{00000000-0005-0000-0000-00003E000000}"/>
    <cellStyle name="1 indent 2" xfId="59" xr:uid="{00000000-0005-0000-0000-00003F000000}"/>
    <cellStyle name="1 Initial Value" xfId="60" xr:uid="{00000000-0005-0000-0000-000040000000}"/>
    <cellStyle name="1 Normal Input" xfId="61" xr:uid="{00000000-0005-0000-0000-000041000000}"/>
    <cellStyle name="1 Percent Input" xfId="62" xr:uid="{00000000-0005-0000-0000-000042000000}"/>
    <cellStyle name="1 Ratio Input" xfId="63" xr:uid="{00000000-0005-0000-0000-000043000000}"/>
    <cellStyle name="1 Real Input" xfId="64" xr:uid="{00000000-0005-0000-0000-000044000000}"/>
    <cellStyle name="1 Title 1" xfId="65" xr:uid="{00000000-0005-0000-0000-000045000000}"/>
    <cellStyle name="1 Title 2" xfId="66" xr:uid="{00000000-0005-0000-0000-000046000000}"/>
    <cellStyle name="1 Title 3" xfId="67" xr:uid="{00000000-0005-0000-0000-000047000000}"/>
    <cellStyle name="1 Title 4" xfId="68" xr:uid="{00000000-0005-0000-0000-000048000000}"/>
    <cellStyle name="2 Date" xfId="69" xr:uid="{00000000-0005-0000-0000-000049000000}"/>
    <cellStyle name="2 indents" xfId="70" xr:uid="{00000000-0005-0000-0000-00004A000000}"/>
    <cellStyle name="2 indents 2" xfId="71" xr:uid="{00000000-0005-0000-0000-00004B000000}"/>
    <cellStyle name="2 Percent" xfId="72" xr:uid="{00000000-0005-0000-0000-00004C000000}"/>
    <cellStyle name="2 Ratio" xfId="73" xr:uid="{00000000-0005-0000-0000-00004D000000}"/>
    <cellStyle name="2 Real" xfId="74" xr:uid="{00000000-0005-0000-0000-00004E000000}"/>
    <cellStyle name="20% - Akzent1" xfId="75" xr:uid="{00000000-0005-0000-0000-00004F000000}"/>
    <cellStyle name="20% - Akzent2" xfId="76" xr:uid="{00000000-0005-0000-0000-000050000000}"/>
    <cellStyle name="20% - Akzent3" xfId="77" xr:uid="{00000000-0005-0000-0000-000051000000}"/>
    <cellStyle name="20% - Akzent4" xfId="78" xr:uid="{00000000-0005-0000-0000-000052000000}"/>
    <cellStyle name="20% - Akzent5" xfId="79" xr:uid="{00000000-0005-0000-0000-000053000000}"/>
    <cellStyle name="20% - Akzent6" xfId="80" xr:uid="{00000000-0005-0000-0000-000054000000}"/>
    <cellStyle name="2x indented GHG Textfiels" xfId="81" xr:uid="{00000000-0005-0000-0000-000055000000}"/>
    <cellStyle name="3 indents" xfId="82" xr:uid="{00000000-0005-0000-0000-000056000000}"/>
    <cellStyle name="3 indents 2" xfId="83" xr:uid="{00000000-0005-0000-0000-000057000000}"/>
    <cellStyle name="4 indents" xfId="84" xr:uid="{00000000-0005-0000-0000-000058000000}"/>
    <cellStyle name="4 indents 2" xfId="85" xr:uid="{00000000-0005-0000-0000-000059000000}"/>
    <cellStyle name="40% - Akzent1" xfId="86" xr:uid="{00000000-0005-0000-0000-00005A000000}"/>
    <cellStyle name="40% - Akzent2" xfId="87" xr:uid="{00000000-0005-0000-0000-00005B000000}"/>
    <cellStyle name="40% - Akzent3" xfId="88" xr:uid="{00000000-0005-0000-0000-00005C000000}"/>
    <cellStyle name="40% - Akzent4" xfId="89" xr:uid="{00000000-0005-0000-0000-00005D000000}"/>
    <cellStyle name="40% - Akzent5" xfId="90" xr:uid="{00000000-0005-0000-0000-00005E000000}"/>
    <cellStyle name="40% - Akzent6" xfId="91" xr:uid="{00000000-0005-0000-0000-00005F000000}"/>
    <cellStyle name="5 indents" xfId="92" xr:uid="{00000000-0005-0000-0000-000060000000}"/>
    <cellStyle name="5x indented GHG Textfiels" xfId="93" xr:uid="{00000000-0005-0000-0000-000061000000}"/>
    <cellStyle name="60% - Akzent1" xfId="94" xr:uid="{00000000-0005-0000-0000-000062000000}"/>
    <cellStyle name="60% - Akzent2" xfId="95" xr:uid="{00000000-0005-0000-0000-000063000000}"/>
    <cellStyle name="60% - Akzent3" xfId="96" xr:uid="{00000000-0005-0000-0000-000064000000}"/>
    <cellStyle name="60% - Akzent4" xfId="97" xr:uid="{00000000-0005-0000-0000-000065000000}"/>
    <cellStyle name="60% - Akzent5" xfId="98" xr:uid="{00000000-0005-0000-0000-000066000000}"/>
    <cellStyle name="60% - Akzent6" xfId="99" xr:uid="{00000000-0005-0000-0000-000067000000}"/>
    <cellStyle name="_x0007_Á" xfId="100" xr:uid="{00000000-0005-0000-0000-000068000000}"/>
    <cellStyle name="Accent1 - 20%" xfId="101" xr:uid="{00000000-0005-0000-0000-000069000000}"/>
    <cellStyle name="Accent1 - 40%" xfId="102" xr:uid="{00000000-0005-0000-0000-00006A000000}"/>
    <cellStyle name="Accent1 - 60%" xfId="103" xr:uid="{00000000-0005-0000-0000-00006B000000}"/>
    <cellStyle name="Accent2 - 20%" xfId="104" xr:uid="{00000000-0005-0000-0000-00006C000000}"/>
    <cellStyle name="Accent2 - 40%" xfId="105" xr:uid="{00000000-0005-0000-0000-00006D000000}"/>
    <cellStyle name="Accent2 - 60%" xfId="106" xr:uid="{00000000-0005-0000-0000-00006E000000}"/>
    <cellStyle name="Accent3 - 20%" xfId="107" xr:uid="{00000000-0005-0000-0000-00006F000000}"/>
    <cellStyle name="Accent3 - 40%" xfId="108" xr:uid="{00000000-0005-0000-0000-000070000000}"/>
    <cellStyle name="Accent3 - 60%" xfId="109" xr:uid="{00000000-0005-0000-0000-000071000000}"/>
    <cellStyle name="Accent4 - 20%" xfId="110" xr:uid="{00000000-0005-0000-0000-000072000000}"/>
    <cellStyle name="Accent4 - 40%" xfId="111" xr:uid="{00000000-0005-0000-0000-000073000000}"/>
    <cellStyle name="Accent4 - 60%" xfId="112" xr:uid="{00000000-0005-0000-0000-000074000000}"/>
    <cellStyle name="Accent5 - 20%" xfId="113" xr:uid="{00000000-0005-0000-0000-000075000000}"/>
    <cellStyle name="Accent5 - 40%" xfId="114" xr:uid="{00000000-0005-0000-0000-000076000000}"/>
    <cellStyle name="Accent5 - 60%" xfId="115" xr:uid="{00000000-0005-0000-0000-000077000000}"/>
    <cellStyle name="Accent6 - 20%" xfId="116" xr:uid="{00000000-0005-0000-0000-000078000000}"/>
    <cellStyle name="Accent6 - 40%" xfId="117" xr:uid="{00000000-0005-0000-0000-000079000000}"/>
    <cellStyle name="Accent6 - 60%" xfId="118" xr:uid="{00000000-0005-0000-0000-00007A000000}"/>
    <cellStyle name="Adjustable" xfId="119" xr:uid="{00000000-0005-0000-0000-00007B000000}"/>
    <cellStyle name="AFE" xfId="120" xr:uid="{00000000-0005-0000-0000-00007C000000}"/>
    <cellStyle name="AggblueBoldCels" xfId="121" xr:uid="{00000000-0005-0000-0000-00007D000000}"/>
    <cellStyle name="AggblueCels" xfId="122" xr:uid="{00000000-0005-0000-0000-00007E000000}"/>
    <cellStyle name="AggBoldCells" xfId="123" xr:uid="{00000000-0005-0000-0000-00007F000000}"/>
    <cellStyle name="AggCels" xfId="124" xr:uid="{00000000-0005-0000-0000-000080000000}"/>
    <cellStyle name="AggGreen" xfId="125" xr:uid="{00000000-0005-0000-0000-000081000000}"/>
    <cellStyle name="AggGreen12" xfId="126" xr:uid="{00000000-0005-0000-0000-000082000000}"/>
    <cellStyle name="AggOrange" xfId="127" xr:uid="{00000000-0005-0000-0000-000083000000}"/>
    <cellStyle name="AggOrange9" xfId="128" xr:uid="{00000000-0005-0000-0000-000084000000}"/>
    <cellStyle name="AggOrangeLB_2x" xfId="129" xr:uid="{00000000-0005-0000-0000-000085000000}"/>
    <cellStyle name="AggOrangeLBorder" xfId="130" xr:uid="{00000000-0005-0000-0000-000086000000}"/>
    <cellStyle name="AggOrangeRBorder" xfId="131" xr:uid="{00000000-0005-0000-0000-000087000000}"/>
    <cellStyle name="Akzent1" xfId="132" xr:uid="{00000000-0005-0000-0000-000088000000}"/>
    <cellStyle name="Akzent2" xfId="133" xr:uid="{00000000-0005-0000-0000-000089000000}"/>
    <cellStyle name="Akzent3" xfId="134" xr:uid="{00000000-0005-0000-0000-00008A000000}"/>
    <cellStyle name="Akzent4" xfId="135" xr:uid="{00000000-0005-0000-0000-00008B000000}"/>
    <cellStyle name="Akzent5" xfId="136" xr:uid="{00000000-0005-0000-0000-00008C000000}"/>
    <cellStyle name="Akzent6" xfId="137" xr:uid="{00000000-0005-0000-0000-00008D000000}"/>
    <cellStyle name="AMN" xfId="138" xr:uid="{00000000-0005-0000-0000-00008E000000}"/>
    <cellStyle name="ANCLAS,REZONES Y SUS PARTES,DE FUNDICION,DE HIERRO O DE ACERO" xfId="139" xr:uid="{00000000-0005-0000-0000-00008F000000}"/>
    <cellStyle name="Array" xfId="140" xr:uid="{00000000-0005-0000-0000-000090000000}"/>
    <cellStyle name="Array Enter" xfId="141" xr:uid="{00000000-0005-0000-0000-000091000000}"/>
    <cellStyle name="Ausgabe" xfId="142" xr:uid="{00000000-0005-0000-0000-000092000000}"/>
    <cellStyle name="Ausgabe 2" xfId="1411" xr:uid="{00000000-0005-0000-0000-000093000000}"/>
    <cellStyle name="Ausgabe 2 2" xfId="1886" xr:uid="{00000000-0005-0000-0000-000094000000}"/>
    <cellStyle name="Ausgabe 2 2 2" xfId="2249" xr:uid="{00000000-0005-0000-0000-000095000000}"/>
    <cellStyle name="Ausgabe 2 3" xfId="2660" xr:uid="{00000000-0005-0000-0000-000096000000}"/>
    <cellStyle name="Ausgabe 3" xfId="1814" xr:uid="{00000000-0005-0000-0000-000097000000}"/>
    <cellStyle name="Ausgabe 3 2" xfId="2370" xr:uid="{00000000-0005-0000-0000-000098000000}"/>
    <cellStyle name="Ausgabe 4" xfId="2478" xr:uid="{00000000-0005-0000-0000-000099000000}"/>
    <cellStyle name="b" xfId="143" xr:uid="{00000000-0005-0000-0000-00009A000000}"/>
    <cellStyle name="b_Book1" xfId="144" xr:uid="{00000000-0005-0000-0000-00009B000000}"/>
    <cellStyle name="b_Book21" xfId="145" xr:uid="{00000000-0005-0000-0000-00009C000000}"/>
    <cellStyle name="b_Capacity Charge - Examples V9" xfId="146" xr:uid="{00000000-0005-0000-0000-00009D000000}"/>
    <cellStyle name="b_Capacity Charge - Examples V91" xfId="147" xr:uid="{00000000-0005-0000-0000-00009E000000}"/>
    <cellStyle name="Bad 2" xfId="148" xr:uid="{00000000-0005-0000-0000-00009F000000}"/>
    <cellStyle name="BE Pickup Link" xfId="149" xr:uid="{00000000-0005-0000-0000-0000A0000000}"/>
    <cellStyle name="Berechnung" xfId="150" xr:uid="{00000000-0005-0000-0000-0000A1000000}"/>
    <cellStyle name="Berechnung 2" xfId="1412" xr:uid="{00000000-0005-0000-0000-0000A2000000}"/>
    <cellStyle name="Berechnung 2 2" xfId="1887" xr:uid="{00000000-0005-0000-0000-0000A3000000}"/>
    <cellStyle name="Berechnung 2 2 2" xfId="2250" xr:uid="{00000000-0005-0000-0000-0000A4000000}"/>
    <cellStyle name="Berechnung 2 3" xfId="1385" xr:uid="{00000000-0005-0000-0000-0000A5000000}"/>
    <cellStyle name="Berechnung 3" xfId="1813" xr:uid="{00000000-0005-0000-0000-0000A6000000}"/>
    <cellStyle name="Berechnung 3 2" xfId="2593" xr:uid="{00000000-0005-0000-0000-0000A7000000}"/>
    <cellStyle name="Berechnung 4" xfId="2477" xr:uid="{00000000-0005-0000-0000-0000A8000000}"/>
    <cellStyle name="Best" xfId="151" xr:uid="{00000000-0005-0000-0000-0000A9000000}"/>
    <cellStyle name="Black" xfId="152" xr:uid="{00000000-0005-0000-0000-0000AA000000}"/>
    <cellStyle name="Blank" xfId="153" xr:uid="{00000000-0005-0000-0000-0000AB000000}"/>
    <cellStyle name="Blue" xfId="154" xr:uid="{00000000-0005-0000-0000-0000AC000000}"/>
    <cellStyle name="Body_$Numeric" xfId="155" xr:uid="{00000000-0005-0000-0000-0000AD000000}"/>
    <cellStyle name="Bold GHG Numbers (0.00)" xfId="156" xr:uid="{00000000-0005-0000-0000-0000AE000000}"/>
    <cellStyle name="Book Link" xfId="157" xr:uid="{00000000-0005-0000-0000-0000AF000000}"/>
    <cellStyle name="Bracket $'000 calc" xfId="158" xr:uid="{00000000-0005-0000-0000-0000B0000000}"/>
    <cellStyle name="Bracket $'000 total" xfId="159" xr:uid="{00000000-0005-0000-0000-0000B1000000}"/>
    <cellStyle name="Bracket $'000 total 2" xfId="160" xr:uid="{00000000-0005-0000-0000-0000B2000000}"/>
    <cellStyle name="Bracket $'000 total 2 2" xfId="161" xr:uid="{00000000-0005-0000-0000-0000B3000000}"/>
    <cellStyle name="Bracket $'000 total 2 2 2" xfId="1415" xr:uid="{00000000-0005-0000-0000-0000B4000000}"/>
    <cellStyle name="Bracket $'000 total 2 2 2 2" xfId="1890" xr:uid="{00000000-0005-0000-0000-0000B5000000}"/>
    <cellStyle name="Bracket $'000 total 2 2 2 2 2" xfId="2253" xr:uid="{00000000-0005-0000-0000-0000B6000000}"/>
    <cellStyle name="Bracket $'000 total 2 2 2 3" xfId="2659" xr:uid="{00000000-0005-0000-0000-0000B7000000}"/>
    <cellStyle name="Bracket $'000 total 2 2 3" xfId="1207" xr:uid="{00000000-0005-0000-0000-0000B8000000}"/>
    <cellStyle name="Bracket $'000 total 2 2 3 2" xfId="2108" xr:uid="{00000000-0005-0000-0000-0000B9000000}"/>
    <cellStyle name="Bracket $'000 total 2 2 4" xfId="1810" xr:uid="{00000000-0005-0000-0000-0000BA000000}"/>
    <cellStyle name="Bracket $'000 total 2 2 4 2" xfId="2576" xr:uid="{00000000-0005-0000-0000-0000BB000000}"/>
    <cellStyle name="Bracket $'000 total 2 2 4 3" xfId="2418" xr:uid="{00000000-0005-0000-0000-0000BC000000}"/>
    <cellStyle name="Bracket $'000 total 2 3" xfId="162" xr:uid="{00000000-0005-0000-0000-0000BD000000}"/>
    <cellStyle name="Bracket $'000 total 2 3 2" xfId="1416" xr:uid="{00000000-0005-0000-0000-0000BE000000}"/>
    <cellStyle name="Bracket $'000 total 2 3 2 2" xfId="1891" xr:uid="{00000000-0005-0000-0000-0000BF000000}"/>
    <cellStyle name="Bracket $'000 total 2 3 2 2 2" xfId="2472" xr:uid="{00000000-0005-0000-0000-0000C0000000}"/>
    <cellStyle name="Bracket $'000 total 2 3 2 3" xfId="1384" xr:uid="{00000000-0005-0000-0000-0000C1000000}"/>
    <cellStyle name="Bracket $'000 total 2 3 3" xfId="1208" xr:uid="{00000000-0005-0000-0000-0000C2000000}"/>
    <cellStyle name="Bracket $'000 total 2 3 3 2" xfId="2482" xr:uid="{00000000-0005-0000-0000-0000C3000000}"/>
    <cellStyle name="Bracket $'000 total 2 3 4" xfId="1809" xr:uid="{00000000-0005-0000-0000-0000C4000000}"/>
    <cellStyle name="Bracket $'000 total 2 3 4 2" xfId="2575" xr:uid="{00000000-0005-0000-0000-0000C5000000}"/>
    <cellStyle name="Bracket $'000 total 2 3 4 3" xfId="2594" xr:uid="{00000000-0005-0000-0000-0000C6000000}"/>
    <cellStyle name="Bracket $'000 total 2 4" xfId="163" xr:uid="{00000000-0005-0000-0000-0000C7000000}"/>
    <cellStyle name="Bracket $'000 total 2 4 2" xfId="1417" xr:uid="{00000000-0005-0000-0000-0000C8000000}"/>
    <cellStyle name="Bracket $'000 total 2 4 2 2" xfId="1892" xr:uid="{00000000-0005-0000-0000-0000C9000000}"/>
    <cellStyle name="Bracket $'000 total 2 4 2 2 2" xfId="2254" xr:uid="{00000000-0005-0000-0000-0000CA000000}"/>
    <cellStyle name="Bracket $'000 total 2 4 2 3" xfId="1660" xr:uid="{00000000-0005-0000-0000-0000CB000000}"/>
    <cellStyle name="Bracket $'000 total 2 4 3" xfId="1209" xr:uid="{00000000-0005-0000-0000-0000CC000000}"/>
    <cellStyle name="Bracket $'000 total 2 4 3 2" xfId="2676" xr:uid="{00000000-0005-0000-0000-0000CD000000}"/>
    <cellStyle name="Bracket $'000 total 2 4 4" xfId="1808" xr:uid="{00000000-0005-0000-0000-0000CE000000}"/>
    <cellStyle name="Bracket $'000 total 2 4 4 2" xfId="2574" xr:uid="{00000000-0005-0000-0000-0000CF000000}"/>
    <cellStyle name="Bracket $'000 total 2 4 4 3" xfId="2389" xr:uid="{00000000-0005-0000-0000-0000D0000000}"/>
    <cellStyle name="Bracket $'000 total 2 5" xfId="164" xr:uid="{00000000-0005-0000-0000-0000D1000000}"/>
    <cellStyle name="Bracket $'000 total 2 5 2" xfId="1418" xr:uid="{00000000-0005-0000-0000-0000D2000000}"/>
    <cellStyle name="Bracket $'000 total 2 5 2 2" xfId="1893" xr:uid="{00000000-0005-0000-0000-0000D3000000}"/>
    <cellStyle name="Bracket $'000 total 2 5 2 2 2" xfId="2255" xr:uid="{00000000-0005-0000-0000-0000D4000000}"/>
    <cellStyle name="Bracket $'000 total 2 5 2 3" xfId="2499" xr:uid="{00000000-0005-0000-0000-0000D5000000}"/>
    <cellStyle name="Bracket $'000 total 2 5 3" xfId="1210" xr:uid="{00000000-0005-0000-0000-0000D6000000}"/>
    <cellStyle name="Bracket $'000 total 2 5 3 2" xfId="1271" xr:uid="{00000000-0005-0000-0000-0000D7000000}"/>
    <cellStyle name="Bracket $'000 total 2 5 4" xfId="1807" xr:uid="{00000000-0005-0000-0000-0000D8000000}"/>
    <cellStyle name="Bracket $'000 total 2 5 4 2" xfId="2573" xr:uid="{00000000-0005-0000-0000-0000D9000000}"/>
    <cellStyle name="Bracket $'000 total 2 5 4 3" xfId="1686" xr:uid="{00000000-0005-0000-0000-0000DA000000}"/>
    <cellStyle name="Bracket $'000 total 2 6" xfId="165" xr:uid="{00000000-0005-0000-0000-0000DB000000}"/>
    <cellStyle name="Bracket $'000 total 2 6 2" xfId="1419" xr:uid="{00000000-0005-0000-0000-0000DC000000}"/>
    <cellStyle name="Bracket $'000 total 2 6 2 2" xfId="1894" xr:uid="{00000000-0005-0000-0000-0000DD000000}"/>
    <cellStyle name="Bracket $'000 total 2 6 2 2 2" xfId="2256" xr:uid="{00000000-0005-0000-0000-0000DE000000}"/>
    <cellStyle name="Bracket $'000 total 2 6 2 3" xfId="2658" xr:uid="{00000000-0005-0000-0000-0000DF000000}"/>
    <cellStyle name="Bracket $'000 total 2 6 3" xfId="1211" xr:uid="{00000000-0005-0000-0000-0000E0000000}"/>
    <cellStyle name="Bracket $'000 total 2 6 3 2" xfId="2170" xr:uid="{00000000-0005-0000-0000-0000E1000000}"/>
    <cellStyle name="Bracket $'000 total 2 6 4" xfId="1806" xr:uid="{00000000-0005-0000-0000-0000E2000000}"/>
    <cellStyle name="Bracket $'000 total 2 6 4 2" xfId="2572" xr:uid="{00000000-0005-0000-0000-0000E3000000}"/>
    <cellStyle name="Bracket $'000 total 2 6 4 3" xfId="2589" xr:uid="{00000000-0005-0000-0000-0000E4000000}"/>
    <cellStyle name="Bracket $'000 total 2 7" xfId="1414" xr:uid="{00000000-0005-0000-0000-0000E5000000}"/>
    <cellStyle name="Bracket $'000 total 2 7 2" xfId="1889" xr:uid="{00000000-0005-0000-0000-0000E6000000}"/>
    <cellStyle name="Bracket $'000 total 2 7 2 2" xfId="2252" xr:uid="{00000000-0005-0000-0000-0000E7000000}"/>
    <cellStyle name="Bracket $'000 total 2 7 3" xfId="2498" xr:uid="{00000000-0005-0000-0000-0000E8000000}"/>
    <cellStyle name="Bracket $'000 total 2 8" xfId="1206" xr:uid="{00000000-0005-0000-0000-0000E9000000}"/>
    <cellStyle name="Bracket $'000 total 2 8 2" xfId="1376" xr:uid="{00000000-0005-0000-0000-0000EA000000}"/>
    <cellStyle name="Bracket $'000 total 2 9" xfId="1811" xr:uid="{00000000-0005-0000-0000-0000EB000000}"/>
    <cellStyle name="Bracket $'000 total 2 9 2" xfId="2577" xr:uid="{00000000-0005-0000-0000-0000EC000000}"/>
    <cellStyle name="Bracket $'000 total 2 9 3" xfId="2465" xr:uid="{00000000-0005-0000-0000-0000ED000000}"/>
    <cellStyle name="Bracket $'000 total 2_Kosovo" xfId="166" xr:uid="{00000000-0005-0000-0000-0000EE000000}"/>
    <cellStyle name="Bracket $'000 total 3" xfId="167" xr:uid="{00000000-0005-0000-0000-0000EF000000}"/>
    <cellStyle name="Bracket $'000 total 3 2" xfId="168" xr:uid="{00000000-0005-0000-0000-0000F0000000}"/>
    <cellStyle name="Bracket $'000 total 3 2 2" xfId="1421" xr:uid="{00000000-0005-0000-0000-0000F1000000}"/>
    <cellStyle name="Bracket $'000 total 3 2 2 2" xfId="1896" xr:uid="{00000000-0005-0000-0000-0000F2000000}"/>
    <cellStyle name="Bracket $'000 total 3 2 2 2 2" xfId="2473" xr:uid="{00000000-0005-0000-0000-0000F3000000}"/>
    <cellStyle name="Bracket $'000 total 3 2 2 3" xfId="1335" xr:uid="{00000000-0005-0000-0000-0000F4000000}"/>
    <cellStyle name="Bracket $'000 total 3 2 3" xfId="1213" xr:uid="{00000000-0005-0000-0000-0000F5000000}"/>
    <cellStyle name="Bracket $'000 total 3 2 3 2" xfId="2672" xr:uid="{00000000-0005-0000-0000-0000F6000000}"/>
    <cellStyle name="Bracket $'000 total 3 2 4" xfId="1804" xr:uid="{00000000-0005-0000-0000-0000F7000000}"/>
    <cellStyle name="Bracket $'000 total 3 2 4 2" xfId="2570" xr:uid="{00000000-0005-0000-0000-0000F8000000}"/>
    <cellStyle name="Bracket $'000 total 3 2 4 3" xfId="2239" xr:uid="{00000000-0005-0000-0000-0000F9000000}"/>
    <cellStyle name="Bracket $'000 total 3 3" xfId="169" xr:uid="{00000000-0005-0000-0000-0000FA000000}"/>
    <cellStyle name="Bracket $'000 total 3 3 2" xfId="1422" xr:uid="{00000000-0005-0000-0000-0000FB000000}"/>
    <cellStyle name="Bracket $'000 total 3 3 2 2" xfId="1897" xr:uid="{00000000-0005-0000-0000-0000FC000000}"/>
    <cellStyle name="Bracket $'000 total 3 3 2 2 2" xfId="2258" xr:uid="{00000000-0005-0000-0000-0000FD000000}"/>
    <cellStyle name="Bracket $'000 total 3 3 2 3" xfId="2500" xr:uid="{00000000-0005-0000-0000-0000FE000000}"/>
    <cellStyle name="Bracket $'000 total 3 3 3" xfId="1214" xr:uid="{00000000-0005-0000-0000-0000FF000000}"/>
    <cellStyle name="Bracket $'000 total 3 3 3 2" xfId="1375" xr:uid="{00000000-0005-0000-0000-000000010000}"/>
    <cellStyle name="Bracket $'000 total 3 3 4" xfId="1803" xr:uid="{00000000-0005-0000-0000-000001010000}"/>
    <cellStyle name="Bracket $'000 total 3 3 4 2" xfId="2569" xr:uid="{00000000-0005-0000-0000-000002010000}"/>
    <cellStyle name="Bracket $'000 total 3 3 4 3" xfId="2238" xr:uid="{00000000-0005-0000-0000-000003010000}"/>
    <cellStyle name="Bracket $'000 total 3 4" xfId="170" xr:uid="{00000000-0005-0000-0000-000004010000}"/>
    <cellStyle name="Bracket $'000 total 3 4 2" xfId="1423" xr:uid="{00000000-0005-0000-0000-000005010000}"/>
    <cellStyle name="Bracket $'000 total 3 4 2 2" xfId="1898" xr:uid="{00000000-0005-0000-0000-000006010000}"/>
    <cellStyle name="Bracket $'000 total 3 4 2 2 2" xfId="2259" xr:uid="{00000000-0005-0000-0000-000007010000}"/>
    <cellStyle name="Bracket $'000 total 3 4 2 3" xfId="2657" xr:uid="{00000000-0005-0000-0000-000008010000}"/>
    <cellStyle name="Bracket $'000 total 3 4 3" xfId="1215" xr:uid="{00000000-0005-0000-0000-000009010000}"/>
    <cellStyle name="Bracket $'000 total 3 4 3 2" xfId="2581" xr:uid="{00000000-0005-0000-0000-00000A010000}"/>
    <cellStyle name="Bracket $'000 total 3 4 4" xfId="1802" xr:uid="{00000000-0005-0000-0000-00000B010000}"/>
    <cellStyle name="Bracket $'000 total 3 4 4 2" xfId="2568" xr:uid="{00000000-0005-0000-0000-00000C010000}"/>
    <cellStyle name="Bracket $'000 total 3 4 4 3" xfId="2237" xr:uid="{00000000-0005-0000-0000-00000D010000}"/>
    <cellStyle name="Bracket $'000 total 3 5" xfId="171" xr:uid="{00000000-0005-0000-0000-00000E010000}"/>
    <cellStyle name="Bracket $'000 total 3 5 2" xfId="1424" xr:uid="{00000000-0005-0000-0000-00000F010000}"/>
    <cellStyle name="Bracket $'000 total 3 5 2 2" xfId="1899" xr:uid="{00000000-0005-0000-0000-000010010000}"/>
    <cellStyle name="Bracket $'000 total 3 5 2 2 2" xfId="2260" xr:uid="{00000000-0005-0000-0000-000011010000}"/>
    <cellStyle name="Bracket $'000 total 3 5 2 3" xfId="1202" xr:uid="{00000000-0005-0000-0000-000012010000}"/>
    <cellStyle name="Bracket $'000 total 3 5 3" xfId="1216" xr:uid="{00000000-0005-0000-0000-000013010000}"/>
    <cellStyle name="Bracket $'000 total 3 5 3 2" xfId="2675" xr:uid="{00000000-0005-0000-0000-000014010000}"/>
    <cellStyle name="Bracket $'000 total 3 5 4" xfId="1801" xr:uid="{00000000-0005-0000-0000-000015010000}"/>
    <cellStyle name="Bracket $'000 total 3 5 4 2" xfId="2567" xr:uid="{00000000-0005-0000-0000-000016010000}"/>
    <cellStyle name="Bracket $'000 total 3 5 4 3" xfId="2369" xr:uid="{00000000-0005-0000-0000-000017010000}"/>
    <cellStyle name="Bracket $'000 total 3 6" xfId="172" xr:uid="{00000000-0005-0000-0000-000018010000}"/>
    <cellStyle name="Bracket $'000 total 3 6 2" xfId="1425" xr:uid="{00000000-0005-0000-0000-000019010000}"/>
    <cellStyle name="Bracket $'000 total 3 6 2 2" xfId="1900" xr:uid="{00000000-0005-0000-0000-00001A010000}"/>
    <cellStyle name="Bracket $'000 total 3 6 2 2 2" xfId="2261" xr:uid="{00000000-0005-0000-0000-00001B010000}"/>
    <cellStyle name="Bracket $'000 total 3 6 2 3" xfId="2107" xr:uid="{00000000-0005-0000-0000-00001C010000}"/>
    <cellStyle name="Bracket $'000 total 3 6 3" xfId="1217" xr:uid="{00000000-0005-0000-0000-00001D010000}"/>
    <cellStyle name="Bracket $'000 total 3 6 3 2" xfId="1664" xr:uid="{00000000-0005-0000-0000-00001E010000}"/>
    <cellStyle name="Bracket $'000 total 3 6 4" xfId="1800" xr:uid="{00000000-0005-0000-0000-00001F010000}"/>
    <cellStyle name="Bracket $'000 total 3 6 4 2" xfId="2566" xr:uid="{00000000-0005-0000-0000-000020010000}"/>
    <cellStyle name="Bracket $'000 total 3 6 4 3" xfId="2596" xr:uid="{00000000-0005-0000-0000-000021010000}"/>
    <cellStyle name="Bracket $'000 total 3 7" xfId="1420" xr:uid="{00000000-0005-0000-0000-000022010000}"/>
    <cellStyle name="Bracket $'000 total 3 7 2" xfId="1895" xr:uid="{00000000-0005-0000-0000-000023010000}"/>
    <cellStyle name="Bracket $'000 total 3 7 2 2" xfId="2257" xr:uid="{00000000-0005-0000-0000-000024010000}"/>
    <cellStyle name="Bracket $'000 total 3 7 3" xfId="1280" xr:uid="{00000000-0005-0000-0000-000025010000}"/>
    <cellStyle name="Bracket $'000 total 3 8" xfId="1212" xr:uid="{00000000-0005-0000-0000-000026010000}"/>
    <cellStyle name="Bracket $'000 total 3 8 2" xfId="2484" xr:uid="{00000000-0005-0000-0000-000027010000}"/>
    <cellStyle name="Bracket $'000 total 3 9" xfId="1805" xr:uid="{00000000-0005-0000-0000-000028010000}"/>
    <cellStyle name="Bracket $'000 total 3 9 2" xfId="2571" xr:uid="{00000000-0005-0000-0000-000029010000}"/>
    <cellStyle name="Bracket $'000 total 3 9 3" xfId="2436" xr:uid="{00000000-0005-0000-0000-00002A010000}"/>
    <cellStyle name="Bracket $'000 total 3_Kosovo" xfId="173" xr:uid="{00000000-0005-0000-0000-00002B010000}"/>
    <cellStyle name="Bracket $'000 total 4" xfId="174" xr:uid="{00000000-0005-0000-0000-00002C010000}"/>
    <cellStyle name="Bracket $'000 total 4 2" xfId="175" xr:uid="{00000000-0005-0000-0000-00002D010000}"/>
    <cellStyle name="Bracket $'000 total 4 2 2" xfId="1427" xr:uid="{00000000-0005-0000-0000-00002E010000}"/>
    <cellStyle name="Bracket $'000 total 4 2 2 2" xfId="1902" xr:uid="{00000000-0005-0000-0000-00002F010000}"/>
    <cellStyle name="Bracket $'000 total 4 2 2 2 2" xfId="2263" xr:uid="{00000000-0005-0000-0000-000030010000}"/>
    <cellStyle name="Bracket $'000 total 4 2 2 3" xfId="2656" xr:uid="{00000000-0005-0000-0000-000031010000}"/>
    <cellStyle name="Bracket $'000 total 4 2 3" xfId="1219" xr:uid="{00000000-0005-0000-0000-000032010000}"/>
    <cellStyle name="Bracket $'000 total 4 2 3 2" xfId="2483" xr:uid="{00000000-0005-0000-0000-000033010000}"/>
    <cellStyle name="Bracket $'000 total 4 2 4" xfId="1798" xr:uid="{00000000-0005-0000-0000-000034010000}"/>
    <cellStyle name="Bracket $'000 total 4 2 4 2" xfId="2564" xr:uid="{00000000-0005-0000-0000-000035010000}"/>
    <cellStyle name="Bracket $'000 total 4 2 4 3" xfId="2236" xr:uid="{00000000-0005-0000-0000-000036010000}"/>
    <cellStyle name="Bracket $'000 total 4 3" xfId="176" xr:uid="{00000000-0005-0000-0000-000037010000}"/>
    <cellStyle name="Bracket $'000 total 4 3 2" xfId="1428" xr:uid="{00000000-0005-0000-0000-000038010000}"/>
    <cellStyle name="Bracket $'000 total 4 3 2 2" xfId="1903" xr:uid="{00000000-0005-0000-0000-000039010000}"/>
    <cellStyle name="Bracket $'000 total 4 3 2 2 2" xfId="2264" xr:uid="{00000000-0005-0000-0000-00003A010000}"/>
    <cellStyle name="Bracket $'000 total 4 3 2 3" xfId="1386" xr:uid="{00000000-0005-0000-0000-00003B010000}"/>
    <cellStyle name="Bracket $'000 total 4 3 3" xfId="1220" xr:uid="{00000000-0005-0000-0000-00003C010000}"/>
    <cellStyle name="Bracket $'000 total 4 3 3 2" xfId="2673" xr:uid="{00000000-0005-0000-0000-00003D010000}"/>
    <cellStyle name="Bracket $'000 total 4 3 4" xfId="1797" xr:uid="{00000000-0005-0000-0000-00003E010000}"/>
    <cellStyle name="Bracket $'000 total 4 3 4 2" xfId="2563" xr:uid="{00000000-0005-0000-0000-00003F010000}"/>
    <cellStyle name="Bracket $'000 total 4 3 4 3" xfId="2417" xr:uid="{00000000-0005-0000-0000-000040010000}"/>
    <cellStyle name="Bracket $'000 total 4 4" xfId="177" xr:uid="{00000000-0005-0000-0000-000041010000}"/>
    <cellStyle name="Bracket $'000 total 4 4 2" xfId="1429" xr:uid="{00000000-0005-0000-0000-000042010000}"/>
    <cellStyle name="Bracket $'000 total 4 4 2 2" xfId="1904" xr:uid="{00000000-0005-0000-0000-000043010000}"/>
    <cellStyle name="Bracket $'000 total 4 4 2 2 2" xfId="2265" xr:uid="{00000000-0005-0000-0000-000044010000}"/>
    <cellStyle name="Bracket $'000 total 4 4 2 3" xfId="1674" xr:uid="{00000000-0005-0000-0000-000045010000}"/>
    <cellStyle name="Bracket $'000 total 4 4 3" xfId="1221" xr:uid="{00000000-0005-0000-0000-000046010000}"/>
    <cellStyle name="Bracket $'000 total 4 4 3 2" xfId="1378" xr:uid="{00000000-0005-0000-0000-000047010000}"/>
    <cellStyle name="Bracket $'000 total 4 4 4" xfId="1796" xr:uid="{00000000-0005-0000-0000-000048010000}"/>
    <cellStyle name="Bracket $'000 total 4 4 4 2" xfId="2562" xr:uid="{00000000-0005-0000-0000-000049010000}"/>
    <cellStyle name="Bracket $'000 total 4 4 4 3" xfId="2597" xr:uid="{00000000-0005-0000-0000-00004A010000}"/>
    <cellStyle name="Bracket $'000 total 4 5" xfId="178" xr:uid="{00000000-0005-0000-0000-00004B010000}"/>
    <cellStyle name="Bracket $'000 total 4 5 2" xfId="1430" xr:uid="{00000000-0005-0000-0000-00004C010000}"/>
    <cellStyle name="Bracket $'000 total 4 5 2 2" xfId="1905" xr:uid="{00000000-0005-0000-0000-00004D010000}"/>
    <cellStyle name="Bracket $'000 total 4 5 2 2 2" xfId="2266" xr:uid="{00000000-0005-0000-0000-00004E010000}"/>
    <cellStyle name="Bracket $'000 total 4 5 2 3" xfId="2505" xr:uid="{00000000-0005-0000-0000-00004F010000}"/>
    <cellStyle name="Bracket $'000 total 4 5 3" xfId="1222" xr:uid="{00000000-0005-0000-0000-000050010000}"/>
    <cellStyle name="Bracket $'000 total 4 5 3 2" xfId="2582" xr:uid="{00000000-0005-0000-0000-000051010000}"/>
    <cellStyle name="Bracket $'000 total 4 5 4" xfId="1795" xr:uid="{00000000-0005-0000-0000-000052010000}"/>
    <cellStyle name="Bracket $'000 total 4 5 4 2" xfId="2561" xr:uid="{00000000-0005-0000-0000-000053010000}"/>
    <cellStyle name="Bracket $'000 total 4 5 4 3" xfId="2388" xr:uid="{00000000-0005-0000-0000-000054010000}"/>
    <cellStyle name="Bracket $'000 total 4 6" xfId="1426" xr:uid="{00000000-0005-0000-0000-000055010000}"/>
    <cellStyle name="Bracket $'000 total 4 6 2" xfId="1901" xr:uid="{00000000-0005-0000-0000-000056010000}"/>
    <cellStyle name="Bracket $'000 total 4 6 2 2" xfId="2262" xr:uid="{00000000-0005-0000-0000-000057010000}"/>
    <cellStyle name="Bracket $'000 total 4 6 3" xfId="2501" xr:uid="{00000000-0005-0000-0000-000058010000}"/>
    <cellStyle name="Bracket $'000 total 4 7" xfId="1218" xr:uid="{00000000-0005-0000-0000-000059010000}"/>
    <cellStyle name="Bracket $'000 total 4 7 2" xfId="1394" xr:uid="{00000000-0005-0000-0000-00005A010000}"/>
    <cellStyle name="Bracket $'000 total 4 8" xfId="1799" xr:uid="{00000000-0005-0000-0000-00005B010000}"/>
    <cellStyle name="Bracket $'000 total 4 8 2" xfId="2565" xr:uid="{00000000-0005-0000-0000-00005C010000}"/>
    <cellStyle name="Bracket $'000 total 4 8 3" xfId="1390" xr:uid="{00000000-0005-0000-0000-00005D010000}"/>
    <cellStyle name="Bracket $'000 total 4_Kosovo" xfId="179" xr:uid="{00000000-0005-0000-0000-00005E010000}"/>
    <cellStyle name="Bracket $'000 total 5" xfId="180" xr:uid="{00000000-0005-0000-0000-00005F010000}"/>
    <cellStyle name="Bracket $'000 total 5 2" xfId="181" xr:uid="{00000000-0005-0000-0000-000060010000}"/>
    <cellStyle name="Bracket $'000 total 5 2 2" xfId="1432" xr:uid="{00000000-0005-0000-0000-000061010000}"/>
    <cellStyle name="Bracket $'000 total 5 2 2 2" xfId="1907" xr:uid="{00000000-0005-0000-0000-000062010000}"/>
    <cellStyle name="Bracket $'000 total 5 2 2 2 2" xfId="2268" xr:uid="{00000000-0005-0000-0000-000063010000}"/>
    <cellStyle name="Bracket $'000 total 5 2 2 3" xfId="1408" xr:uid="{00000000-0005-0000-0000-000064010000}"/>
    <cellStyle name="Bracket $'000 total 5 2 3" xfId="1224" xr:uid="{00000000-0005-0000-0000-000065010000}"/>
    <cellStyle name="Bracket $'000 total 5 2 3 2" xfId="1852" xr:uid="{00000000-0005-0000-0000-000066010000}"/>
    <cellStyle name="Bracket $'000 total 5 2 4" xfId="1793" xr:uid="{00000000-0005-0000-0000-000067010000}"/>
    <cellStyle name="Bracket $'000 total 5 2 4 2" xfId="2559" xr:uid="{00000000-0005-0000-0000-000068010000}"/>
    <cellStyle name="Bracket $'000 total 5 2 4 3" xfId="2134" xr:uid="{00000000-0005-0000-0000-000069010000}"/>
    <cellStyle name="Bracket $'000 total 5 3" xfId="182" xr:uid="{00000000-0005-0000-0000-00006A010000}"/>
    <cellStyle name="Bracket $'000 total 5 3 2" xfId="1433" xr:uid="{00000000-0005-0000-0000-00006B010000}"/>
    <cellStyle name="Bracket $'000 total 5 3 2 2" xfId="1908" xr:uid="{00000000-0005-0000-0000-00006C010000}"/>
    <cellStyle name="Bracket $'000 total 5 3 2 2 2" xfId="2269" xr:uid="{00000000-0005-0000-0000-00006D010000}"/>
    <cellStyle name="Bracket $'000 total 5 3 2 3" xfId="2502" xr:uid="{00000000-0005-0000-0000-00006E010000}"/>
    <cellStyle name="Bracket $'000 total 5 3 3" xfId="1225" xr:uid="{00000000-0005-0000-0000-00006F010000}"/>
    <cellStyle name="Bracket $'000 total 5 3 3 2" xfId="2113" xr:uid="{00000000-0005-0000-0000-000070010000}"/>
    <cellStyle name="Bracket $'000 total 5 3 4" xfId="1792" xr:uid="{00000000-0005-0000-0000-000071010000}"/>
    <cellStyle name="Bracket $'000 total 5 3 4 2" xfId="2558" xr:uid="{00000000-0005-0000-0000-000072010000}"/>
    <cellStyle name="Bracket $'000 total 5 3 4 3" xfId="2598" xr:uid="{00000000-0005-0000-0000-000073010000}"/>
    <cellStyle name="Bracket $'000 total 5 4" xfId="183" xr:uid="{00000000-0005-0000-0000-000074010000}"/>
    <cellStyle name="Bracket $'000 total 5 4 2" xfId="1434" xr:uid="{00000000-0005-0000-0000-000075010000}"/>
    <cellStyle name="Bracket $'000 total 5 4 2 2" xfId="1909" xr:uid="{00000000-0005-0000-0000-000076010000}"/>
    <cellStyle name="Bracket $'000 total 5 4 2 2 2" xfId="2270" xr:uid="{00000000-0005-0000-0000-000077010000}"/>
    <cellStyle name="Bracket $'000 total 5 4 2 3" xfId="2655" xr:uid="{00000000-0005-0000-0000-000078010000}"/>
    <cellStyle name="Bracket $'000 total 5 4 3" xfId="1226" xr:uid="{00000000-0005-0000-0000-000079010000}"/>
    <cellStyle name="Bracket $'000 total 5 4 3 2" xfId="2177" xr:uid="{00000000-0005-0000-0000-00007A010000}"/>
    <cellStyle name="Bracket $'000 total 5 4 4" xfId="1791" xr:uid="{00000000-0005-0000-0000-00007B010000}"/>
    <cellStyle name="Bracket $'000 total 5 4 4 2" xfId="2557" xr:uid="{00000000-0005-0000-0000-00007C010000}"/>
    <cellStyle name="Bracket $'000 total 5 4 4 3" xfId="2433" xr:uid="{00000000-0005-0000-0000-00007D010000}"/>
    <cellStyle name="Bracket $'000 total 5 5" xfId="184" xr:uid="{00000000-0005-0000-0000-00007E010000}"/>
    <cellStyle name="Bracket $'000 total 5 5 2" xfId="1435" xr:uid="{00000000-0005-0000-0000-00007F010000}"/>
    <cellStyle name="Bracket $'000 total 5 5 2 2" xfId="1910" xr:uid="{00000000-0005-0000-0000-000080010000}"/>
    <cellStyle name="Bracket $'000 total 5 5 2 2 2" xfId="2271" xr:uid="{00000000-0005-0000-0000-000081010000}"/>
    <cellStyle name="Bracket $'000 total 5 5 2 3" xfId="1383" xr:uid="{00000000-0005-0000-0000-000082010000}"/>
    <cellStyle name="Bracket $'000 total 5 5 3" xfId="1227" xr:uid="{00000000-0005-0000-0000-000083010000}"/>
    <cellStyle name="Bracket $'000 total 5 5 3 2" xfId="2105" xr:uid="{00000000-0005-0000-0000-000084010000}"/>
    <cellStyle name="Bracket $'000 total 5 5 4" xfId="1790" xr:uid="{00000000-0005-0000-0000-000085010000}"/>
    <cellStyle name="Bracket $'000 total 5 5 4 2" xfId="2556" xr:uid="{00000000-0005-0000-0000-000086010000}"/>
    <cellStyle name="Bracket $'000 total 5 5 4 3" xfId="2234" xr:uid="{00000000-0005-0000-0000-000087010000}"/>
    <cellStyle name="Bracket $'000 total 5 6" xfId="1431" xr:uid="{00000000-0005-0000-0000-000088010000}"/>
    <cellStyle name="Bracket $'000 total 5 6 2" xfId="1906" xr:uid="{00000000-0005-0000-0000-000089010000}"/>
    <cellStyle name="Bracket $'000 total 5 6 2 2" xfId="2267" xr:uid="{00000000-0005-0000-0000-00008A010000}"/>
    <cellStyle name="Bracket $'000 total 5 6 3" xfId="2652" xr:uid="{00000000-0005-0000-0000-00008B010000}"/>
    <cellStyle name="Bracket $'000 total 5 7" xfId="1223" xr:uid="{00000000-0005-0000-0000-00008C010000}"/>
    <cellStyle name="Bracket $'000 total 5 7 2" xfId="2674" xr:uid="{00000000-0005-0000-0000-00008D010000}"/>
    <cellStyle name="Bracket $'000 total 5 8" xfId="1794" xr:uid="{00000000-0005-0000-0000-00008E010000}"/>
    <cellStyle name="Bracket $'000 total 5 8 2" xfId="2560" xr:uid="{00000000-0005-0000-0000-00008F010000}"/>
    <cellStyle name="Bracket $'000 total 5 8 3" xfId="2235" xr:uid="{00000000-0005-0000-0000-000090010000}"/>
    <cellStyle name="Bracket $'000 total 5_Kosovo" xfId="185" xr:uid="{00000000-0005-0000-0000-000091010000}"/>
    <cellStyle name="Bracket $'000 total 6" xfId="186" xr:uid="{00000000-0005-0000-0000-000092010000}"/>
    <cellStyle name="Bracket $'000 total 6 2" xfId="187" xr:uid="{00000000-0005-0000-0000-000093010000}"/>
    <cellStyle name="Bracket $'000 total 6 2 2" xfId="1437" xr:uid="{00000000-0005-0000-0000-000094010000}"/>
    <cellStyle name="Bracket $'000 total 6 2 2 2" xfId="1912" xr:uid="{00000000-0005-0000-0000-000095010000}"/>
    <cellStyle name="Bracket $'000 total 6 2 2 2 2" xfId="2273" xr:uid="{00000000-0005-0000-0000-000096010000}"/>
    <cellStyle name="Bracket $'000 total 6 2 2 3" xfId="2504" xr:uid="{00000000-0005-0000-0000-000097010000}"/>
    <cellStyle name="Bracket $'000 total 6 2 3" xfId="1229" xr:uid="{00000000-0005-0000-0000-000098010000}"/>
    <cellStyle name="Bracket $'000 total 6 2 3 2" xfId="2668" xr:uid="{00000000-0005-0000-0000-000099010000}"/>
    <cellStyle name="Bracket $'000 total 6 2 4" xfId="1788" xr:uid="{00000000-0005-0000-0000-00009A010000}"/>
    <cellStyle name="Bracket $'000 total 6 2 4 2" xfId="2554" xr:uid="{00000000-0005-0000-0000-00009B010000}"/>
    <cellStyle name="Bracket $'000 total 6 2 4 3" xfId="2599" xr:uid="{00000000-0005-0000-0000-00009C010000}"/>
    <cellStyle name="Bracket $'000 total 6 3" xfId="188" xr:uid="{00000000-0005-0000-0000-00009D010000}"/>
    <cellStyle name="Bracket $'000 total 6 3 2" xfId="1438" xr:uid="{00000000-0005-0000-0000-00009E010000}"/>
    <cellStyle name="Bracket $'000 total 6 3 2 2" xfId="1913" xr:uid="{00000000-0005-0000-0000-00009F010000}"/>
    <cellStyle name="Bracket $'000 total 6 3 2 2 2" xfId="2274" xr:uid="{00000000-0005-0000-0000-0000A0010000}"/>
    <cellStyle name="Bracket $'000 total 6 3 2 3" xfId="2653" xr:uid="{00000000-0005-0000-0000-0000A1010000}"/>
    <cellStyle name="Bracket $'000 total 6 3 3" xfId="1230" xr:uid="{00000000-0005-0000-0000-0000A2010000}"/>
    <cellStyle name="Bracket $'000 total 6 3 3 2" xfId="1381" xr:uid="{00000000-0005-0000-0000-0000A3010000}"/>
    <cellStyle name="Bracket $'000 total 6 3 4" xfId="1787" xr:uid="{00000000-0005-0000-0000-0000A4010000}"/>
    <cellStyle name="Bracket $'000 total 6 3 4 2" xfId="2553" xr:uid="{00000000-0005-0000-0000-0000A5010000}"/>
    <cellStyle name="Bracket $'000 total 6 3 4 3" xfId="2163" xr:uid="{00000000-0005-0000-0000-0000A6010000}"/>
    <cellStyle name="Bracket $'000 total 6 4" xfId="189" xr:uid="{00000000-0005-0000-0000-0000A7010000}"/>
    <cellStyle name="Bracket $'000 total 6 4 2" xfId="1439" xr:uid="{00000000-0005-0000-0000-0000A8010000}"/>
    <cellStyle name="Bracket $'000 total 6 4 2 2" xfId="1914" xr:uid="{00000000-0005-0000-0000-0000A9010000}"/>
    <cellStyle name="Bracket $'000 total 6 4 2 2 2" xfId="2275" xr:uid="{00000000-0005-0000-0000-0000AA010000}"/>
    <cellStyle name="Bracket $'000 total 6 4 2 3" xfId="1399" xr:uid="{00000000-0005-0000-0000-0000AB010000}"/>
    <cellStyle name="Bracket $'000 total 6 4 3" xfId="1231" xr:uid="{00000000-0005-0000-0000-0000AC010000}"/>
    <cellStyle name="Bracket $'000 total 6 4 3 2" xfId="2485" xr:uid="{00000000-0005-0000-0000-0000AD010000}"/>
    <cellStyle name="Bracket $'000 total 6 4 4" xfId="1786" xr:uid="{00000000-0005-0000-0000-0000AE010000}"/>
    <cellStyle name="Bracket $'000 total 6 4 4 2" xfId="2552" xr:uid="{00000000-0005-0000-0000-0000AF010000}"/>
    <cellStyle name="Bracket $'000 total 6 4 4 3" xfId="2233" xr:uid="{00000000-0005-0000-0000-0000B0010000}"/>
    <cellStyle name="Bracket $'000 total 6 5" xfId="190" xr:uid="{00000000-0005-0000-0000-0000B1010000}"/>
    <cellStyle name="Bracket $'000 total 6 5 2" xfId="1440" xr:uid="{00000000-0005-0000-0000-0000B2010000}"/>
    <cellStyle name="Bracket $'000 total 6 5 2 2" xfId="1915" xr:uid="{00000000-0005-0000-0000-0000B3010000}"/>
    <cellStyle name="Bracket $'000 total 6 5 2 2 2" xfId="2276" xr:uid="{00000000-0005-0000-0000-0000B4010000}"/>
    <cellStyle name="Bracket $'000 total 6 5 2 3" xfId="2503" xr:uid="{00000000-0005-0000-0000-0000B5010000}"/>
    <cellStyle name="Bracket $'000 total 6 5 3" xfId="1232" xr:uid="{00000000-0005-0000-0000-0000B6010000}"/>
    <cellStyle name="Bracket $'000 total 6 5 3 2" xfId="2671" xr:uid="{00000000-0005-0000-0000-0000B7010000}"/>
    <cellStyle name="Bracket $'000 total 6 5 4" xfId="1785" xr:uid="{00000000-0005-0000-0000-0000B8010000}"/>
    <cellStyle name="Bracket $'000 total 6 5 4 2" xfId="2551" xr:uid="{00000000-0005-0000-0000-0000B9010000}"/>
    <cellStyle name="Bracket $'000 total 6 5 4 3" xfId="2416" xr:uid="{00000000-0005-0000-0000-0000BA010000}"/>
    <cellStyle name="Bracket $'000 total 6 6" xfId="1436" xr:uid="{00000000-0005-0000-0000-0000BB010000}"/>
    <cellStyle name="Bracket $'000 total 6 6 2" xfId="1911" xr:uid="{00000000-0005-0000-0000-0000BC010000}"/>
    <cellStyle name="Bracket $'000 total 6 6 2 2" xfId="2272" xr:uid="{00000000-0005-0000-0000-0000BD010000}"/>
    <cellStyle name="Bracket $'000 total 6 6 3" xfId="1204" xr:uid="{00000000-0005-0000-0000-0000BE010000}"/>
    <cellStyle name="Bracket $'000 total 6 7" xfId="1228" xr:uid="{00000000-0005-0000-0000-0000BF010000}"/>
    <cellStyle name="Bracket $'000 total 6 7 2" xfId="2488" xr:uid="{00000000-0005-0000-0000-0000C0010000}"/>
    <cellStyle name="Bracket $'000 total 6 8" xfId="1789" xr:uid="{00000000-0005-0000-0000-0000C1010000}"/>
    <cellStyle name="Bracket $'000 total 6 8 2" xfId="2555" xr:uid="{00000000-0005-0000-0000-0000C2010000}"/>
    <cellStyle name="Bracket $'000 total 6 8 3" xfId="2368" xr:uid="{00000000-0005-0000-0000-0000C3010000}"/>
    <cellStyle name="Bracket $'000 total 6_Kosovo" xfId="191" xr:uid="{00000000-0005-0000-0000-0000C4010000}"/>
    <cellStyle name="Bracket $'000 total 7" xfId="1413" xr:uid="{00000000-0005-0000-0000-0000C5010000}"/>
    <cellStyle name="Bracket $'000 total 7 2" xfId="1888" xr:uid="{00000000-0005-0000-0000-0000C6010000}"/>
    <cellStyle name="Bracket $'000 total 7 2 2" xfId="2251" xr:uid="{00000000-0005-0000-0000-0000C7010000}"/>
    <cellStyle name="Bracket $'000 total 7 3" xfId="2171" xr:uid="{00000000-0005-0000-0000-0000C8010000}"/>
    <cellStyle name="Bracket $'000 total 8" xfId="1205" xr:uid="{00000000-0005-0000-0000-0000C9010000}"/>
    <cellStyle name="Bracket $'000 total 8 2" xfId="2677" xr:uid="{00000000-0005-0000-0000-0000CA010000}"/>
    <cellStyle name="Bracket $'000 total 9" xfId="1812" xr:uid="{00000000-0005-0000-0000-0000CB010000}"/>
    <cellStyle name="Bracket $'000 total 9 2" xfId="2578" xr:uid="{00000000-0005-0000-0000-0000CC010000}"/>
    <cellStyle name="Bracket $'000 total 9 3" xfId="1374" xr:uid="{00000000-0005-0000-0000-0000CD010000}"/>
    <cellStyle name="Bracket $'000 total_Kosovo" xfId="192" xr:uid="{00000000-0005-0000-0000-0000CE010000}"/>
    <cellStyle name="Bracket 0 Decimal calc" xfId="193" xr:uid="{00000000-0005-0000-0000-0000CF010000}"/>
    <cellStyle name="Bracket 0 Decimal Input" xfId="194" xr:uid="{00000000-0005-0000-0000-0000D0010000}"/>
    <cellStyle name="Bracket 0 Decimal Total" xfId="195" xr:uid="{00000000-0005-0000-0000-0000D1010000}"/>
    <cellStyle name="Bracket 0 Decimal Total 2" xfId="196" xr:uid="{00000000-0005-0000-0000-0000D2010000}"/>
    <cellStyle name="Bracket 0 Decimal Total 2 2" xfId="197" xr:uid="{00000000-0005-0000-0000-0000D3010000}"/>
    <cellStyle name="Bracket 0 Decimal Total 2 2 2" xfId="1443" xr:uid="{00000000-0005-0000-0000-0000D4010000}"/>
    <cellStyle name="Bracket 0 Decimal Total 2 2 2 2" xfId="1918" xr:uid="{00000000-0005-0000-0000-0000D5010000}"/>
    <cellStyle name="Bracket 0 Decimal Total 2 2 2 2 2" xfId="2279" xr:uid="{00000000-0005-0000-0000-0000D6010000}"/>
    <cellStyle name="Bracket 0 Decimal Total 2 2 2 3" xfId="2114" xr:uid="{00000000-0005-0000-0000-0000D7010000}"/>
    <cellStyle name="Bracket 0 Decimal Total 2 2 3" xfId="1236" xr:uid="{00000000-0005-0000-0000-0000D8010000}"/>
    <cellStyle name="Bracket 0 Decimal Total 2 2 3 2" xfId="2487" xr:uid="{00000000-0005-0000-0000-0000D9010000}"/>
    <cellStyle name="Bracket 0 Decimal Total 2 2 4" xfId="1782" xr:uid="{00000000-0005-0000-0000-0000DA010000}"/>
    <cellStyle name="Bracket 0 Decimal Total 2 2 4 2" xfId="2548" xr:uid="{00000000-0005-0000-0000-0000DB010000}"/>
    <cellStyle name="Bracket 0 Decimal Total 2 2 4 3" xfId="2182" xr:uid="{00000000-0005-0000-0000-0000DC010000}"/>
    <cellStyle name="Bracket 0 Decimal Total 2 3" xfId="198" xr:uid="{00000000-0005-0000-0000-0000DD010000}"/>
    <cellStyle name="Bracket 0 Decimal Total 2 3 2" xfId="1444" xr:uid="{00000000-0005-0000-0000-0000DE010000}"/>
    <cellStyle name="Bracket 0 Decimal Total 2 3 2 2" xfId="1919" xr:uid="{00000000-0005-0000-0000-0000DF010000}"/>
    <cellStyle name="Bracket 0 Decimal Total 2 3 2 2 2" xfId="2280" xr:uid="{00000000-0005-0000-0000-0000E0010000}"/>
    <cellStyle name="Bracket 0 Decimal Total 2 3 2 3" xfId="2178" xr:uid="{00000000-0005-0000-0000-0000E1010000}"/>
    <cellStyle name="Bracket 0 Decimal Total 2 3 3" xfId="1237" xr:uid="{00000000-0005-0000-0000-0000E2010000}"/>
    <cellStyle name="Bracket 0 Decimal Total 2 3 3 2" xfId="2669" xr:uid="{00000000-0005-0000-0000-0000E3010000}"/>
    <cellStyle name="Bracket 0 Decimal Total 2 3 4" xfId="1781" xr:uid="{00000000-0005-0000-0000-0000E4010000}"/>
    <cellStyle name="Bracket 0 Decimal Total 2 3 4 2" xfId="2547" xr:uid="{00000000-0005-0000-0000-0000E5010000}"/>
    <cellStyle name="Bracket 0 Decimal Total 2 3 4 3" xfId="2595" xr:uid="{00000000-0005-0000-0000-0000E6010000}"/>
    <cellStyle name="Bracket 0 Decimal Total 2 4" xfId="199" xr:uid="{00000000-0005-0000-0000-0000E7010000}"/>
    <cellStyle name="Bracket 0 Decimal Total 2 4 2" xfId="1445" xr:uid="{00000000-0005-0000-0000-0000E8010000}"/>
    <cellStyle name="Bracket 0 Decimal Total 2 4 2 2" xfId="1920" xr:uid="{00000000-0005-0000-0000-0000E9010000}"/>
    <cellStyle name="Bracket 0 Decimal Total 2 4 2 2 2" xfId="2281" xr:uid="{00000000-0005-0000-0000-0000EA010000}"/>
    <cellStyle name="Bracket 0 Decimal Total 2 4 2 3" xfId="2130" xr:uid="{00000000-0005-0000-0000-0000EB010000}"/>
    <cellStyle name="Bracket 0 Decimal Total 2 4 3" xfId="1238" xr:uid="{00000000-0005-0000-0000-0000EC010000}"/>
    <cellStyle name="Bracket 0 Decimal Total 2 4 3 2" xfId="1274" xr:uid="{00000000-0005-0000-0000-0000ED010000}"/>
    <cellStyle name="Bracket 0 Decimal Total 2 4 4" xfId="1780" xr:uid="{00000000-0005-0000-0000-0000EE010000}"/>
    <cellStyle name="Bracket 0 Decimal Total 2 4 4 2" xfId="2546" xr:uid="{00000000-0005-0000-0000-0000EF010000}"/>
    <cellStyle name="Bracket 0 Decimal Total 2 4 4 3" xfId="2434" xr:uid="{00000000-0005-0000-0000-0000F0010000}"/>
    <cellStyle name="Bracket 0 Decimal Total 2 5" xfId="200" xr:uid="{00000000-0005-0000-0000-0000F1010000}"/>
    <cellStyle name="Bracket 0 Decimal Total 2 5 2" xfId="1446" xr:uid="{00000000-0005-0000-0000-0000F2010000}"/>
    <cellStyle name="Bracket 0 Decimal Total 2 5 2 2" xfId="1921" xr:uid="{00000000-0005-0000-0000-0000F3010000}"/>
    <cellStyle name="Bracket 0 Decimal Total 2 5 2 2 2" xfId="2282" xr:uid="{00000000-0005-0000-0000-0000F4010000}"/>
    <cellStyle name="Bracket 0 Decimal Total 2 5 2 3" xfId="2506" xr:uid="{00000000-0005-0000-0000-0000F5010000}"/>
    <cellStyle name="Bracket 0 Decimal Total 2 5 3" xfId="1239" xr:uid="{00000000-0005-0000-0000-0000F6010000}"/>
    <cellStyle name="Bracket 0 Decimal Total 2 5 3 2" xfId="2486" xr:uid="{00000000-0005-0000-0000-0000F7010000}"/>
    <cellStyle name="Bracket 0 Decimal Total 2 5 4" xfId="1779" xr:uid="{00000000-0005-0000-0000-0000F8010000}"/>
    <cellStyle name="Bracket 0 Decimal Total 2 5 4 2" xfId="2545" xr:uid="{00000000-0005-0000-0000-0000F9010000}"/>
    <cellStyle name="Bracket 0 Decimal Total 2 5 4 3" xfId="2232" xr:uid="{00000000-0005-0000-0000-0000FA010000}"/>
    <cellStyle name="Bracket 0 Decimal Total 2 6" xfId="201" xr:uid="{00000000-0005-0000-0000-0000FB010000}"/>
    <cellStyle name="Bracket 0 Decimal Total 2 6 2" xfId="1447" xr:uid="{00000000-0005-0000-0000-0000FC010000}"/>
    <cellStyle name="Bracket 0 Decimal Total 2 6 2 2" xfId="1922" xr:uid="{00000000-0005-0000-0000-0000FD010000}"/>
    <cellStyle name="Bracket 0 Decimal Total 2 6 2 2 2" xfId="2283" xr:uid="{00000000-0005-0000-0000-0000FE010000}"/>
    <cellStyle name="Bracket 0 Decimal Total 2 6 2 3" xfId="2651" xr:uid="{00000000-0005-0000-0000-0000FF010000}"/>
    <cellStyle name="Bracket 0 Decimal Total 2 6 3" xfId="1240" xr:uid="{00000000-0005-0000-0000-000000020000}"/>
    <cellStyle name="Bracket 0 Decimal Total 2 6 3 2" xfId="2670" xr:uid="{00000000-0005-0000-0000-000001020000}"/>
    <cellStyle name="Bracket 0 Decimal Total 2 6 4" xfId="1778" xr:uid="{00000000-0005-0000-0000-000002020000}"/>
    <cellStyle name="Bracket 0 Decimal Total 2 6 4 2" xfId="2544" xr:uid="{00000000-0005-0000-0000-000003020000}"/>
    <cellStyle name="Bracket 0 Decimal Total 2 6 4 3" xfId="2231" xr:uid="{00000000-0005-0000-0000-000004020000}"/>
    <cellStyle name="Bracket 0 Decimal Total 2 7" xfId="1442" xr:uid="{00000000-0005-0000-0000-000005020000}"/>
    <cellStyle name="Bracket 0 Decimal Total 2 7 2" xfId="1917" xr:uid="{00000000-0005-0000-0000-000006020000}"/>
    <cellStyle name="Bracket 0 Decimal Total 2 7 2 2" xfId="2278" xr:uid="{00000000-0005-0000-0000-000007020000}"/>
    <cellStyle name="Bracket 0 Decimal Total 2 7 3" xfId="1281" xr:uid="{00000000-0005-0000-0000-000008020000}"/>
    <cellStyle name="Bracket 0 Decimal Total 2 8" xfId="1235" xr:uid="{00000000-0005-0000-0000-000009020000}"/>
    <cellStyle name="Bracket 0 Decimal Total 2 8 2" xfId="1688" xr:uid="{00000000-0005-0000-0000-00000A020000}"/>
    <cellStyle name="Bracket 0 Decimal Total 2 9" xfId="1783" xr:uid="{00000000-0005-0000-0000-00000B020000}"/>
    <cellStyle name="Bracket 0 Decimal Total 2 9 2" xfId="2549" xr:uid="{00000000-0005-0000-0000-00000C020000}"/>
    <cellStyle name="Bracket 0 Decimal Total 2 9 3" xfId="2154" xr:uid="{00000000-0005-0000-0000-00000D020000}"/>
    <cellStyle name="Bracket 0 Decimal Total 2_Kosovo" xfId="202" xr:uid="{00000000-0005-0000-0000-00000E020000}"/>
    <cellStyle name="Bracket 0 Decimal Total 3" xfId="203" xr:uid="{00000000-0005-0000-0000-00000F020000}"/>
    <cellStyle name="Bracket 0 Decimal Total 3 2" xfId="204" xr:uid="{00000000-0005-0000-0000-000010020000}"/>
    <cellStyle name="Bracket 0 Decimal Total 3 2 2" xfId="1449" xr:uid="{00000000-0005-0000-0000-000011020000}"/>
    <cellStyle name="Bracket 0 Decimal Total 3 2 2 2" xfId="1924" xr:uid="{00000000-0005-0000-0000-000012020000}"/>
    <cellStyle name="Bracket 0 Decimal Total 3 2 2 2 2" xfId="2285" xr:uid="{00000000-0005-0000-0000-000013020000}"/>
    <cellStyle name="Bracket 0 Decimal Total 3 2 2 3" xfId="2164" xr:uid="{00000000-0005-0000-0000-000014020000}"/>
    <cellStyle name="Bracket 0 Decimal Total 3 2 3" xfId="1242" xr:uid="{00000000-0005-0000-0000-000015020000}"/>
    <cellStyle name="Bracket 0 Decimal Total 3 2 3 2" xfId="1267" xr:uid="{00000000-0005-0000-0000-000016020000}"/>
    <cellStyle name="Bracket 0 Decimal Total 3 2 4" xfId="1776" xr:uid="{00000000-0005-0000-0000-000017020000}"/>
    <cellStyle name="Bracket 0 Decimal Total 3 2 4 2" xfId="2542" xr:uid="{00000000-0005-0000-0000-000018020000}"/>
    <cellStyle name="Bracket 0 Decimal Total 3 2 4 3" xfId="2367" xr:uid="{00000000-0005-0000-0000-000019020000}"/>
    <cellStyle name="Bracket 0 Decimal Total 3 3" xfId="205" xr:uid="{00000000-0005-0000-0000-00001A020000}"/>
    <cellStyle name="Bracket 0 Decimal Total 3 3 2" xfId="1450" xr:uid="{00000000-0005-0000-0000-00001B020000}"/>
    <cellStyle name="Bracket 0 Decimal Total 3 3 2 2" xfId="1925" xr:uid="{00000000-0005-0000-0000-00001C020000}"/>
    <cellStyle name="Bracket 0 Decimal Total 3 3 2 2 2" xfId="2286" xr:uid="{00000000-0005-0000-0000-00001D020000}"/>
    <cellStyle name="Bracket 0 Decimal Total 3 3 2 3" xfId="2507" xr:uid="{00000000-0005-0000-0000-00001E020000}"/>
    <cellStyle name="Bracket 0 Decimal Total 3 3 3" xfId="1243" xr:uid="{00000000-0005-0000-0000-00001F020000}"/>
    <cellStyle name="Bracket 0 Decimal Total 3 3 3 2" xfId="1263" xr:uid="{00000000-0005-0000-0000-000020020000}"/>
    <cellStyle name="Bracket 0 Decimal Total 3 3 4" xfId="1775" xr:uid="{00000000-0005-0000-0000-000021020000}"/>
    <cellStyle name="Bracket 0 Decimal Total 3 3 4 2" xfId="2541" xr:uid="{00000000-0005-0000-0000-000022020000}"/>
    <cellStyle name="Bracket 0 Decimal Total 3 3 4 3" xfId="2602" xr:uid="{00000000-0005-0000-0000-000023020000}"/>
    <cellStyle name="Bracket 0 Decimal Total 3 4" xfId="206" xr:uid="{00000000-0005-0000-0000-000024020000}"/>
    <cellStyle name="Bracket 0 Decimal Total 3 4 2" xfId="1451" xr:uid="{00000000-0005-0000-0000-000025020000}"/>
    <cellStyle name="Bracket 0 Decimal Total 3 4 2 2" xfId="1926" xr:uid="{00000000-0005-0000-0000-000026020000}"/>
    <cellStyle name="Bracket 0 Decimal Total 3 4 2 2 2" xfId="2287" xr:uid="{00000000-0005-0000-0000-000027020000}"/>
    <cellStyle name="Bracket 0 Decimal Total 3 4 2 3" xfId="2650" xr:uid="{00000000-0005-0000-0000-000028020000}"/>
    <cellStyle name="Bracket 0 Decimal Total 3 4 3" xfId="1244" xr:uid="{00000000-0005-0000-0000-000029020000}"/>
    <cellStyle name="Bracket 0 Decimal Total 3 4 3 2" xfId="1370" xr:uid="{00000000-0005-0000-0000-00002A020000}"/>
    <cellStyle name="Bracket 0 Decimal Total 3 4 4" xfId="1774" xr:uid="{00000000-0005-0000-0000-00002B020000}"/>
    <cellStyle name="Bracket 0 Decimal Total 3 4 4 2" xfId="2540" xr:uid="{00000000-0005-0000-0000-00002C020000}"/>
    <cellStyle name="Bracket 0 Decimal Total 3 4 4 3" xfId="2428" xr:uid="{00000000-0005-0000-0000-00002D020000}"/>
    <cellStyle name="Bracket 0 Decimal Total 3 5" xfId="207" xr:uid="{00000000-0005-0000-0000-00002E020000}"/>
    <cellStyle name="Bracket 0 Decimal Total 3 5 2" xfId="1452" xr:uid="{00000000-0005-0000-0000-00002F020000}"/>
    <cellStyle name="Bracket 0 Decimal Total 3 5 2 2" xfId="1927" xr:uid="{00000000-0005-0000-0000-000030020000}"/>
    <cellStyle name="Bracket 0 Decimal Total 3 5 2 2 2" xfId="2288" xr:uid="{00000000-0005-0000-0000-000031020000}"/>
    <cellStyle name="Bracket 0 Decimal Total 3 5 2 3" xfId="1400" xr:uid="{00000000-0005-0000-0000-000032020000}"/>
    <cellStyle name="Bracket 0 Decimal Total 3 5 3" xfId="1245" xr:uid="{00000000-0005-0000-0000-000033020000}"/>
    <cellStyle name="Bracket 0 Decimal Total 3 5 3 2" xfId="1371" xr:uid="{00000000-0005-0000-0000-000034020000}"/>
    <cellStyle name="Bracket 0 Decimal Total 3 5 4" xfId="1773" xr:uid="{00000000-0005-0000-0000-000035020000}"/>
    <cellStyle name="Bracket 0 Decimal Total 3 5 4 2" xfId="2539" xr:uid="{00000000-0005-0000-0000-000036020000}"/>
    <cellStyle name="Bracket 0 Decimal Total 3 5 4 3" xfId="2229" xr:uid="{00000000-0005-0000-0000-000037020000}"/>
    <cellStyle name="Bracket 0 Decimal Total 3 6" xfId="208" xr:uid="{00000000-0005-0000-0000-000038020000}"/>
    <cellStyle name="Bracket 0 Decimal Total 3 6 2" xfId="1453" xr:uid="{00000000-0005-0000-0000-000039020000}"/>
    <cellStyle name="Bracket 0 Decimal Total 3 6 2 2" xfId="1928" xr:uid="{00000000-0005-0000-0000-00003A020000}"/>
    <cellStyle name="Bracket 0 Decimal Total 3 6 2 2 2" xfId="2289" xr:uid="{00000000-0005-0000-0000-00003B020000}"/>
    <cellStyle name="Bracket 0 Decimal Total 3 6 2 3" xfId="2159" xr:uid="{00000000-0005-0000-0000-00003C020000}"/>
    <cellStyle name="Bracket 0 Decimal Total 3 6 3" xfId="1246" xr:uid="{00000000-0005-0000-0000-00003D020000}"/>
    <cellStyle name="Bracket 0 Decimal Total 3 6 3 2" xfId="2112" xr:uid="{00000000-0005-0000-0000-00003E020000}"/>
    <cellStyle name="Bracket 0 Decimal Total 3 6 4" xfId="1772" xr:uid="{00000000-0005-0000-0000-00003F020000}"/>
    <cellStyle name="Bracket 0 Decimal Total 3 6 4 2" xfId="2538" xr:uid="{00000000-0005-0000-0000-000040020000}"/>
    <cellStyle name="Bracket 0 Decimal Total 3 6 4 3" xfId="2415" xr:uid="{00000000-0005-0000-0000-000041020000}"/>
    <cellStyle name="Bracket 0 Decimal Total 3 7" xfId="1448" xr:uid="{00000000-0005-0000-0000-000042020000}"/>
    <cellStyle name="Bracket 0 Decimal Total 3 7 2" xfId="1923" xr:uid="{00000000-0005-0000-0000-000043020000}"/>
    <cellStyle name="Bracket 0 Decimal Total 3 7 2 2" xfId="2284" xr:uid="{00000000-0005-0000-0000-000044020000}"/>
    <cellStyle name="Bracket 0 Decimal Total 3 7 3" xfId="1282" xr:uid="{00000000-0005-0000-0000-000045020000}"/>
    <cellStyle name="Bracket 0 Decimal Total 3 8" xfId="1241" xr:uid="{00000000-0005-0000-0000-000046020000}"/>
    <cellStyle name="Bracket 0 Decimal Total 3 8 2" xfId="1273" xr:uid="{00000000-0005-0000-0000-000047020000}"/>
    <cellStyle name="Bracket 0 Decimal Total 3 9" xfId="1777" xr:uid="{00000000-0005-0000-0000-000048020000}"/>
    <cellStyle name="Bracket 0 Decimal Total 3 9 2" xfId="2543" xr:uid="{00000000-0005-0000-0000-000049020000}"/>
    <cellStyle name="Bracket 0 Decimal Total 3 9 3" xfId="2230" xr:uid="{00000000-0005-0000-0000-00004A020000}"/>
    <cellStyle name="Bracket 0 Decimal Total 3_Kosovo" xfId="209" xr:uid="{00000000-0005-0000-0000-00004B020000}"/>
    <cellStyle name="Bracket 0 Decimal Total 4" xfId="210" xr:uid="{00000000-0005-0000-0000-00004C020000}"/>
    <cellStyle name="Bracket 0 Decimal Total 4 2" xfId="211" xr:uid="{00000000-0005-0000-0000-00004D020000}"/>
    <cellStyle name="Bracket 0 Decimal Total 4 2 2" xfId="1455" xr:uid="{00000000-0005-0000-0000-00004E020000}"/>
    <cellStyle name="Bracket 0 Decimal Total 4 2 2 2" xfId="1930" xr:uid="{00000000-0005-0000-0000-00004F020000}"/>
    <cellStyle name="Bracket 0 Decimal Total 4 2 2 2 2" xfId="2291" xr:uid="{00000000-0005-0000-0000-000050020000}"/>
    <cellStyle name="Bracket 0 Decimal Total 4 2 2 3" xfId="2649" xr:uid="{00000000-0005-0000-0000-000051020000}"/>
    <cellStyle name="Bracket 0 Decimal Total 4 2 3" xfId="1248" xr:uid="{00000000-0005-0000-0000-000052020000}"/>
    <cellStyle name="Bracket 0 Decimal Total 4 2 3 2" xfId="2664" xr:uid="{00000000-0005-0000-0000-000053020000}"/>
    <cellStyle name="Bracket 0 Decimal Total 4 2 4" xfId="1770" xr:uid="{00000000-0005-0000-0000-000054020000}"/>
    <cellStyle name="Bracket 0 Decimal Total 4 2 4 2" xfId="2536" xr:uid="{00000000-0005-0000-0000-000055020000}"/>
    <cellStyle name="Bracket 0 Decimal Total 4 2 4 3" xfId="2387" xr:uid="{00000000-0005-0000-0000-000056020000}"/>
    <cellStyle name="Bracket 0 Decimal Total 4 3" xfId="212" xr:uid="{00000000-0005-0000-0000-000057020000}"/>
    <cellStyle name="Bracket 0 Decimal Total 4 3 2" xfId="1456" xr:uid="{00000000-0005-0000-0000-000058020000}"/>
    <cellStyle name="Bracket 0 Decimal Total 4 3 2 2" xfId="1931" xr:uid="{00000000-0005-0000-0000-000059020000}"/>
    <cellStyle name="Bracket 0 Decimal Total 4 3 2 2 2" xfId="2292" xr:uid="{00000000-0005-0000-0000-00005A020000}"/>
    <cellStyle name="Bracket 0 Decimal Total 4 3 2 3" xfId="1679" xr:uid="{00000000-0005-0000-0000-00005B020000}"/>
    <cellStyle name="Bracket 0 Decimal Total 4 3 3" xfId="1249" xr:uid="{00000000-0005-0000-0000-00005C020000}"/>
    <cellStyle name="Bracket 0 Decimal Total 4 3 3 2" xfId="1379" xr:uid="{00000000-0005-0000-0000-00005D020000}"/>
    <cellStyle name="Bracket 0 Decimal Total 4 3 4" xfId="1769" xr:uid="{00000000-0005-0000-0000-00005E020000}"/>
    <cellStyle name="Bracket 0 Decimal Total 4 3 4 2" xfId="2535" xr:uid="{00000000-0005-0000-0000-00005F020000}"/>
    <cellStyle name="Bracket 0 Decimal Total 4 3 4 3" xfId="2228" xr:uid="{00000000-0005-0000-0000-000060020000}"/>
    <cellStyle name="Bracket 0 Decimal Total 4 4" xfId="213" xr:uid="{00000000-0005-0000-0000-000061020000}"/>
    <cellStyle name="Bracket 0 Decimal Total 4 4 2" xfId="1457" xr:uid="{00000000-0005-0000-0000-000062020000}"/>
    <cellStyle name="Bracket 0 Decimal Total 4 4 2 2" xfId="1932" xr:uid="{00000000-0005-0000-0000-000063020000}"/>
    <cellStyle name="Bracket 0 Decimal Total 4 4 2 2 2" xfId="2293" xr:uid="{00000000-0005-0000-0000-000064020000}"/>
    <cellStyle name="Bracket 0 Decimal Total 4 4 2 3" xfId="2156" xr:uid="{00000000-0005-0000-0000-000065020000}"/>
    <cellStyle name="Bracket 0 Decimal Total 4 4 3" xfId="1250" xr:uid="{00000000-0005-0000-0000-000066020000}"/>
    <cellStyle name="Bracket 0 Decimal Total 4 4 3 2" xfId="2489" xr:uid="{00000000-0005-0000-0000-000067020000}"/>
    <cellStyle name="Bracket 0 Decimal Total 4 4 4" xfId="1768" xr:uid="{00000000-0005-0000-0000-000068020000}"/>
    <cellStyle name="Bracket 0 Decimal Total 4 4 4 2" xfId="2534" xr:uid="{00000000-0005-0000-0000-000069020000}"/>
    <cellStyle name="Bracket 0 Decimal Total 4 4 4 3" xfId="2119" xr:uid="{00000000-0005-0000-0000-00006A020000}"/>
    <cellStyle name="Bracket 0 Decimal Total 4 5" xfId="214" xr:uid="{00000000-0005-0000-0000-00006B020000}"/>
    <cellStyle name="Bracket 0 Decimal Total 4 5 2" xfId="1458" xr:uid="{00000000-0005-0000-0000-00006C020000}"/>
    <cellStyle name="Bracket 0 Decimal Total 4 5 2 2" xfId="1933" xr:uid="{00000000-0005-0000-0000-00006D020000}"/>
    <cellStyle name="Bracket 0 Decimal Total 4 5 2 2 2" xfId="2294" xr:uid="{00000000-0005-0000-0000-00006E020000}"/>
    <cellStyle name="Bracket 0 Decimal Total 4 5 2 3" xfId="2509" xr:uid="{00000000-0005-0000-0000-00006F020000}"/>
    <cellStyle name="Bracket 0 Decimal Total 4 5 3" xfId="1251" xr:uid="{00000000-0005-0000-0000-000070020000}"/>
    <cellStyle name="Bracket 0 Decimal Total 4 5 3 2" xfId="2667" xr:uid="{00000000-0005-0000-0000-000071020000}"/>
    <cellStyle name="Bracket 0 Decimal Total 4 5 4" xfId="1767" xr:uid="{00000000-0005-0000-0000-000072020000}"/>
    <cellStyle name="Bracket 0 Decimal Total 4 5 4 2" xfId="2533" xr:uid="{00000000-0005-0000-0000-000073020000}"/>
    <cellStyle name="Bracket 0 Decimal Total 4 5 4 3" xfId="2604" xr:uid="{00000000-0005-0000-0000-000074020000}"/>
    <cellStyle name="Bracket 0 Decimal Total 4 6" xfId="1454" xr:uid="{00000000-0005-0000-0000-000075020000}"/>
    <cellStyle name="Bracket 0 Decimal Total 4 6 2" xfId="1929" xr:uid="{00000000-0005-0000-0000-000076020000}"/>
    <cellStyle name="Bracket 0 Decimal Total 4 6 2 2" xfId="2290" xr:uid="{00000000-0005-0000-0000-000077020000}"/>
    <cellStyle name="Bracket 0 Decimal Total 4 6 3" xfId="2508" xr:uid="{00000000-0005-0000-0000-000078020000}"/>
    <cellStyle name="Bracket 0 Decimal Total 4 7" xfId="1247" xr:uid="{00000000-0005-0000-0000-000079020000}"/>
    <cellStyle name="Bracket 0 Decimal Total 4 7 2" xfId="2492" xr:uid="{00000000-0005-0000-0000-00007A020000}"/>
    <cellStyle name="Bracket 0 Decimal Total 4 8" xfId="1771" xr:uid="{00000000-0005-0000-0000-00007B020000}"/>
    <cellStyle name="Bracket 0 Decimal Total 4 8 2" xfId="2537" xr:uid="{00000000-0005-0000-0000-00007C020000}"/>
    <cellStyle name="Bracket 0 Decimal Total 4 8 3" xfId="2603" xr:uid="{00000000-0005-0000-0000-00007D020000}"/>
    <cellStyle name="Bracket 0 Decimal Total 4_Kosovo" xfId="215" xr:uid="{00000000-0005-0000-0000-00007E020000}"/>
    <cellStyle name="Bracket 0 Decimal Total 5" xfId="216" xr:uid="{00000000-0005-0000-0000-00007F020000}"/>
    <cellStyle name="Bracket 0 Decimal Total 5 2" xfId="217" xr:uid="{00000000-0005-0000-0000-000080020000}"/>
    <cellStyle name="Bracket 0 Decimal Total 5 2 2" xfId="1460" xr:uid="{00000000-0005-0000-0000-000081020000}"/>
    <cellStyle name="Bracket 0 Decimal Total 5 2 2 2" xfId="1935" xr:uid="{00000000-0005-0000-0000-000082020000}"/>
    <cellStyle name="Bracket 0 Decimal Total 5 2 2 2 2" xfId="2296" xr:uid="{00000000-0005-0000-0000-000083020000}"/>
    <cellStyle name="Bracket 0 Decimal Total 5 2 2 3" xfId="1663" xr:uid="{00000000-0005-0000-0000-000084020000}"/>
    <cellStyle name="Bracket 0 Decimal Total 5 2 3" xfId="1253" xr:uid="{00000000-0005-0000-0000-000085020000}"/>
    <cellStyle name="Bracket 0 Decimal Total 5 2 3 2" xfId="1398" xr:uid="{00000000-0005-0000-0000-000086020000}"/>
    <cellStyle name="Bracket 0 Decimal Total 5 2 4" xfId="1765" xr:uid="{00000000-0005-0000-0000-000087020000}"/>
    <cellStyle name="Bracket 0 Decimal Total 5 2 4 2" xfId="2531" xr:uid="{00000000-0005-0000-0000-000088020000}"/>
    <cellStyle name="Bracket 0 Decimal Total 5 2 4 3" xfId="2227" xr:uid="{00000000-0005-0000-0000-000089020000}"/>
    <cellStyle name="Bracket 0 Decimal Total 5 3" xfId="218" xr:uid="{00000000-0005-0000-0000-00008A020000}"/>
    <cellStyle name="Bracket 0 Decimal Total 5 3 2" xfId="1461" xr:uid="{00000000-0005-0000-0000-00008B020000}"/>
    <cellStyle name="Bracket 0 Decimal Total 5 3 2 2" xfId="1936" xr:uid="{00000000-0005-0000-0000-00008C020000}"/>
    <cellStyle name="Bracket 0 Decimal Total 5 3 2 2 2" xfId="2297" xr:uid="{00000000-0005-0000-0000-00008D020000}"/>
    <cellStyle name="Bracket 0 Decimal Total 5 3 2 3" xfId="1348" xr:uid="{00000000-0005-0000-0000-00008E020000}"/>
    <cellStyle name="Bracket 0 Decimal Total 5 3 3" xfId="1254" xr:uid="{00000000-0005-0000-0000-00008F020000}"/>
    <cellStyle name="Bracket 0 Decimal Total 5 3 3 2" xfId="2491" xr:uid="{00000000-0005-0000-0000-000090020000}"/>
    <cellStyle name="Bracket 0 Decimal Total 5 3 4" xfId="1764" xr:uid="{00000000-0005-0000-0000-000091020000}"/>
    <cellStyle name="Bracket 0 Decimal Total 5 3 4 2" xfId="2530" xr:uid="{00000000-0005-0000-0000-000092020000}"/>
    <cellStyle name="Bracket 0 Decimal Total 5 3 4 3" xfId="2366" xr:uid="{00000000-0005-0000-0000-000093020000}"/>
    <cellStyle name="Bracket 0 Decimal Total 5 4" xfId="219" xr:uid="{00000000-0005-0000-0000-000094020000}"/>
    <cellStyle name="Bracket 0 Decimal Total 5 4 2" xfId="1462" xr:uid="{00000000-0005-0000-0000-000095020000}"/>
    <cellStyle name="Bracket 0 Decimal Total 5 4 2 2" xfId="1937" xr:uid="{00000000-0005-0000-0000-000096020000}"/>
    <cellStyle name="Bracket 0 Decimal Total 5 4 2 2 2" xfId="2298" xr:uid="{00000000-0005-0000-0000-000097020000}"/>
    <cellStyle name="Bracket 0 Decimal Total 5 4 2 3" xfId="2510" xr:uid="{00000000-0005-0000-0000-000098020000}"/>
    <cellStyle name="Bracket 0 Decimal Total 5 4 3" xfId="1255" xr:uid="{00000000-0005-0000-0000-000099020000}"/>
    <cellStyle name="Bracket 0 Decimal Total 5 4 3 2" xfId="2665" xr:uid="{00000000-0005-0000-0000-00009A020000}"/>
    <cellStyle name="Bracket 0 Decimal Total 5 4 4" xfId="1763" xr:uid="{00000000-0005-0000-0000-00009B020000}"/>
    <cellStyle name="Bracket 0 Decimal Total 5 4 4 2" xfId="2529" xr:uid="{00000000-0005-0000-0000-00009C020000}"/>
    <cellStyle name="Bracket 0 Decimal Total 5 4 4 3" xfId="2605" xr:uid="{00000000-0005-0000-0000-00009D020000}"/>
    <cellStyle name="Bracket 0 Decimal Total 5 5" xfId="220" xr:uid="{00000000-0005-0000-0000-00009E020000}"/>
    <cellStyle name="Bracket 0 Decimal Total 5 5 2" xfId="1463" xr:uid="{00000000-0005-0000-0000-00009F020000}"/>
    <cellStyle name="Bracket 0 Decimal Total 5 5 2 2" xfId="1938" xr:uid="{00000000-0005-0000-0000-0000A0020000}"/>
    <cellStyle name="Bracket 0 Decimal Total 5 5 2 2 2" xfId="2299" xr:uid="{00000000-0005-0000-0000-0000A1020000}"/>
    <cellStyle name="Bracket 0 Decimal Total 5 5 2 3" xfId="2647" xr:uid="{00000000-0005-0000-0000-0000A2020000}"/>
    <cellStyle name="Bracket 0 Decimal Total 5 5 3" xfId="1256" xr:uid="{00000000-0005-0000-0000-0000A3020000}"/>
    <cellStyle name="Bracket 0 Decimal Total 5 5 3 2" xfId="1382" xr:uid="{00000000-0005-0000-0000-0000A4020000}"/>
    <cellStyle name="Bracket 0 Decimal Total 5 5 4" xfId="1762" xr:uid="{00000000-0005-0000-0000-0000A5020000}"/>
    <cellStyle name="Bracket 0 Decimal Total 5 5 4 2" xfId="2528" xr:uid="{00000000-0005-0000-0000-0000A6020000}"/>
    <cellStyle name="Bracket 0 Decimal Total 5 5 4 3" xfId="2157" xr:uid="{00000000-0005-0000-0000-0000A7020000}"/>
    <cellStyle name="Bracket 0 Decimal Total 5 6" xfId="1459" xr:uid="{00000000-0005-0000-0000-0000A8020000}"/>
    <cellStyle name="Bracket 0 Decimal Total 5 6 2" xfId="1934" xr:uid="{00000000-0005-0000-0000-0000A9020000}"/>
    <cellStyle name="Bracket 0 Decimal Total 5 6 2 2" xfId="2295" xr:uid="{00000000-0005-0000-0000-0000AA020000}"/>
    <cellStyle name="Bracket 0 Decimal Total 5 6 3" xfId="2648" xr:uid="{00000000-0005-0000-0000-0000AB020000}"/>
    <cellStyle name="Bracket 0 Decimal Total 5 7" xfId="1252" xr:uid="{00000000-0005-0000-0000-0000AC020000}"/>
    <cellStyle name="Bracket 0 Decimal Total 5 7 2" xfId="1380" xr:uid="{00000000-0005-0000-0000-0000AD020000}"/>
    <cellStyle name="Bracket 0 Decimal Total 5 8" xfId="1766" xr:uid="{00000000-0005-0000-0000-0000AE020000}"/>
    <cellStyle name="Bracket 0 Decimal Total 5 8 2" xfId="2532" xr:uid="{00000000-0005-0000-0000-0000AF020000}"/>
    <cellStyle name="Bracket 0 Decimal Total 5 8 3" xfId="2432" xr:uid="{00000000-0005-0000-0000-0000B0020000}"/>
    <cellStyle name="Bracket 0 Decimal Total 5_Kosovo" xfId="221" xr:uid="{00000000-0005-0000-0000-0000B1020000}"/>
    <cellStyle name="Bracket 0 Decimal Total 6" xfId="222" xr:uid="{00000000-0005-0000-0000-0000B2020000}"/>
    <cellStyle name="Bracket 0 Decimal Total 6 2" xfId="223" xr:uid="{00000000-0005-0000-0000-0000B3020000}"/>
    <cellStyle name="Bracket 0 Decimal Total 6 2 2" xfId="1465" xr:uid="{00000000-0005-0000-0000-0000B4020000}"/>
    <cellStyle name="Bracket 0 Decimal Total 6 2 2 2" xfId="1940" xr:uid="{00000000-0005-0000-0000-0000B5020000}"/>
    <cellStyle name="Bracket 0 Decimal Total 6 2 2 2 2" xfId="2301" xr:uid="{00000000-0005-0000-0000-0000B6020000}"/>
    <cellStyle name="Bracket 0 Decimal Total 6 2 2 3" xfId="2149" xr:uid="{00000000-0005-0000-0000-0000B7020000}"/>
    <cellStyle name="Bracket 0 Decimal Total 6 2 3" xfId="1258" xr:uid="{00000000-0005-0000-0000-0000B8020000}"/>
    <cellStyle name="Bracket 0 Decimal Total 6 2 3 2" xfId="2666" xr:uid="{00000000-0005-0000-0000-0000B9020000}"/>
    <cellStyle name="Bracket 0 Decimal Total 6 2 4" xfId="1760" xr:uid="{00000000-0005-0000-0000-0000BA020000}"/>
    <cellStyle name="Bracket 0 Decimal Total 6 2 4 2" xfId="2526" xr:uid="{00000000-0005-0000-0000-0000BB020000}"/>
    <cellStyle name="Bracket 0 Decimal Total 6 2 4 3" xfId="2601" xr:uid="{00000000-0005-0000-0000-0000BC020000}"/>
    <cellStyle name="Bracket 0 Decimal Total 6 3" xfId="224" xr:uid="{00000000-0005-0000-0000-0000BD020000}"/>
    <cellStyle name="Bracket 0 Decimal Total 6 3 2" xfId="1466" xr:uid="{00000000-0005-0000-0000-0000BE020000}"/>
    <cellStyle name="Bracket 0 Decimal Total 6 3 2 2" xfId="1941" xr:uid="{00000000-0005-0000-0000-0000BF020000}"/>
    <cellStyle name="Bracket 0 Decimal Total 6 3 2 2 2" xfId="2302" xr:uid="{00000000-0005-0000-0000-0000C0020000}"/>
    <cellStyle name="Bracket 0 Decimal Total 6 3 2 3" xfId="2513" xr:uid="{00000000-0005-0000-0000-0000C1020000}"/>
    <cellStyle name="Bracket 0 Decimal Total 6 3 3" xfId="1259" xr:uid="{00000000-0005-0000-0000-0000C2020000}"/>
    <cellStyle name="Bracket 0 Decimal Total 6 3 3 2" xfId="1275" xr:uid="{00000000-0005-0000-0000-0000C3020000}"/>
    <cellStyle name="Bracket 0 Decimal Total 6 3 4" xfId="1759" xr:uid="{00000000-0005-0000-0000-0000C4020000}"/>
    <cellStyle name="Bracket 0 Decimal Total 6 3 4 2" xfId="2525" xr:uid="{00000000-0005-0000-0000-0000C5020000}"/>
    <cellStyle name="Bracket 0 Decimal Total 6 3 4 3" xfId="2382" xr:uid="{00000000-0005-0000-0000-0000C6020000}"/>
    <cellStyle name="Bracket 0 Decimal Total 6 4" xfId="225" xr:uid="{00000000-0005-0000-0000-0000C7020000}"/>
    <cellStyle name="Bracket 0 Decimal Total 6 4 2" xfId="1467" xr:uid="{00000000-0005-0000-0000-0000C8020000}"/>
    <cellStyle name="Bracket 0 Decimal Total 6 4 2 2" xfId="1942" xr:uid="{00000000-0005-0000-0000-0000C9020000}"/>
    <cellStyle name="Bracket 0 Decimal Total 6 4 2 2 2" xfId="2303" xr:uid="{00000000-0005-0000-0000-0000CA020000}"/>
    <cellStyle name="Bracket 0 Decimal Total 6 4 2 3" xfId="2643" xr:uid="{00000000-0005-0000-0000-0000CB020000}"/>
    <cellStyle name="Bracket 0 Decimal Total 6 4 3" xfId="1260" xr:uid="{00000000-0005-0000-0000-0000CC020000}"/>
    <cellStyle name="Bracket 0 Decimal Total 6 4 3 2" xfId="2129" xr:uid="{00000000-0005-0000-0000-0000CD020000}"/>
    <cellStyle name="Bracket 0 Decimal Total 6 4 4" xfId="1758" xr:uid="{00000000-0005-0000-0000-0000CE020000}"/>
    <cellStyle name="Bracket 0 Decimal Total 6 4 4 2" xfId="2524" xr:uid="{00000000-0005-0000-0000-0000CF020000}"/>
    <cellStyle name="Bracket 0 Decimal Total 6 4 4 3" xfId="2226" xr:uid="{00000000-0005-0000-0000-0000D0020000}"/>
    <cellStyle name="Bracket 0 Decimal Total 6 5" xfId="226" xr:uid="{00000000-0005-0000-0000-0000D1020000}"/>
    <cellStyle name="Bracket 0 Decimal Total 6 5 2" xfId="1468" xr:uid="{00000000-0005-0000-0000-0000D2020000}"/>
    <cellStyle name="Bracket 0 Decimal Total 6 5 2 2" xfId="1943" xr:uid="{00000000-0005-0000-0000-0000D3020000}"/>
    <cellStyle name="Bracket 0 Decimal Total 6 5 2 2 2" xfId="2304" xr:uid="{00000000-0005-0000-0000-0000D4020000}"/>
    <cellStyle name="Bracket 0 Decimal Total 6 5 2 3" xfId="1681" xr:uid="{00000000-0005-0000-0000-0000D5020000}"/>
    <cellStyle name="Bracket 0 Decimal Total 6 5 3" xfId="1261" xr:uid="{00000000-0005-0000-0000-0000D6020000}"/>
    <cellStyle name="Bracket 0 Decimal Total 6 5 3 2" xfId="1189" xr:uid="{00000000-0005-0000-0000-0000D7020000}"/>
    <cellStyle name="Bracket 0 Decimal Total 6 5 4" xfId="1757" xr:uid="{00000000-0005-0000-0000-0000D8020000}"/>
    <cellStyle name="Bracket 0 Decimal Total 6 5 4 2" xfId="2523" xr:uid="{00000000-0005-0000-0000-0000D9020000}"/>
    <cellStyle name="Bracket 0 Decimal Total 6 5 4 3" xfId="2225" xr:uid="{00000000-0005-0000-0000-0000DA020000}"/>
    <cellStyle name="Bracket 0 Decimal Total 6 6" xfId="1464" xr:uid="{00000000-0005-0000-0000-0000DB020000}"/>
    <cellStyle name="Bracket 0 Decimal Total 6 6 2" xfId="1939" xr:uid="{00000000-0005-0000-0000-0000DC020000}"/>
    <cellStyle name="Bracket 0 Decimal Total 6 6 2 2" xfId="2300" xr:uid="{00000000-0005-0000-0000-0000DD020000}"/>
    <cellStyle name="Bracket 0 Decimal Total 6 6 3" xfId="1683" xr:uid="{00000000-0005-0000-0000-0000DE020000}"/>
    <cellStyle name="Bracket 0 Decimal Total 6 7" xfId="1257" xr:uid="{00000000-0005-0000-0000-0000DF020000}"/>
    <cellStyle name="Bracket 0 Decimal Total 6 7 2" xfId="2490" xr:uid="{00000000-0005-0000-0000-0000E0020000}"/>
    <cellStyle name="Bracket 0 Decimal Total 6 8" xfId="1761" xr:uid="{00000000-0005-0000-0000-0000E1020000}"/>
    <cellStyle name="Bracket 0 Decimal Total 6 8 2" xfId="2527" xr:uid="{00000000-0005-0000-0000-0000E2020000}"/>
    <cellStyle name="Bracket 0 Decimal Total 6 8 3" xfId="1351" xr:uid="{00000000-0005-0000-0000-0000E3020000}"/>
    <cellStyle name="Bracket 0 Decimal Total 6_Kosovo" xfId="227" xr:uid="{00000000-0005-0000-0000-0000E4020000}"/>
    <cellStyle name="Bracket 0 Decimal Total 7" xfId="1441" xr:uid="{00000000-0005-0000-0000-0000E5020000}"/>
    <cellStyle name="Bracket 0 Decimal Total 7 2" xfId="1916" xr:uid="{00000000-0005-0000-0000-0000E6020000}"/>
    <cellStyle name="Bracket 0 Decimal Total 7 2 2" xfId="2277" xr:uid="{00000000-0005-0000-0000-0000E7020000}"/>
    <cellStyle name="Bracket 0 Decimal Total 7 3" xfId="2654" xr:uid="{00000000-0005-0000-0000-0000E8020000}"/>
    <cellStyle name="Bracket 0 Decimal Total 8" xfId="1234" xr:uid="{00000000-0005-0000-0000-0000E9020000}"/>
    <cellStyle name="Bracket 0 Decimal Total 8 2" xfId="1272" xr:uid="{00000000-0005-0000-0000-0000EA020000}"/>
    <cellStyle name="Bracket 0 Decimal Total 9" xfId="1784" xr:uid="{00000000-0005-0000-0000-0000EB020000}"/>
    <cellStyle name="Bracket 0 Decimal Total 9 2" xfId="2550" xr:uid="{00000000-0005-0000-0000-0000EC020000}"/>
    <cellStyle name="Bracket 0 Decimal Total 9 3" xfId="2600" xr:uid="{00000000-0005-0000-0000-0000ED020000}"/>
    <cellStyle name="Bracket 0 Decimal Total_Kosovo" xfId="228" xr:uid="{00000000-0005-0000-0000-0000EE020000}"/>
    <cellStyle name="Bracket 1 Decimal Input" xfId="229" xr:uid="{00000000-0005-0000-0000-0000EF020000}"/>
    <cellStyle name="Bracket 2 Decimal calc" xfId="230" xr:uid="{00000000-0005-0000-0000-0000F0020000}"/>
    <cellStyle name="Bracket 2 Decimal input" xfId="231" xr:uid="{00000000-0005-0000-0000-0000F1020000}"/>
    <cellStyle name="Bracket 2 Decimal total" xfId="232" xr:uid="{00000000-0005-0000-0000-0000F2020000}"/>
    <cellStyle name="Bracket 2 Decimal total 2" xfId="1469" xr:uid="{00000000-0005-0000-0000-0000F3020000}"/>
    <cellStyle name="Bracket 2 Decimal total 3" xfId="1262" xr:uid="{00000000-0005-0000-0000-0000F4020000}"/>
    <cellStyle name="Bridget" xfId="233" xr:uid="{00000000-0005-0000-0000-0000F5020000}"/>
    <cellStyle name="Bullet" xfId="234" xr:uid="{00000000-0005-0000-0000-0000F6020000}"/>
    <cellStyle name="C01_Main head" xfId="235" xr:uid="{00000000-0005-0000-0000-0000F7020000}"/>
    <cellStyle name="C02_Column heads" xfId="236" xr:uid="{00000000-0005-0000-0000-0000F8020000}"/>
    <cellStyle name="C03_Sub head bold" xfId="237" xr:uid="{00000000-0005-0000-0000-0000F9020000}"/>
    <cellStyle name="C03a_Sub head" xfId="238" xr:uid="{00000000-0005-0000-0000-0000FA020000}"/>
    <cellStyle name="C04_Total text white bold" xfId="239" xr:uid="{00000000-0005-0000-0000-0000FB020000}"/>
    <cellStyle name="C04a_Total text black with rule" xfId="240" xr:uid="{00000000-0005-0000-0000-0000FC020000}"/>
    <cellStyle name="C05_Main text" xfId="241" xr:uid="{00000000-0005-0000-0000-0000FD020000}"/>
    <cellStyle name="C06_Figs" xfId="242" xr:uid="{00000000-0005-0000-0000-0000FE020000}"/>
    <cellStyle name="C07_Figs 1 dec percent" xfId="243" xr:uid="{00000000-0005-0000-0000-0000FF020000}"/>
    <cellStyle name="C08_Figs 1 decimal" xfId="244" xr:uid="{00000000-0005-0000-0000-000000030000}"/>
    <cellStyle name="C09_Notes" xfId="245" xr:uid="{00000000-0005-0000-0000-000001030000}"/>
    <cellStyle name="Cabe‡alho 1" xfId="246" xr:uid="{00000000-0005-0000-0000-000002030000}"/>
    <cellStyle name="Cabe‡alho 2" xfId="247" xr:uid="{00000000-0005-0000-0000-000003030000}"/>
    <cellStyle name="Cabecera 1" xfId="248" xr:uid="{00000000-0005-0000-0000-000004030000}"/>
    <cellStyle name="Cabecera 2" xfId="249" xr:uid="{00000000-0005-0000-0000-000005030000}"/>
    <cellStyle name="Calculation 2" xfId="250" xr:uid="{00000000-0005-0000-0000-000006030000}"/>
    <cellStyle name="Calculation 2 2" xfId="251" xr:uid="{00000000-0005-0000-0000-000007030000}"/>
    <cellStyle name="Calculation 2 2 2" xfId="252" xr:uid="{00000000-0005-0000-0000-000008030000}"/>
    <cellStyle name="Calculation 2 2 2 2" xfId="1472" xr:uid="{00000000-0005-0000-0000-000009030000}"/>
    <cellStyle name="Calculation 2 2 2 2 2" xfId="1946" xr:uid="{00000000-0005-0000-0000-00000A030000}"/>
    <cellStyle name="Calculation 2 2 2 2 2 2" xfId="2307" xr:uid="{00000000-0005-0000-0000-00000B030000}"/>
    <cellStyle name="Calculation 2 2 2 2 3" xfId="1372" xr:uid="{00000000-0005-0000-0000-00000C030000}"/>
    <cellStyle name="Calculation 2 2 2 3" xfId="1754" xr:uid="{00000000-0005-0000-0000-00000D030000}"/>
    <cellStyle name="Calculation 2 2 2 3 2" xfId="2607" xr:uid="{00000000-0005-0000-0000-00000E030000}"/>
    <cellStyle name="Calculation 2 2 2 4" xfId="1297" xr:uid="{00000000-0005-0000-0000-00000F030000}"/>
    <cellStyle name="Calculation 2 2 3" xfId="253" xr:uid="{00000000-0005-0000-0000-000010030000}"/>
    <cellStyle name="Calculation 2 2 3 2" xfId="1473" xr:uid="{00000000-0005-0000-0000-000011030000}"/>
    <cellStyle name="Calculation 2 2 3 2 2" xfId="1947" xr:uid="{00000000-0005-0000-0000-000012030000}"/>
    <cellStyle name="Calculation 2 2 3 2 2 2" xfId="2308" xr:uid="{00000000-0005-0000-0000-000013030000}"/>
    <cellStyle name="Calculation 2 2 3 2 3" xfId="2512" xr:uid="{00000000-0005-0000-0000-000014030000}"/>
    <cellStyle name="Calculation 2 2 3 3" xfId="1753" xr:uid="{00000000-0005-0000-0000-000015030000}"/>
    <cellStyle name="Calculation 2 2 3 3 2" xfId="2431" xr:uid="{00000000-0005-0000-0000-000016030000}"/>
    <cellStyle name="Calculation 2 2 3 4" xfId="1637" xr:uid="{00000000-0005-0000-0000-000017030000}"/>
    <cellStyle name="Calculation 2 2 4" xfId="254" xr:uid="{00000000-0005-0000-0000-000018030000}"/>
    <cellStyle name="Calculation 2 2 4 2" xfId="1474" xr:uid="{00000000-0005-0000-0000-000019030000}"/>
    <cellStyle name="Calculation 2 2 4 2 2" xfId="1948" xr:uid="{00000000-0005-0000-0000-00001A030000}"/>
    <cellStyle name="Calculation 2 2 4 2 2 2" xfId="2309" xr:uid="{00000000-0005-0000-0000-00001B030000}"/>
    <cellStyle name="Calculation 2 2 4 2 3" xfId="2644" xr:uid="{00000000-0005-0000-0000-00001C030000}"/>
    <cellStyle name="Calculation 2 2 4 3" xfId="1752" xr:uid="{00000000-0005-0000-0000-00001D030000}"/>
    <cellStyle name="Calculation 2 2 4 3 2" xfId="2223" xr:uid="{00000000-0005-0000-0000-00001E030000}"/>
    <cellStyle name="Calculation 2 2 4 4" xfId="1296" xr:uid="{00000000-0005-0000-0000-00001F030000}"/>
    <cellStyle name="Calculation 2 2 5" xfId="255" xr:uid="{00000000-0005-0000-0000-000020030000}"/>
    <cellStyle name="Calculation 2 2 5 2" xfId="1475" xr:uid="{00000000-0005-0000-0000-000021030000}"/>
    <cellStyle name="Calculation 2 2 5 2 2" xfId="1949" xr:uid="{00000000-0005-0000-0000-000022030000}"/>
    <cellStyle name="Calculation 2 2 5 2 2 2" xfId="2310" xr:uid="{00000000-0005-0000-0000-000023030000}"/>
    <cellStyle name="Calculation 2 2 5 2 3" xfId="1284" xr:uid="{00000000-0005-0000-0000-000024030000}"/>
    <cellStyle name="Calculation 2 2 5 3" xfId="1751" xr:uid="{00000000-0005-0000-0000-000025030000}"/>
    <cellStyle name="Calculation 2 2 5 3 2" xfId="2135" xr:uid="{00000000-0005-0000-0000-000026030000}"/>
    <cellStyle name="Calculation 2 2 5 4" xfId="2443" xr:uid="{00000000-0005-0000-0000-000027030000}"/>
    <cellStyle name="Calculation 2 2 6" xfId="256" xr:uid="{00000000-0005-0000-0000-000028030000}"/>
    <cellStyle name="Calculation 2 2 6 2" xfId="1476" xr:uid="{00000000-0005-0000-0000-000029030000}"/>
    <cellStyle name="Calculation 2 2 6 2 2" xfId="1950" xr:uid="{00000000-0005-0000-0000-00002A030000}"/>
    <cellStyle name="Calculation 2 2 6 2 2 2" xfId="2311" xr:uid="{00000000-0005-0000-0000-00002B030000}"/>
    <cellStyle name="Calculation 2 2 6 2 3" xfId="2511" xr:uid="{00000000-0005-0000-0000-00002C030000}"/>
    <cellStyle name="Calculation 2 2 6 3" xfId="1750" xr:uid="{00000000-0005-0000-0000-00002D030000}"/>
    <cellStyle name="Calculation 2 2 6 3 2" xfId="2608" xr:uid="{00000000-0005-0000-0000-00002E030000}"/>
    <cellStyle name="Calculation 2 2 6 4" xfId="2442" xr:uid="{00000000-0005-0000-0000-00002F030000}"/>
    <cellStyle name="Calculation 2 2 7" xfId="1471" xr:uid="{00000000-0005-0000-0000-000030030000}"/>
    <cellStyle name="Calculation 2 2 7 2" xfId="1945" xr:uid="{00000000-0005-0000-0000-000031030000}"/>
    <cellStyle name="Calculation 2 2 7 2 2" xfId="2306" xr:uid="{00000000-0005-0000-0000-000032030000}"/>
    <cellStyle name="Calculation 2 2 7 3" xfId="1283" xr:uid="{00000000-0005-0000-0000-000033030000}"/>
    <cellStyle name="Calculation 2 2 8" xfId="1755" xr:uid="{00000000-0005-0000-0000-000034030000}"/>
    <cellStyle name="Calculation 2 2 8 2" xfId="2183" xr:uid="{00000000-0005-0000-0000-000035030000}"/>
    <cellStyle name="Calculation 2 2 9" xfId="1647" xr:uid="{00000000-0005-0000-0000-000036030000}"/>
    <cellStyle name="Calculation 2 2_Kosovo" xfId="257" xr:uid="{00000000-0005-0000-0000-000037030000}"/>
    <cellStyle name="Calculation 2 3" xfId="258" xr:uid="{00000000-0005-0000-0000-000038030000}"/>
    <cellStyle name="Calculation 2 3 2" xfId="1477" xr:uid="{00000000-0005-0000-0000-000039030000}"/>
    <cellStyle name="Calculation 2 3 2 2" xfId="1951" xr:uid="{00000000-0005-0000-0000-00003A030000}"/>
    <cellStyle name="Calculation 2 3 2 2 2" xfId="2312" xr:uid="{00000000-0005-0000-0000-00003B030000}"/>
    <cellStyle name="Calculation 2 3 2 3" xfId="2645" xr:uid="{00000000-0005-0000-0000-00003C030000}"/>
    <cellStyle name="Calculation 2 3 3" xfId="1749" xr:uid="{00000000-0005-0000-0000-00003D030000}"/>
    <cellStyle name="Calculation 2 3 3 2" xfId="1646" xr:uid="{00000000-0005-0000-0000-00003E030000}"/>
    <cellStyle name="Calculation 2 3 4" xfId="2444" xr:uid="{00000000-0005-0000-0000-00003F030000}"/>
    <cellStyle name="Calculation 2 4" xfId="259" xr:uid="{00000000-0005-0000-0000-000040030000}"/>
    <cellStyle name="Calculation 2 4 2" xfId="1478" xr:uid="{00000000-0005-0000-0000-000041030000}"/>
    <cellStyle name="Calculation 2 4 2 2" xfId="1952" xr:uid="{00000000-0005-0000-0000-000042030000}"/>
    <cellStyle name="Calculation 2 4 2 2 2" xfId="2313" xr:uid="{00000000-0005-0000-0000-000043030000}"/>
    <cellStyle name="Calculation 2 4 2 3" xfId="1682" xr:uid="{00000000-0005-0000-0000-000044030000}"/>
    <cellStyle name="Calculation 2 4 3" xfId="1748" xr:uid="{00000000-0005-0000-0000-000045030000}"/>
    <cellStyle name="Calculation 2 4 3 2" xfId="2222" xr:uid="{00000000-0005-0000-0000-000046030000}"/>
    <cellStyle name="Calculation 2 4 4" xfId="2441" xr:uid="{00000000-0005-0000-0000-000047030000}"/>
    <cellStyle name="Calculation 2 5" xfId="1470" xr:uid="{00000000-0005-0000-0000-000048030000}"/>
    <cellStyle name="Calculation 2 5 2" xfId="1944" xr:uid="{00000000-0005-0000-0000-000049030000}"/>
    <cellStyle name="Calculation 2 5 2 2" xfId="2305" xr:uid="{00000000-0005-0000-0000-00004A030000}"/>
    <cellStyle name="Calculation 2 5 3" xfId="2646" xr:uid="{00000000-0005-0000-0000-00004B030000}"/>
    <cellStyle name="Calculation 2 6" xfId="1756" xr:uid="{00000000-0005-0000-0000-00004C030000}"/>
    <cellStyle name="Calculation 2 6 2" xfId="2224" xr:uid="{00000000-0005-0000-0000-00004D030000}"/>
    <cellStyle name="Calculation 2 7" xfId="2440" xr:uid="{00000000-0005-0000-0000-00004E030000}"/>
    <cellStyle name="Calculation 2_Kosovo" xfId="260" xr:uid="{00000000-0005-0000-0000-00004F030000}"/>
    <cellStyle name="CenterHeader1" xfId="261" xr:uid="{00000000-0005-0000-0000-000050030000}"/>
    <cellStyle name="CenterHeader2" xfId="262" xr:uid="{00000000-0005-0000-0000-000051030000}"/>
    <cellStyle name="Check Cell 2" xfId="263" xr:uid="{00000000-0005-0000-0000-000052030000}"/>
    <cellStyle name="Clive" xfId="264" xr:uid="{00000000-0005-0000-0000-000053030000}"/>
    <cellStyle name="clsAltData" xfId="265" xr:uid="{00000000-0005-0000-0000-000054030000}"/>
    <cellStyle name="clsAltData 2" xfId="266" xr:uid="{00000000-0005-0000-0000-000055030000}"/>
    <cellStyle name="clsAltData 2 2" xfId="267" xr:uid="{00000000-0005-0000-0000-000056030000}"/>
    <cellStyle name="clsAltData 2 2 2" xfId="1481" xr:uid="{00000000-0005-0000-0000-000057030000}"/>
    <cellStyle name="clsAltData 2 2 2 2" xfId="1955" xr:uid="{00000000-0005-0000-0000-000058030000}"/>
    <cellStyle name="clsAltData 2 2 2 2 2" xfId="2316" xr:uid="{00000000-0005-0000-0000-000059030000}"/>
    <cellStyle name="clsAltData 2 2 2 3" xfId="1393" xr:uid="{00000000-0005-0000-0000-00005A030000}"/>
    <cellStyle name="clsAltData 2 2 3" xfId="1745" xr:uid="{00000000-0005-0000-0000-00005B030000}"/>
    <cellStyle name="clsAltData 2 2 3 2" xfId="2385" xr:uid="{00000000-0005-0000-0000-00005C030000}"/>
    <cellStyle name="clsAltData 2 2 4" xfId="1684" xr:uid="{00000000-0005-0000-0000-00005D030000}"/>
    <cellStyle name="clsAltData 2 3" xfId="1480" xr:uid="{00000000-0005-0000-0000-00005E030000}"/>
    <cellStyle name="clsAltData 2 3 2" xfId="1954" xr:uid="{00000000-0005-0000-0000-00005F030000}"/>
    <cellStyle name="clsAltData 2 3 2 2" xfId="2315" xr:uid="{00000000-0005-0000-0000-000060030000}"/>
    <cellStyle name="clsAltData 2 3 3" xfId="2169" xr:uid="{00000000-0005-0000-0000-000061030000}"/>
    <cellStyle name="clsAltData 2 4" xfId="1746" xr:uid="{00000000-0005-0000-0000-000062030000}"/>
    <cellStyle name="clsAltData 2 4 2" xfId="2609" xr:uid="{00000000-0005-0000-0000-000063030000}"/>
    <cellStyle name="clsAltData 2 5" xfId="1334" xr:uid="{00000000-0005-0000-0000-000064030000}"/>
    <cellStyle name="clsAltData 3" xfId="268" xr:uid="{00000000-0005-0000-0000-000065030000}"/>
    <cellStyle name="clsAltData 3 2" xfId="1482" xr:uid="{00000000-0005-0000-0000-000066030000}"/>
    <cellStyle name="clsAltData 3 2 2" xfId="1956" xr:uid="{00000000-0005-0000-0000-000067030000}"/>
    <cellStyle name="clsAltData 3 2 2 2" xfId="2317" xr:uid="{00000000-0005-0000-0000-000068030000}"/>
    <cellStyle name="clsAltData 3 2 3" xfId="2162" xr:uid="{00000000-0005-0000-0000-000069030000}"/>
    <cellStyle name="clsAltData 3 3" xfId="1744" xr:uid="{00000000-0005-0000-0000-00006A030000}"/>
    <cellStyle name="clsAltData 3 3 2" xfId="2221" xr:uid="{00000000-0005-0000-0000-00006B030000}"/>
    <cellStyle name="clsAltData 3 4" xfId="1333" xr:uid="{00000000-0005-0000-0000-00006C030000}"/>
    <cellStyle name="clsAltData 4" xfId="1479" xr:uid="{00000000-0005-0000-0000-00006D030000}"/>
    <cellStyle name="clsAltData 4 2" xfId="1953" xr:uid="{00000000-0005-0000-0000-00006E030000}"/>
    <cellStyle name="clsAltData 4 2 2" xfId="2314" xr:uid="{00000000-0005-0000-0000-00006F030000}"/>
    <cellStyle name="clsAltData 4 3" xfId="2155" xr:uid="{00000000-0005-0000-0000-000070030000}"/>
    <cellStyle name="clsAltData 5" xfId="1747" xr:uid="{00000000-0005-0000-0000-000071030000}"/>
    <cellStyle name="clsAltData 5 2" xfId="1661" xr:uid="{00000000-0005-0000-0000-000072030000}"/>
    <cellStyle name="clsAltData 6" xfId="1638" xr:uid="{00000000-0005-0000-0000-000073030000}"/>
    <cellStyle name="clsAltDataPrezn1" xfId="269" xr:uid="{00000000-0005-0000-0000-000074030000}"/>
    <cellStyle name="clsAltDataPrezn1 2" xfId="1483" xr:uid="{00000000-0005-0000-0000-000075030000}"/>
    <cellStyle name="clsAltDataPrezn1 2 2" xfId="1957" xr:uid="{00000000-0005-0000-0000-000076030000}"/>
    <cellStyle name="clsAltDataPrezn1 2 2 2" xfId="2318" xr:uid="{00000000-0005-0000-0000-000077030000}"/>
    <cellStyle name="clsAltDataPrezn1 2 3" xfId="2161" xr:uid="{00000000-0005-0000-0000-000078030000}"/>
    <cellStyle name="clsAltDataPrezn1 3" xfId="1743" xr:uid="{00000000-0005-0000-0000-000079030000}"/>
    <cellStyle name="clsAltDataPrezn1 3 2" xfId="2120" xr:uid="{00000000-0005-0000-0000-00007A030000}"/>
    <cellStyle name="clsAltDataPrezn1 4" xfId="1644" xr:uid="{00000000-0005-0000-0000-00007B030000}"/>
    <cellStyle name="clsAltDataPrezn3" xfId="270" xr:uid="{00000000-0005-0000-0000-00007C030000}"/>
    <cellStyle name="clsAltDataPrezn3 2" xfId="1484" xr:uid="{00000000-0005-0000-0000-00007D030000}"/>
    <cellStyle name="clsAltDataPrezn3 2 2" xfId="1958" xr:uid="{00000000-0005-0000-0000-00007E030000}"/>
    <cellStyle name="clsAltDataPrezn3 2 2 2" xfId="2319" xr:uid="{00000000-0005-0000-0000-00007F030000}"/>
    <cellStyle name="clsAltDataPrezn3 2 3" xfId="2143" xr:uid="{00000000-0005-0000-0000-000080030000}"/>
    <cellStyle name="clsAltDataPrezn3 3" xfId="1742" xr:uid="{00000000-0005-0000-0000-000081030000}"/>
    <cellStyle name="clsAltDataPrezn3 3 2" xfId="2610" xr:uid="{00000000-0005-0000-0000-000082030000}"/>
    <cellStyle name="clsAltDataPrezn3 4" xfId="1642" xr:uid="{00000000-0005-0000-0000-000083030000}"/>
    <cellStyle name="clsAltDataPrezn4" xfId="271" xr:uid="{00000000-0005-0000-0000-000084030000}"/>
    <cellStyle name="clsAltDataPrezn4 2" xfId="1485" xr:uid="{00000000-0005-0000-0000-000085030000}"/>
    <cellStyle name="clsAltDataPrezn4 2 2" xfId="1959" xr:uid="{00000000-0005-0000-0000-000086030000}"/>
    <cellStyle name="clsAltDataPrezn4 2 2 2" xfId="2320" xr:uid="{00000000-0005-0000-0000-000087030000}"/>
    <cellStyle name="clsAltDataPrezn4 2 3" xfId="1645" xr:uid="{00000000-0005-0000-0000-000088030000}"/>
    <cellStyle name="clsAltDataPrezn4 3" xfId="1741" xr:uid="{00000000-0005-0000-0000-000089030000}"/>
    <cellStyle name="clsAltDataPrezn4 3 2" xfId="2430" xr:uid="{00000000-0005-0000-0000-00008A030000}"/>
    <cellStyle name="clsAltDataPrezn4 4" xfId="1818" xr:uid="{00000000-0005-0000-0000-00008B030000}"/>
    <cellStyle name="clsAltDataPrezn5" xfId="272" xr:uid="{00000000-0005-0000-0000-00008C030000}"/>
    <cellStyle name="clsAltDataPrezn5 2" xfId="1486" xr:uid="{00000000-0005-0000-0000-00008D030000}"/>
    <cellStyle name="clsAltDataPrezn5 2 2" xfId="1960" xr:uid="{00000000-0005-0000-0000-00008E030000}"/>
    <cellStyle name="clsAltDataPrezn5 2 2 2" xfId="2321" xr:uid="{00000000-0005-0000-0000-00008F030000}"/>
    <cellStyle name="clsAltDataPrezn5 2 3" xfId="2115" xr:uid="{00000000-0005-0000-0000-000090030000}"/>
    <cellStyle name="clsAltDataPrezn5 3" xfId="1740" xr:uid="{00000000-0005-0000-0000-000091030000}"/>
    <cellStyle name="clsAltDataPrezn5 3 2" xfId="2414" xr:uid="{00000000-0005-0000-0000-000092030000}"/>
    <cellStyle name="clsAltDataPrezn5 4" xfId="2167" xr:uid="{00000000-0005-0000-0000-000093030000}"/>
    <cellStyle name="clsAltDataPrezn6" xfId="273" xr:uid="{00000000-0005-0000-0000-000094030000}"/>
    <cellStyle name="clsAltDataPrezn6 2" xfId="1487" xr:uid="{00000000-0005-0000-0000-000095030000}"/>
    <cellStyle name="clsAltDataPrezn6 2 2" xfId="1961" xr:uid="{00000000-0005-0000-0000-000096030000}"/>
    <cellStyle name="clsAltDataPrezn6 2 2 2" xfId="2322" xr:uid="{00000000-0005-0000-0000-000097030000}"/>
    <cellStyle name="clsAltDataPrezn6 2 3" xfId="2522" xr:uid="{00000000-0005-0000-0000-000098030000}"/>
    <cellStyle name="clsAltDataPrezn6 3" xfId="1739" xr:uid="{00000000-0005-0000-0000-000099030000}"/>
    <cellStyle name="clsAltDataPrezn6 3 2" xfId="2606" xr:uid="{00000000-0005-0000-0000-00009A030000}"/>
    <cellStyle name="clsAltDataPrezn6 4" xfId="1639" xr:uid="{00000000-0005-0000-0000-00009B030000}"/>
    <cellStyle name="clsAltMRVData" xfId="274" xr:uid="{00000000-0005-0000-0000-00009C030000}"/>
    <cellStyle name="clsAltMRVData 2" xfId="275" xr:uid="{00000000-0005-0000-0000-00009D030000}"/>
    <cellStyle name="clsAltMRVData 2 2" xfId="276" xr:uid="{00000000-0005-0000-0000-00009E030000}"/>
    <cellStyle name="clsAltMRVData 2 2 2" xfId="1490" xr:uid="{00000000-0005-0000-0000-00009F030000}"/>
    <cellStyle name="clsAltMRVData 2 2 2 2" xfId="1964" xr:uid="{00000000-0005-0000-0000-0000A0030000}"/>
    <cellStyle name="clsAltMRVData 2 2 2 2 2" xfId="2325" xr:uid="{00000000-0005-0000-0000-0000A1030000}"/>
    <cellStyle name="clsAltMRVData 2 2 2 3" xfId="2514" xr:uid="{00000000-0005-0000-0000-0000A2030000}"/>
    <cellStyle name="clsAltMRVData 2 2 3" xfId="1736" xr:uid="{00000000-0005-0000-0000-0000A3030000}"/>
    <cellStyle name="clsAltMRVData 2 2 3 2" xfId="2219" xr:uid="{00000000-0005-0000-0000-0000A4030000}"/>
    <cellStyle name="clsAltMRVData 2 2 4" xfId="2393" xr:uid="{00000000-0005-0000-0000-0000A5030000}"/>
    <cellStyle name="clsAltMRVData 2 3" xfId="1489" xr:uid="{00000000-0005-0000-0000-0000A6030000}"/>
    <cellStyle name="clsAltMRVData 2 3 2" xfId="1963" xr:uid="{00000000-0005-0000-0000-0000A7030000}"/>
    <cellStyle name="clsAltMRVData 2 3 2 2" xfId="2324" xr:uid="{00000000-0005-0000-0000-0000A8030000}"/>
    <cellStyle name="clsAltMRVData 2 3 3" xfId="1404" xr:uid="{00000000-0005-0000-0000-0000A9030000}"/>
    <cellStyle name="clsAltMRVData 2 4" xfId="1737" xr:uid="{00000000-0005-0000-0000-0000AA030000}"/>
    <cellStyle name="clsAltMRVData 2 4 2" xfId="2220" xr:uid="{00000000-0005-0000-0000-0000AB030000}"/>
    <cellStyle name="clsAltMRVData 2 5" xfId="2445" xr:uid="{00000000-0005-0000-0000-0000AC030000}"/>
    <cellStyle name="clsAltMRVData 3" xfId="277" xr:uid="{00000000-0005-0000-0000-0000AD030000}"/>
    <cellStyle name="clsAltMRVData 3 2" xfId="1491" xr:uid="{00000000-0005-0000-0000-0000AE030000}"/>
    <cellStyle name="clsAltMRVData 3 2 2" xfId="1965" xr:uid="{00000000-0005-0000-0000-0000AF030000}"/>
    <cellStyle name="clsAltMRVData 3 2 2 2" xfId="2326" xr:uid="{00000000-0005-0000-0000-0000B0030000}"/>
    <cellStyle name="clsAltMRVData 3 2 3" xfId="2642" xr:uid="{00000000-0005-0000-0000-0000B1030000}"/>
    <cellStyle name="clsAltMRVData 3 3" xfId="1735" xr:uid="{00000000-0005-0000-0000-0000B2030000}"/>
    <cellStyle name="clsAltMRVData 3 3 2" xfId="2218" xr:uid="{00000000-0005-0000-0000-0000B3030000}"/>
    <cellStyle name="clsAltMRVData 3 4" xfId="1632" xr:uid="{00000000-0005-0000-0000-0000B4030000}"/>
    <cellStyle name="clsAltMRVData 4" xfId="1488" xr:uid="{00000000-0005-0000-0000-0000B5030000}"/>
    <cellStyle name="clsAltMRVData 4 2" xfId="1962" xr:uid="{00000000-0005-0000-0000-0000B6030000}"/>
    <cellStyle name="clsAltMRVData 4 2 2" xfId="2323" xr:uid="{00000000-0005-0000-0000-0000B7030000}"/>
    <cellStyle name="clsAltMRVData 4 3" xfId="2634" xr:uid="{00000000-0005-0000-0000-0000B8030000}"/>
    <cellStyle name="clsAltMRVData 5" xfId="1738" xr:uid="{00000000-0005-0000-0000-0000B9030000}"/>
    <cellStyle name="clsAltMRVData 5 2" xfId="2386" xr:uid="{00000000-0005-0000-0000-0000BA030000}"/>
    <cellStyle name="clsAltMRVData 6" xfId="1190" xr:uid="{00000000-0005-0000-0000-0000BB030000}"/>
    <cellStyle name="clsAltMRVDataPrezn1" xfId="278" xr:uid="{00000000-0005-0000-0000-0000BC030000}"/>
    <cellStyle name="clsAltMRVDataPrezn1 2" xfId="1492" xr:uid="{00000000-0005-0000-0000-0000BD030000}"/>
    <cellStyle name="clsAltMRVDataPrezn1 2 2" xfId="1966" xr:uid="{00000000-0005-0000-0000-0000BE030000}"/>
    <cellStyle name="clsAltMRVDataPrezn1 2 2 2" xfId="2327" xr:uid="{00000000-0005-0000-0000-0000BF030000}"/>
    <cellStyle name="clsAltMRVDataPrezn1 2 3" xfId="1285" xr:uid="{00000000-0005-0000-0000-0000C0030000}"/>
    <cellStyle name="clsAltMRVDataPrezn1 3" xfId="1734" xr:uid="{00000000-0005-0000-0000-0000C1030000}"/>
    <cellStyle name="clsAltMRVDataPrezn1 3 2" xfId="1196" xr:uid="{00000000-0005-0000-0000-0000C2030000}"/>
    <cellStyle name="clsAltMRVDataPrezn1 4" xfId="1631" xr:uid="{00000000-0005-0000-0000-0000C3030000}"/>
    <cellStyle name="clsAltMRVDataPrezn3" xfId="279" xr:uid="{00000000-0005-0000-0000-0000C4030000}"/>
    <cellStyle name="clsAltMRVDataPrezn3 2" xfId="1493" xr:uid="{00000000-0005-0000-0000-0000C5030000}"/>
    <cellStyle name="clsAltMRVDataPrezn3 2 2" xfId="1967" xr:uid="{00000000-0005-0000-0000-0000C6030000}"/>
    <cellStyle name="clsAltMRVDataPrezn3 2 2 2" xfId="2328" xr:uid="{00000000-0005-0000-0000-0000C7030000}"/>
    <cellStyle name="clsAltMRVDataPrezn3 2 3" xfId="1667" xr:uid="{00000000-0005-0000-0000-0000C8030000}"/>
    <cellStyle name="clsAltMRVDataPrezn3 3" xfId="1733" xr:uid="{00000000-0005-0000-0000-0000C9030000}"/>
    <cellStyle name="clsAltMRVDataPrezn3 3 2" xfId="2612" xr:uid="{00000000-0005-0000-0000-0000CA030000}"/>
    <cellStyle name="clsAltMRVDataPrezn3 4" xfId="2447" xr:uid="{00000000-0005-0000-0000-0000CB030000}"/>
    <cellStyle name="clsAltMRVDataPrezn4" xfId="280" xr:uid="{00000000-0005-0000-0000-0000CC030000}"/>
    <cellStyle name="clsAltMRVDataPrezn4 2" xfId="1494" xr:uid="{00000000-0005-0000-0000-0000CD030000}"/>
    <cellStyle name="clsAltMRVDataPrezn4 2 2" xfId="1968" xr:uid="{00000000-0005-0000-0000-0000CE030000}"/>
    <cellStyle name="clsAltMRVDataPrezn4 2 2 2" xfId="2329" xr:uid="{00000000-0005-0000-0000-0000CF030000}"/>
    <cellStyle name="clsAltMRVDataPrezn4 2 3" xfId="2515" xr:uid="{00000000-0005-0000-0000-0000D0030000}"/>
    <cellStyle name="clsAltMRVDataPrezn4 3" xfId="1732" xr:uid="{00000000-0005-0000-0000-0000D1030000}"/>
    <cellStyle name="clsAltMRVDataPrezn4 3 2" xfId="2384" xr:uid="{00000000-0005-0000-0000-0000D2030000}"/>
    <cellStyle name="clsAltMRVDataPrezn4 4" xfId="2395" xr:uid="{00000000-0005-0000-0000-0000D3030000}"/>
    <cellStyle name="clsAltMRVDataPrezn5" xfId="281" xr:uid="{00000000-0005-0000-0000-0000D4030000}"/>
    <cellStyle name="clsAltMRVDataPrezn5 2" xfId="1495" xr:uid="{00000000-0005-0000-0000-0000D5030000}"/>
    <cellStyle name="clsAltMRVDataPrezn5 2 2" xfId="1969" xr:uid="{00000000-0005-0000-0000-0000D6030000}"/>
    <cellStyle name="clsAltMRVDataPrezn5 2 2 2" xfId="2330" xr:uid="{00000000-0005-0000-0000-0000D7030000}"/>
    <cellStyle name="clsAltMRVDataPrezn5 2 3" xfId="2641" xr:uid="{00000000-0005-0000-0000-0000D8030000}"/>
    <cellStyle name="clsAltMRVDataPrezn5 3" xfId="1731" xr:uid="{00000000-0005-0000-0000-0000D9030000}"/>
    <cellStyle name="clsAltMRVDataPrezn5 3 2" xfId="2217" xr:uid="{00000000-0005-0000-0000-0000DA030000}"/>
    <cellStyle name="clsAltMRVDataPrezn5 4" xfId="2446" xr:uid="{00000000-0005-0000-0000-0000DB030000}"/>
    <cellStyle name="clsAltMRVDataPrezn6" xfId="282" xr:uid="{00000000-0005-0000-0000-0000DC030000}"/>
    <cellStyle name="clsAltMRVDataPrezn6 2" xfId="1496" xr:uid="{00000000-0005-0000-0000-0000DD030000}"/>
    <cellStyle name="clsAltMRVDataPrezn6 2 2" xfId="1970" xr:uid="{00000000-0005-0000-0000-0000DE030000}"/>
    <cellStyle name="clsAltMRVDataPrezn6 2 2 2" xfId="2331" xr:uid="{00000000-0005-0000-0000-0000DF030000}"/>
    <cellStyle name="clsAltMRVDataPrezn6 2 3" xfId="1680" xr:uid="{00000000-0005-0000-0000-0000E0030000}"/>
    <cellStyle name="clsAltMRVDataPrezn6 3" xfId="1730" xr:uid="{00000000-0005-0000-0000-0000E1030000}"/>
    <cellStyle name="clsAltMRVDataPrezn6 3 2" xfId="2125" xr:uid="{00000000-0005-0000-0000-0000E2030000}"/>
    <cellStyle name="clsAltMRVDataPrezn6 4" xfId="2394" xr:uid="{00000000-0005-0000-0000-0000E3030000}"/>
    <cellStyle name="clsBlank" xfId="283" xr:uid="{00000000-0005-0000-0000-0000E4030000}"/>
    <cellStyle name="clsColumnHeader" xfId="284" xr:uid="{00000000-0005-0000-0000-0000E5030000}"/>
    <cellStyle name="clsColumnHeader 2" xfId="285" xr:uid="{00000000-0005-0000-0000-0000E6030000}"/>
    <cellStyle name="clsColumnHeader 2 2" xfId="286" xr:uid="{00000000-0005-0000-0000-0000E7030000}"/>
    <cellStyle name="clsColumnHeader 2 2 2" xfId="1499" xr:uid="{00000000-0005-0000-0000-0000E8030000}"/>
    <cellStyle name="clsColumnHeader 2 2 2 2" xfId="1973" xr:uid="{00000000-0005-0000-0000-0000E9030000}"/>
    <cellStyle name="clsColumnHeader 2 2 2 2 2" xfId="2334" xr:uid="{00000000-0005-0000-0000-0000EA030000}"/>
    <cellStyle name="clsColumnHeader 2 2 2 3" xfId="2521" xr:uid="{00000000-0005-0000-0000-0000EB030000}"/>
    <cellStyle name="clsColumnHeader 2 2 3" xfId="1727" xr:uid="{00000000-0005-0000-0000-0000EC030000}"/>
    <cellStyle name="clsColumnHeader 2 2 3 2" xfId="2216" xr:uid="{00000000-0005-0000-0000-0000ED030000}"/>
    <cellStyle name="clsColumnHeader 2 2 4" xfId="1339" xr:uid="{00000000-0005-0000-0000-0000EE030000}"/>
    <cellStyle name="clsColumnHeader 2 3" xfId="1498" xr:uid="{00000000-0005-0000-0000-0000EF030000}"/>
    <cellStyle name="clsColumnHeader 2 3 2" xfId="1972" xr:uid="{00000000-0005-0000-0000-0000F0030000}"/>
    <cellStyle name="clsColumnHeader 2 3 2 2" xfId="2333" xr:uid="{00000000-0005-0000-0000-0000F1030000}"/>
    <cellStyle name="clsColumnHeader 2 3 3" xfId="2111" xr:uid="{00000000-0005-0000-0000-0000F2030000}"/>
    <cellStyle name="clsColumnHeader 2 4" xfId="1728" xr:uid="{00000000-0005-0000-0000-0000F3030000}"/>
    <cellStyle name="clsColumnHeader 2 4 2" xfId="2429" xr:uid="{00000000-0005-0000-0000-0000F4030000}"/>
    <cellStyle name="clsColumnHeader 2 5" xfId="2396" xr:uid="{00000000-0005-0000-0000-0000F5030000}"/>
    <cellStyle name="clsColumnHeader 3" xfId="287" xr:uid="{00000000-0005-0000-0000-0000F6030000}"/>
    <cellStyle name="clsColumnHeader 3 2" xfId="1500" xr:uid="{00000000-0005-0000-0000-0000F7030000}"/>
    <cellStyle name="clsColumnHeader 3 2 2" xfId="1974" xr:uid="{00000000-0005-0000-0000-0000F8030000}"/>
    <cellStyle name="clsColumnHeader 3 2 2 2" xfId="2335" xr:uid="{00000000-0005-0000-0000-0000F9030000}"/>
    <cellStyle name="clsColumnHeader 3 2 3" xfId="2635" xr:uid="{00000000-0005-0000-0000-0000FA030000}"/>
    <cellStyle name="clsColumnHeader 3 3" xfId="1726" xr:uid="{00000000-0005-0000-0000-0000FB030000}"/>
    <cellStyle name="clsColumnHeader 3 3 2" xfId="2184" xr:uid="{00000000-0005-0000-0000-0000FC030000}"/>
    <cellStyle name="clsColumnHeader 3 4" xfId="1203" xr:uid="{00000000-0005-0000-0000-0000FD030000}"/>
    <cellStyle name="clsColumnHeader 4" xfId="1497" xr:uid="{00000000-0005-0000-0000-0000FE030000}"/>
    <cellStyle name="clsColumnHeader 4 2" xfId="1971" xr:uid="{00000000-0005-0000-0000-0000FF030000}"/>
    <cellStyle name="clsColumnHeader 4 2 2" xfId="2332" xr:uid="{00000000-0005-0000-0000-000000040000}"/>
    <cellStyle name="clsColumnHeader 4 3" xfId="2148" xr:uid="{00000000-0005-0000-0000-000001040000}"/>
    <cellStyle name="clsColumnHeader 5" xfId="1729" xr:uid="{00000000-0005-0000-0000-000002040000}"/>
    <cellStyle name="clsColumnHeader 5 2" xfId="2613" xr:uid="{00000000-0005-0000-0000-000003040000}"/>
    <cellStyle name="clsColumnHeader 6" xfId="2448" xr:uid="{00000000-0005-0000-0000-000004040000}"/>
    <cellStyle name="clsData" xfId="288" xr:uid="{00000000-0005-0000-0000-000005040000}"/>
    <cellStyle name="clsData 2" xfId="289" xr:uid="{00000000-0005-0000-0000-000006040000}"/>
    <cellStyle name="clsData 2 2" xfId="290" xr:uid="{00000000-0005-0000-0000-000007040000}"/>
    <cellStyle name="clsData 2 2 2" xfId="1503" xr:uid="{00000000-0005-0000-0000-000008040000}"/>
    <cellStyle name="clsData 2 2 2 2" xfId="1977" xr:uid="{00000000-0005-0000-0000-000009040000}"/>
    <cellStyle name="clsData 2 2 2 2 2" xfId="2338" xr:uid="{00000000-0005-0000-0000-00000A040000}"/>
    <cellStyle name="clsData 2 2 2 3" xfId="2640" xr:uid="{00000000-0005-0000-0000-00000B040000}"/>
    <cellStyle name="clsData 2 2 3" xfId="1724" xr:uid="{00000000-0005-0000-0000-00000C040000}"/>
    <cellStyle name="clsData 2 2 3 2" xfId="1392" xr:uid="{00000000-0005-0000-0000-00000D040000}"/>
    <cellStyle name="clsData 2 2 4" xfId="1665" xr:uid="{00000000-0005-0000-0000-00000E040000}"/>
    <cellStyle name="clsData 2 3" xfId="1502" xr:uid="{00000000-0005-0000-0000-00000F040000}"/>
    <cellStyle name="clsData 2 3 2" xfId="1976" xr:uid="{00000000-0005-0000-0000-000010040000}"/>
    <cellStyle name="clsData 2 3 2 2" xfId="2337" xr:uid="{00000000-0005-0000-0000-000011040000}"/>
    <cellStyle name="clsData 2 3 3" xfId="2516" xr:uid="{00000000-0005-0000-0000-000012040000}"/>
    <cellStyle name="clsData 2 4" xfId="1341" xr:uid="{00000000-0005-0000-0000-000013040000}"/>
    <cellStyle name="clsData 2 4 2" xfId="2160" xr:uid="{00000000-0005-0000-0000-000014040000}"/>
    <cellStyle name="clsData 2 5" xfId="2398" xr:uid="{00000000-0005-0000-0000-000015040000}"/>
    <cellStyle name="clsData 3" xfId="291" xr:uid="{00000000-0005-0000-0000-000016040000}"/>
    <cellStyle name="clsData 3 2" xfId="1504" xr:uid="{00000000-0005-0000-0000-000017040000}"/>
    <cellStyle name="clsData 3 2 2" xfId="1978" xr:uid="{00000000-0005-0000-0000-000018040000}"/>
    <cellStyle name="clsData 3 2 2 2" xfId="2339" xr:uid="{00000000-0005-0000-0000-000019040000}"/>
    <cellStyle name="clsData 3 2 3" xfId="1403" xr:uid="{00000000-0005-0000-0000-00001A040000}"/>
    <cellStyle name="clsData 3 3" xfId="1723" xr:uid="{00000000-0005-0000-0000-00001B040000}"/>
    <cellStyle name="clsData 3 3 2" xfId="2215" xr:uid="{00000000-0005-0000-0000-00001C040000}"/>
    <cellStyle name="clsData 3 4" xfId="2451" xr:uid="{00000000-0005-0000-0000-00001D040000}"/>
    <cellStyle name="clsData 4" xfId="1501" xr:uid="{00000000-0005-0000-0000-00001E040000}"/>
    <cellStyle name="clsData 4 2" xfId="1975" xr:uid="{00000000-0005-0000-0000-00001F040000}"/>
    <cellStyle name="clsData 4 2 2" xfId="2336" xr:uid="{00000000-0005-0000-0000-000020040000}"/>
    <cellStyle name="clsData 4 3" xfId="1388" xr:uid="{00000000-0005-0000-0000-000021040000}"/>
    <cellStyle name="clsData 5" xfId="1725" xr:uid="{00000000-0005-0000-0000-000022040000}"/>
    <cellStyle name="clsData 5 2" xfId="2614" xr:uid="{00000000-0005-0000-0000-000023040000}"/>
    <cellStyle name="clsData 6" xfId="2450" xr:uid="{00000000-0005-0000-0000-000024040000}"/>
    <cellStyle name="clsDataPrezn1" xfId="292" xr:uid="{00000000-0005-0000-0000-000025040000}"/>
    <cellStyle name="clsDataPrezn1 2" xfId="1505" xr:uid="{00000000-0005-0000-0000-000026040000}"/>
    <cellStyle name="clsDataPrezn1 2 2" xfId="1979" xr:uid="{00000000-0005-0000-0000-000027040000}"/>
    <cellStyle name="clsDataPrezn1 2 2 2" xfId="2340" xr:uid="{00000000-0005-0000-0000-000028040000}"/>
    <cellStyle name="clsDataPrezn1 2 3" xfId="2362" xr:uid="{00000000-0005-0000-0000-000029040000}"/>
    <cellStyle name="clsDataPrezn1 3" xfId="1722" xr:uid="{00000000-0005-0000-0000-00002A040000}"/>
    <cellStyle name="clsDataPrezn1 3 2" xfId="2136" xr:uid="{00000000-0005-0000-0000-00002B040000}"/>
    <cellStyle name="clsDataPrezn1 4" xfId="2399" xr:uid="{00000000-0005-0000-0000-00002C040000}"/>
    <cellStyle name="clsDataPrezn3" xfId="293" xr:uid="{00000000-0005-0000-0000-00002D040000}"/>
    <cellStyle name="clsDataPrezn3 2" xfId="1506" xr:uid="{00000000-0005-0000-0000-00002E040000}"/>
    <cellStyle name="clsDataPrezn3 2 2" xfId="1980" xr:uid="{00000000-0005-0000-0000-00002F040000}"/>
    <cellStyle name="clsDataPrezn3 2 2 2" xfId="2341" xr:uid="{00000000-0005-0000-0000-000030040000}"/>
    <cellStyle name="clsDataPrezn3 2 3" xfId="2517" xr:uid="{00000000-0005-0000-0000-000031040000}"/>
    <cellStyle name="clsDataPrezn3 3" xfId="1721" xr:uid="{00000000-0005-0000-0000-000032040000}"/>
    <cellStyle name="clsDataPrezn3 3 2" xfId="2615" xr:uid="{00000000-0005-0000-0000-000033040000}"/>
    <cellStyle name="clsDataPrezn3 4" xfId="2449" xr:uid="{00000000-0005-0000-0000-000034040000}"/>
    <cellStyle name="clsDataPrezn4" xfId="294" xr:uid="{00000000-0005-0000-0000-000035040000}"/>
    <cellStyle name="clsDataPrezn4 2" xfId="1507" xr:uid="{00000000-0005-0000-0000-000036040000}"/>
    <cellStyle name="clsDataPrezn4 2 2" xfId="1981" xr:uid="{00000000-0005-0000-0000-000037040000}"/>
    <cellStyle name="clsDataPrezn4 2 2 2" xfId="2342" xr:uid="{00000000-0005-0000-0000-000038040000}"/>
    <cellStyle name="clsDataPrezn4 2 3" xfId="2639" xr:uid="{00000000-0005-0000-0000-000039040000}"/>
    <cellStyle name="clsDataPrezn4 3" xfId="1720" xr:uid="{00000000-0005-0000-0000-00003A040000}"/>
    <cellStyle name="clsDataPrezn4 3 2" xfId="2383" xr:uid="{00000000-0005-0000-0000-00003B040000}"/>
    <cellStyle name="clsDataPrezn4 4" xfId="2397" xr:uid="{00000000-0005-0000-0000-00003C040000}"/>
    <cellStyle name="clsDataPrezn5" xfId="295" xr:uid="{00000000-0005-0000-0000-00003D040000}"/>
    <cellStyle name="clsDataPrezn5 2" xfId="1508" xr:uid="{00000000-0005-0000-0000-00003E040000}"/>
    <cellStyle name="clsDataPrezn5 2 2" xfId="1982" xr:uid="{00000000-0005-0000-0000-00003F040000}"/>
    <cellStyle name="clsDataPrezn5 2 2 2" xfId="2343" xr:uid="{00000000-0005-0000-0000-000040040000}"/>
    <cellStyle name="clsDataPrezn5 2 3" xfId="1401" xr:uid="{00000000-0005-0000-0000-000041040000}"/>
    <cellStyle name="clsDataPrezn5 3" xfId="1719" xr:uid="{00000000-0005-0000-0000-000042040000}"/>
    <cellStyle name="clsDataPrezn5 3 2" xfId="2150" xr:uid="{00000000-0005-0000-0000-000043040000}"/>
    <cellStyle name="clsDataPrezn5 4" xfId="1295" xr:uid="{00000000-0005-0000-0000-000044040000}"/>
    <cellStyle name="clsDataPrezn6" xfId="296" xr:uid="{00000000-0005-0000-0000-000045040000}"/>
    <cellStyle name="clsDataPrezn6 2" xfId="1509" xr:uid="{00000000-0005-0000-0000-000046040000}"/>
    <cellStyle name="clsDataPrezn6 2 2" xfId="1983" xr:uid="{00000000-0005-0000-0000-000047040000}"/>
    <cellStyle name="clsDataPrezn6 2 2 2" xfId="2344" xr:uid="{00000000-0005-0000-0000-000048040000}"/>
    <cellStyle name="clsDataPrezn6 2 3" xfId="1332" xr:uid="{00000000-0005-0000-0000-000049040000}"/>
    <cellStyle name="clsDataPrezn6 3" xfId="1718" xr:uid="{00000000-0005-0000-0000-00004A040000}"/>
    <cellStyle name="clsDataPrezn6 3 2" xfId="2611" xr:uid="{00000000-0005-0000-0000-00004B040000}"/>
    <cellStyle name="clsDataPrezn6 4" xfId="2452" xr:uid="{00000000-0005-0000-0000-00004C040000}"/>
    <cellStyle name="clsDefault" xfId="297" xr:uid="{00000000-0005-0000-0000-00004D040000}"/>
    <cellStyle name="clsFooter" xfId="298" xr:uid="{00000000-0005-0000-0000-00004E040000}"/>
    <cellStyle name="clsFooter 2" xfId="299" xr:uid="{00000000-0005-0000-0000-00004F040000}"/>
    <cellStyle name="clsFooter 2 2" xfId="300" xr:uid="{00000000-0005-0000-0000-000050040000}"/>
    <cellStyle name="clsFooter 2 2 2" xfId="1512" xr:uid="{00000000-0005-0000-0000-000051040000}"/>
    <cellStyle name="clsFooter 2 2 2 2" xfId="1986" xr:uid="{00000000-0005-0000-0000-000052040000}"/>
    <cellStyle name="clsFooter 2 2 2 2 2" xfId="2347" xr:uid="{00000000-0005-0000-0000-000053040000}"/>
    <cellStyle name="clsFooter 2 2 2 3" xfId="1286" xr:uid="{00000000-0005-0000-0000-000054040000}"/>
    <cellStyle name="clsFooter 2 2 3" xfId="1715" xr:uid="{00000000-0005-0000-0000-000055040000}"/>
    <cellStyle name="clsFooter 2 2 3 2" xfId="2419" xr:uid="{00000000-0005-0000-0000-000056040000}"/>
    <cellStyle name="clsFooter 2 2 4" xfId="2453" xr:uid="{00000000-0005-0000-0000-000057040000}"/>
    <cellStyle name="clsFooter 2 3" xfId="1511" xr:uid="{00000000-0005-0000-0000-000058040000}"/>
    <cellStyle name="clsFooter 2 3 2" xfId="1985" xr:uid="{00000000-0005-0000-0000-000059040000}"/>
    <cellStyle name="clsFooter 2 3 2 2" xfId="2346" xr:uid="{00000000-0005-0000-0000-00005A040000}"/>
    <cellStyle name="clsFooter 2 3 3" xfId="2638" xr:uid="{00000000-0005-0000-0000-00005B040000}"/>
    <cellStyle name="clsFooter 2 4" xfId="1716" xr:uid="{00000000-0005-0000-0000-00005C040000}"/>
    <cellStyle name="clsFooter 2 4 2" xfId="2214" xr:uid="{00000000-0005-0000-0000-00005D040000}"/>
    <cellStyle name="clsFooter 2 5" xfId="1640" xr:uid="{00000000-0005-0000-0000-00005E040000}"/>
    <cellStyle name="clsFooter 3" xfId="301" xr:uid="{00000000-0005-0000-0000-00005F040000}"/>
    <cellStyle name="clsFooter 3 2" xfId="1513" xr:uid="{00000000-0005-0000-0000-000060040000}"/>
    <cellStyle name="clsFooter 3 2 2" xfId="1987" xr:uid="{00000000-0005-0000-0000-000061040000}"/>
    <cellStyle name="clsFooter 3 2 2 2" xfId="2348" xr:uid="{00000000-0005-0000-0000-000062040000}"/>
    <cellStyle name="clsFooter 3 2 3" xfId="2179" xr:uid="{00000000-0005-0000-0000-000063040000}"/>
    <cellStyle name="clsFooter 3 3" xfId="1714" xr:uid="{00000000-0005-0000-0000-000064040000}"/>
    <cellStyle name="clsFooter 3 3 2" xfId="2588" xr:uid="{00000000-0005-0000-0000-000065040000}"/>
    <cellStyle name="clsFooter 3 4" xfId="2401" xr:uid="{00000000-0005-0000-0000-000066040000}"/>
    <cellStyle name="clsFooter 4" xfId="1510" xr:uid="{00000000-0005-0000-0000-000067040000}"/>
    <cellStyle name="clsFooter 4 2" xfId="1984" xr:uid="{00000000-0005-0000-0000-000068040000}"/>
    <cellStyle name="clsFooter 4 2 2" xfId="2345" xr:uid="{00000000-0005-0000-0000-000069040000}"/>
    <cellStyle name="clsFooter 4 3" xfId="2518" xr:uid="{00000000-0005-0000-0000-00006A040000}"/>
    <cellStyle name="clsFooter 5" xfId="1717" xr:uid="{00000000-0005-0000-0000-00006B040000}"/>
    <cellStyle name="clsFooter 5 2" xfId="1406" xr:uid="{00000000-0005-0000-0000-00006C040000}"/>
    <cellStyle name="clsFooter 6" xfId="2400" xr:uid="{00000000-0005-0000-0000-00006D040000}"/>
    <cellStyle name="clsIndexTableData" xfId="302" xr:uid="{00000000-0005-0000-0000-00006E040000}"/>
    <cellStyle name="clsIndexTableHdr" xfId="303" xr:uid="{00000000-0005-0000-0000-00006F040000}"/>
    <cellStyle name="clsIndexTableTitle" xfId="304" xr:uid="{00000000-0005-0000-0000-000070040000}"/>
    <cellStyle name="clsIndexTableTitle 2" xfId="305" xr:uid="{00000000-0005-0000-0000-000071040000}"/>
    <cellStyle name="clsIndexTableTitle 2 2" xfId="306" xr:uid="{00000000-0005-0000-0000-000072040000}"/>
    <cellStyle name="clsIndexTableTitle 2 2 2" xfId="1516" xr:uid="{00000000-0005-0000-0000-000073040000}"/>
    <cellStyle name="clsIndexTableTitle 2 2 2 2" xfId="1990" xr:uid="{00000000-0005-0000-0000-000074040000}"/>
    <cellStyle name="clsIndexTableTitle 2 2 2 2 2" xfId="2351" xr:uid="{00000000-0005-0000-0000-000075040000}"/>
    <cellStyle name="clsIndexTableTitle 2 2 2 3" xfId="2141" xr:uid="{00000000-0005-0000-0000-000076040000}"/>
    <cellStyle name="clsIndexTableTitle 2 2 3" xfId="1711" xr:uid="{00000000-0005-0000-0000-000077040000}"/>
    <cellStyle name="clsIndexTableTitle 2 2 3 2" xfId="2212" xr:uid="{00000000-0005-0000-0000-000078040000}"/>
    <cellStyle name="clsIndexTableTitle 2 2 4" xfId="1358" xr:uid="{00000000-0005-0000-0000-000079040000}"/>
    <cellStyle name="clsIndexTableTitle 2 3" xfId="1515" xr:uid="{00000000-0005-0000-0000-00007A040000}"/>
    <cellStyle name="clsIndexTableTitle 2 3 2" xfId="1989" xr:uid="{00000000-0005-0000-0000-00007B040000}"/>
    <cellStyle name="clsIndexTableTitle 2 3 2 2" xfId="2350" xr:uid="{00000000-0005-0000-0000-00007C040000}"/>
    <cellStyle name="clsIndexTableTitle 2 3 3" xfId="2637" xr:uid="{00000000-0005-0000-0000-00007D040000}"/>
    <cellStyle name="clsIndexTableTitle 2 4" xfId="1712" xr:uid="{00000000-0005-0000-0000-00007E040000}"/>
    <cellStyle name="clsIndexTableTitle 2 4 2" xfId="2213" xr:uid="{00000000-0005-0000-0000-00007F040000}"/>
    <cellStyle name="clsIndexTableTitle 2 5" xfId="2409" xr:uid="{00000000-0005-0000-0000-000080040000}"/>
    <cellStyle name="clsIndexTableTitle 3" xfId="307" xr:uid="{00000000-0005-0000-0000-000081040000}"/>
    <cellStyle name="clsIndexTableTitle 3 2" xfId="1517" xr:uid="{00000000-0005-0000-0000-000082040000}"/>
    <cellStyle name="clsIndexTableTitle 3 2 2" xfId="1991" xr:uid="{00000000-0005-0000-0000-000083040000}"/>
    <cellStyle name="clsIndexTableTitle 3 2 2 2" xfId="2352" xr:uid="{00000000-0005-0000-0000-000084040000}"/>
    <cellStyle name="clsIndexTableTitle 3 2 3" xfId="2103" xr:uid="{00000000-0005-0000-0000-000085040000}"/>
    <cellStyle name="clsIndexTableTitle 3 3" xfId="1710" xr:uid="{00000000-0005-0000-0000-000086040000}"/>
    <cellStyle name="clsIndexTableTitle 3 3 2" xfId="2211" xr:uid="{00000000-0005-0000-0000-000087040000}"/>
    <cellStyle name="clsIndexTableTitle 3 4" xfId="1233" xr:uid="{00000000-0005-0000-0000-000088040000}"/>
    <cellStyle name="clsIndexTableTitle 4" xfId="1514" xr:uid="{00000000-0005-0000-0000-000089040000}"/>
    <cellStyle name="clsIndexTableTitle 4 2" xfId="1988" xr:uid="{00000000-0005-0000-0000-00008A040000}"/>
    <cellStyle name="clsIndexTableTitle 4 2 2" xfId="2349" xr:uid="{00000000-0005-0000-0000-00008B040000}"/>
    <cellStyle name="clsIndexTableTitle 4 3" xfId="2519" xr:uid="{00000000-0005-0000-0000-00008C040000}"/>
    <cellStyle name="clsIndexTableTitle 5" xfId="1713" xr:uid="{00000000-0005-0000-0000-00008D040000}"/>
    <cellStyle name="clsIndexTableTitle 5 2" xfId="2391" xr:uid="{00000000-0005-0000-0000-00008E040000}"/>
    <cellStyle name="clsIndexTableTitle 6" xfId="2475" xr:uid="{00000000-0005-0000-0000-00008F040000}"/>
    <cellStyle name="clsMRVData" xfId="308" xr:uid="{00000000-0005-0000-0000-000090040000}"/>
    <cellStyle name="clsMRVData 2" xfId="309" xr:uid="{00000000-0005-0000-0000-000091040000}"/>
    <cellStyle name="clsMRVData 2 2" xfId="310" xr:uid="{00000000-0005-0000-0000-000092040000}"/>
    <cellStyle name="clsMRVData 2 2 2" xfId="1520" xr:uid="{00000000-0005-0000-0000-000093040000}"/>
    <cellStyle name="clsMRVData 2 2 2 2" xfId="1994" xr:uid="{00000000-0005-0000-0000-000094040000}"/>
    <cellStyle name="clsMRVData 2 2 2 2 2" xfId="2355" xr:uid="{00000000-0005-0000-0000-000095040000}"/>
    <cellStyle name="clsMRVData 2 2 2 3" xfId="2189" xr:uid="{00000000-0005-0000-0000-000096040000}"/>
    <cellStyle name="clsMRVData 2 2 3" xfId="1822" xr:uid="{00000000-0005-0000-0000-000097040000}"/>
    <cellStyle name="clsMRVData 2 2 3 2" xfId="2413" xr:uid="{00000000-0005-0000-0000-000098040000}"/>
    <cellStyle name="clsMRVData 2 2 4" xfId="1356" xr:uid="{00000000-0005-0000-0000-000099040000}"/>
    <cellStyle name="clsMRVData 2 3" xfId="1519" xr:uid="{00000000-0005-0000-0000-00009A040000}"/>
    <cellStyle name="clsMRVData 2 3 2" xfId="1993" xr:uid="{00000000-0005-0000-0000-00009B040000}"/>
    <cellStyle name="clsMRVData 2 3 2 2" xfId="2354" xr:uid="{00000000-0005-0000-0000-00009C040000}"/>
    <cellStyle name="clsMRVData 2 3 3" xfId="2636" xr:uid="{00000000-0005-0000-0000-00009D040000}"/>
    <cellStyle name="clsMRVData 2 4" xfId="1708" xr:uid="{00000000-0005-0000-0000-00009E040000}"/>
    <cellStyle name="clsMRVData 2 4 2" xfId="2209" xr:uid="{00000000-0005-0000-0000-00009F040000}"/>
    <cellStyle name="clsMRVData 2 5" xfId="2403" xr:uid="{00000000-0005-0000-0000-0000A0040000}"/>
    <cellStyle name="clsMRVData 3" xfId="311" xr:uid="{00000000-0005-0000-0000-0000A1040000}"/>
    <cellStyle name="clsMRVData 3 2" xfId="1521" xr:uid="{00000000-0005-0000-0000-0000A2040000}"/>
    <cellStyle name="clsMRVData 3 2 2" xfId="1995" xr:uid="{00000000-0005-0000-0000-0000A3040000}"/>
    <cellStyle name="clsMRVData 3 2 2 2" xfId="2474" xr:uid="{00000000-0005-0000-0000-0000A4040000}"/>
    <cellStyle name="clsMRVData 3 2 3" xfId="2106" xr:uid="{00000000-0005-0000-0000-0000A5040000}"/>
    <cellStyle name="clsMRVData 3 3" xfId="1820" xr:uid="{00000000-0005-0000-0000-0000A6040000}"/>
    <cellStyle name="clsMRVData 3 3 2" xfId="2435" xr:uid="{00000000-0005-0000-0000-0000A7040000}"/>
    <cellStyle name="clsMRVData 3 4" xfId="2456" xr:uid="{00000000-0005-0000-0000-0000A8040000}"/>
    <cellStyle name="clsMRVData 4" xfId="1518" xr:uid="{00000000-0005-0000-0000-0000A9040000}"/>
    <cellStyle name="clsMRVData 4 2" xfId="1992" xr:uid="{00000000-0005-0000-0000-0000AA040000}"/>
    <cellStyle name="clsMRVData 4 2 2" xfId="2353" xr:uid="{00000000-0005-0000-0000-0000AB040000}"/>
    <cellStyle name="clsMRVData 4 3" xfId="2520" xr:uid="{00000000-0005-0000-0000-0000AC040000}"/>
    <cellStyle name="clsMRVData 5" xfId="1709" xr:uid="{00000000-0005-0000-0000-0000AD040000}"/>
    <cellStyle name="clsMRVData 5 2" xfId="2210" xr:uid="{00000000-0005-0000-0000-0000AE040000}"/>
    <cellStyle name="clsMRVData 6" xfId="2455" xr:uid="{00000000-0005-0000-0000-0000AF040000}"/>
    <cellStyle name="clsMRVDataPrezn1" xfId="312" xr:uid="{00000000-0005-0000-0000-0000B0040000}"/>
    <cellStyle name="clsMRVDataPrezn1 2" xfId="1522" xr:uid="{00000000-0005-0000-0000-0000B1040000}"/>
    <cellStyle name="clsMRVDataPrezn1 2 2" xfId="1996" xr:uid="{00000000-0005-0000-0000-0000B2040000}"/>
    <cellStyle name="clsMRVDataPrezn1 2 2 2" xfId="2410" xr:uid="{00000000-0005-0000-0000-0000B3040000}"/>
    <cellStyle name="clsMRVDataPrezn1 2 3" xfId="1337" xr:uid="{00000000-0005-0000-0000-0000B4040000}"/>
    <cellStyle name="clsMRVDataPrezn1 3" xfId="1707" xr:uid="{00000000-0005-0000-0000-0000B5040000}"/>
    <cellStyle name="clsMRVDataPrezn1 3 2" xfId="2208" xr:uid="{00000000-0005-0000-0000-0000B6040000}"/>
    <cellStyle name="clsMRVDataPrezn1 4" xfId="2404" xr:uid="{00000000-0005-0000-0000-0000B7040000}"/>
    <cellStyle name="clsMRVDataPrezn3" xfId="313" xr:uid="{00000000-0005-0000-0000-0000B8040000}"/>
    <cellStyle name="clsMRVDataPrezn3 2" xfId="1523" xr:uid="{00000000-0005-0000-0000-0000B9040000}"/>
    <cellStyle name="clsMRVDataPrezn3 2 2" xfId="1997" xr:uid="{00000000-0005-0000-0000-0000BA040000}"/>
    <cellStyle name="clsMRVDataPrezn3 2 2 2" xfId="2356" xr:uid="{00000000-0005-0000-0000-0000BB040000}"/>
    <cellStyle name="clsMRVDataPrezn3 2 3" xfId="1635" xr:uid="{00000000-0005-0000-0000-0000BC040000}"/>
    <cellStyle name="clsMRVDataPrezn3 3" xfId="1706" xr:uid="{00000000-0005-0000-0000-0000BD040000}"/>
    <cellStyle name="clsMRVDataPrezn3 3 2" xfId="2412" xr:uid="{00000000-0005-0000-0000-0000BE040000}"/>
    <cellStyle name="clsMRVDataPrezn3 4" xfId="2153" xr:uid="{00000000-0005-0000-0000-0000BF040000}"/>
    <cellStyle name="clsMRVDataPrezn4" xfId="314" xr:uid="{00000000-0005-0000-0000-0000C0040000}"/>
    <cellStyle name="clsMRVDataPrezn4 2" xfId="1524" xr:uid="{00000000-0005-0000-0000-0000C1040000}"/>
    <cellStyle name="clsMRVDataPrezn4 2 2" xfId="1998" xr:uid="{00000000-0005-0000-0000-0000C2040000}"/>
    <cellStyle name="clsMRVDataPrezn4 2 2 2" xfId="2357" xr:uid="{00000000-0005-0000-0000-0000C3040000}"/>
    <cellStyle name="clsMRVDataPrezn4 2 3" xfId="2131" xr:uid="{00000000-0005-0000-0000-0000C4040000}"/>
    <cellStyle name="clsMRVDataPrezn4 3" xfId="1705" xr:uid="{00000000-0005-0000-0000-0000C5040000}"/>
    <cellStyle name="clsMRVDataPrezn4 3 2" xfId="2617" xr:uid="{00000000-0005-0000-0000-0000C6040000}"/>
    <cellStyle name="clsMRVDataPrezn4 4" xfId="1817" xr:uid="{00000000-0005-0000-0000-0000C7040000}"/>
    <cellStyle name="clsMRVDataPrezn5" xfId="315" xr:uid="{00000000-0005-0000-0000-0000C8040000}"/>
    <cellStyle name="clsMRVDataPrezn5 2" xfId="1525" xr:uid="{00000000-0005-0000-0000-0000C9040000}"/>
    <cellStyle name="clsMRVDataPrezn5 2 2" xfId="1999" xr:uid="{00000000-0005-0000-0000-0000CA040000}"/>
    <cellStyle name="clsMRVDataPrezn5 2 2 2" xfId="2358" xr:uid="{00000000-0005-0000-0000-0000CB040000}"/>
    <cellStyle name="clsMRVDataPrezn5 2 3" xfId="2151" xr:uid="{00000000-0005-0000-0000-0000CC040000}"/>
    <cellStyle name="clsMRVDataPrezn5 3" xfId="1704" xr:uid="{00000000-0005-0000-0000-0000CD040000}"/>
    <cellStyle name="clsMRVDataPrezn5 3 2" xfId="1289" xr:uid="{00000000-0005-0000-0000-0000CE040000}"/>
    <cellStyle name="clsMRVDataPrezn5 4" xfId="1357" xr:uid="{00000000-0005-0000-0000-0000CF040000}"/>
    <cellStyle name="clsMRVDataPrezn6" xfId="316" xr:uid="{00000000-0005-0000-0000-0000D0040000}"/>
    <cellStyle name="clsMRVDataPrezn6 2" xfId="1526" xr:uid="{00000000-0005-0000-0000-0000D1040000}"/>
    <cellStyle name="clsMRVDataPrezn6 2 2" xfId="2000" xr:uid="{00000000-0005-0000-0000-0000D2040000}"/>
    <cellStyle name="clsMRVDataPrezn6 2 2 2" xfId="2359" xr:uid="{00000000-0005-0000-0000-0000D3040000}"/>
    <cellStyle name="clsMRVDataPrezn6 2 3" xfId="1265" xr:uid="{00000000-0005-0000-0000-0000D4040000}"/>
    <cellStyle name="clsMRVDataPrezn6 3" xfId="1703" xr:uid="{00000000-0005-0000-0000-0000D5040000}"/>
    <cellStyle name="clsMRVDataPrezn6 3 2" xfId="2207" xr:uid="{00000000-0005-0000-0000-0000D6040000}"/>
    <cellStyle name="clsMRVDataPrezn6 4" xfId="2454" xr:uid="{00000000-0005-0000-0000-0000D7040000}"/>
    <cellStyle name="clsReportFooter" xfId="317" xr:uid="{00000000-0005-0000-0000-0000D8040000}"/>
    <cellStyle name="clsReportFooter 2" xfId="318" xr:uid="{00000000-0005-0000-0000-0000D9040000}"/>
    <cellStyle name="clsReportFooter 2 2" xfId="319" xr:uid="{00000000-0005-0000-0000-0000DA040000}"/>
    <cellStyle name="clsReportFooter 2 2 2" xfId="1529" xr:uid="{00000000-0005-0000-0000-0000DB040000}"/>
    <cellStyle name="clsReportFooter 2 2 2 2" xfId="2003" xr:uid="{00000000-0005-0000-0000-0000DC040000}"/>
    <cellStyle name="clsReportFooter 2 2 2 2 2" xfId="2586" xr:uid="{00000000-0005-0000-0000-0000DD040000}"/>
    <cellStyle name="clsReportFooter 2 2 2 3" xfId="1353" xr:uid="{00000000-0005-0000-0000-0000DE040000}"/>
    <cellStyle name="clsReportFooter 2 2 3" xfId="1700" xr:uid="{00000000-0005-0000-0000-0000DF040000}"/>
    <cellStyle name="clsReportFooter 2 2 3 2" xfId="2376" xr:uid="{00000000-0005-0000-0000-0000E0040000}"/>
    <cellStyle name="clsReportFooter 2 2 4" xfId="2363" xr:uid="{00000000-0005-0000-0000-0000E1040000}"/>
    <cellStyle name="clsReportFooter 2 3" xfId="1528" xr:uid="{00000000-0005-0000-0000-0000E2040000}"/>
    <cellStyle name="clsReportFooter 2 3 2" xfId="2002" xr:uid="{00000000-0005-0000-0000-0000E3040000}"/>
    <cellStyle name="clsReportFooter 2 3 2 2" xfId="2580" xr:uid="{00000000-0005-0000-0000-0000E4040000}"/>
    <cellStyle name="clsReportFooter 2 3 3" xfId="1397" xr:uid="{00000000-0005-0000-0000-0000E5040000}"/>
    <cellStyle name="clsReportFooter 2 4" xfId="1701" xr:uid="{00000000-0005-0000-0000-0000E6040000}"/>
    <cellStyle name="clsReportFooter 2 4 2" xfId="2618" xr:uid="{00000000-0005-0000-0000-0000E7040000}"/>
    <cellStyle name="clsReportFooter 2 5" xfId="2166" xr:uid="{00000000-0005-0000-0000-0000E8040000}"/>
    <cellStyle name="clsReportFooter 3" xfId="320" xr:uid="{00000000-0005-0000-0000-0000E9040000}"/>
    <cellStyle name="clsReportFooter 3 2" xfId="1530" xr:uid="{00000000-0005-0000-0000-0000EA040000}"/>
    <cellStyle name="clsReportFooter 3 2 2" xfId="2004" xr:uid="{00000000-0005-0000-0000-0000EB040000}"/>
    <cellStyle name="clsReportFooter 3 2 2 2" xfId="2420" xr:uid="{00000000-0005-0000-0000-0000EC040000}"/>
    <cellStyle name="clsReportFooter 3 2 3" xfId="2116" xr:uid="{00000000-0005-0000-0000-0000ED040000}"/>
    <cellStyle name="clsReportFooter 3 3" xfId="1699" xr:uid="{00000000-0005-0000-0000-0000EE040000}"/>
    <cellStyle name="clsReportFooter 3 3 2" xfId="2206" xr:uid="{00000000-0005-0000-0000-0000EF040000}"/>
    <cellStyle name="clsReportFooter 3 4" xfId="1685" xr:uid="{00000000-0005-0000-0000-0000F0040000}"/>
    <cellStyle name="clsReportFooter 4" xfId="1527" xr:uid="{00000000-0005-0000-0000-0000F1040000}"/>
    <cellStyle name="clsReportFooter 4 2" xfId="2001" xr:uid="{00000000-0005-0000-0000-0000F2040000}"/>
    <cellStyle name="clsReportFooter 4 2 2" xfId="2360" xr:uid="{00000000-0005-0000-0000-0000F3040000}"/>
    <cellStyle name="clsReportFooter 4 3" xfId="1266" xr:uid="{00000000-0005-0000-0000-0000F4040000}"/>
    <cellStyle name="clsReportFooter 5" xfId="1702" xr:uid="{00000000-0005-0000-0000-0000F5040000}"/>
    <cellStyle name="clsReportFooter 5 2" xfId="2121" xr:uid="{00000000-0005-0000-0000-0000F6040000}"/>
    <cellStyle name="clsReportFooter 6" xfId="2402" xr:uid="{00000000-0005-0000-0000-0000F7040000}"/>
    <cellStyle name="clsReportHeader" xfId="321" xr:uid="{00000000-0005-0000-0000-0000F8040000}"/>
    <cellStyle name="clsReportHeader 2" xfId="322" xr:uid="{00000000-0005-0000-0000-0000F9040000}"/>
    <cellStyle name="clsReportHeader 2 2" xfId="323" xr:uid="{00000000-0005-0000-0000-0000FA040000}"/>
    <cellStyle name="clsReportHeader 2 2 2" xfId="1533" xr:uid="{00000000-0005-0000-0000-0000FB040000}"/>
    <cellStyle name="clsReportHeader 2 2 2 2" xfId="2007" xr:uid="{00000000-0005-0000-0000-0000FC040000}"/>
    <cellStyle name="clsReportHeader 2 2 2 2 2" xfId="2687" xr:uid="{00000000-0005-0000-0000-0000FD040000}"/>
    <cellStyle name="clsReportHeader 2 2 2 3" xfId="2142" xr:uid="{00000000-0005-0000-0000-0000FE040000}"/>
    <cellStyle name="clsReportHeader 2 2 3" xfId="1696" xr:uid="{00000000-0005-0000-0000-0000FF040000}"/>
    <cellStyle name="clsReportHeader 2 2 3 2" xfId="2423" xr:uid="{00000000-0005-0000-0000-000000050000}"/>
    <cellStyle name="clsReportHeader 2 2 4" xfId="2406" xr:uid="{00000000-0005-0000-0000-000001050000}"/>
    <cellStyle name="clsReportHeader 2 3" xfId="1532" xr:uid="{00000000-0005-0000-0000-000002050000}"/>
    <cellStyle name="clsReportHeader 2 3 2" xfId="2006" xr:uid="{00000000-0005-0000-0000-000003050000}"/>
    <cellStyle name="clsReportHeader 2 3 2 2" xfId="2686" xr:uid="{00000000-0005-0000-0000-000004050000}"/>
    <cellStyle name="clsReportHeader 2 3 3" xfId="1264" xr:uid="{00000000-0005-0000-0000-000005050000}"/>
    <cellStyle name="clsReportHeader 2 4" xfId="1697" xr:uid="{00000000-0005-0000-0000-000006050000}"/>
    <cellStyle name="clsReportHeader 2 4 2" xfId="2619" xr:uid="{00000000-0005-0000-0000-000007050000}"/>
    <cellStyle name="clsReportHeader 2 5" xfId="2458" xr:uid="{00000000-0005-0000-0000-000008050000}"/>
    <cellStyle name="clsReportHeader 3" xfId="324" xr:uid="{00000000-0005-0000-0000-000009050000}"/>
    <cellStyle name="clsReportHeader 3 2" xfId="1534" xr:uid="{00000000-0005-0000-0000-00000A050000}"/>
    <cellStyle name="clsReportHeader 3 2 2" xfId="2008" xr:uid="{00000000-0005-0000-0000-00000B050000}"/>
    <cellStyle name="clsReportHeader 3 2 2 2" xfId="2688" xr:uid="{00000000-0005-0000-0000-00000C050000}"/>
    <cellStyle name="clsReportHeader 3 2 3" xfId="2145" xr:uid="{00000000-0005-0000-0000-00000D050000}"/>
    <cellStyle name="clsReportHeader 3 3" xfId="1695" xr:uid="{00000000-0005-0000-0000-00000E050000}"/>
    <cellStyle name="clsReportHeader 3 3 2" xfId="2205" xr:uid="{00000000-0005-0000-0000-00000F050000}"/>
    <cellStyle name="clsReportHeader 3 4" xfId="1294" xr:uid="{00000000-0005-0000-0000-000010050000}"/>
    <cellStyle name="clsReportHeader 4" xfId="1531" xr:uid="{00000000-0005-0000-0000-000011050000}"/>
    <cellStyle name="clsReportHeader 4 2" xfId="2005" xr:uid="{00000000-0005-0000-0000-000012050000}"/>
    <cellStyle name="clsReportHeader 4 2 2" xfId="2361" xr:uid="{00000000-0005-0000-0000-000013050000}"/>
    <cellStyle name="clsReportHeader 4 3" xfId="2180" xr:uid="{00000000-0005-0000-0000-000014050000}"/>
    <cellStyle name="clsReportHeader 5" xfId="1698" xr:uid="{00000000-0005-0000-0000-000015050000}"/>
    <cellStyle name="clsReportHeader 5 2" xfId="2185" xr:uid="{00000000-0005-0000-0000-000016050000}"/>
    <cellStyle name="clsReportHeader 6" xfId="1633" xr:uid="{00000000-0005-0000-0000-000017050000}"/>
    <cellStyle name="clsRowHeader" xfId="325" xr:uid="{00000000-0005-0000-0000-000018050000}"/>
    <cellStyle name="clsRowHeader 2" xfId="326" xr:uid="{00000000-0005-0000-0000-000019050000}"/>
    <cellStyle name="clsRowHeader 2 2" xfId="327" xr:uid="{00000000-0005-0000-0000-00001A050000}"/>
    <cellStyle name="clsRowHeader 2 2 2" xfId="1537" xr:uid="{00000000-0005-0000-0000-00001B050000}"/>
    <cellStyle name="clsRowHeader 2 2 2 2" xfId="2011" xr:uid="{00000000-0005-0000-0000-00001C050000}"/>
    <cellStyle name="clsRowHeader 2 2 2 2 2" xfId="2691" xr:uid="{00000000-0005-0000-0000-00001D050000}"/>
    <cellStyle name="clsRowHeader 2 2 2 3" xfId="2146" xr:uid="{00000000-0005-0000-0000-00001E050000}"/>
    <cellStyle name="clsRowHeader 2 2 3" xfId="1692" xr:uid="{00000000-0005-0000-0000-00001F050000}"/>
    <cellStyle name="clsRowHeader 2 2 3 2" xfId="2381" xr:uid="{00000000-0005-0000-0000-000020050000}"/>
    <cellStyle name="clsRowHeader 2 2 4" xfId="2457" xr:uid="{00000000-0005-0000-0000-000021050000}"/>
    <cellStyle name="clsRowHeader 2 3" xfId="1536" xr:uid="{00000000-0005-0000-0000-000022050000}"/>
    <cellStyle name="clsRowHeader 2 3 2" xfId="2010" xr:uid="{00000000-0005-0000-0000-000023050000}"/>
    <cellStyle name="clsRowHeader 2 3 2 2" xfId="2690" xr:uid="{00000000-0005-0000-0000-000024050000}"/>
    <cellStyle name="clsRowHeader 2 3 3" xfId="1846" xr:uid="{00000000-0005-0000-0000-000025050000}"/>
    <cellStyle name="clsRowHeader 2 4" xfId="1693" xr:uid="{00000000-0005-0000-0000-000026050000}"/>
    <cellStyle name="clsRowHeader 2 4 2" xfId="2620" xr:uid="{00000000-0005-0000-0000-000027050000}"/>
    <cellStyle name="clsRowHeader 2 5" xfId="2407" xr:uid="{00000000-0005-0000-0000-000028050000}"/>
    <cellStyle name="clsRowHeader 3" xfId="328" xr:uid="{00000000-0005-0000-0000-000029050000}"/>
    <cellStyle name="clsRowHeader 3 2" xfId="1538" xr:uid="{00000000-0005-0000-0000-00002A050000}"/>
    <cellStyle name="clsRowHeader 3 2 2" xfId="2012" xr:uid="{00000000-0005-0000-0000-00002B050000}"/>
    <cellStyle name="clsRowHeader 3 2 2 2" xfId="2692" xr:uid="{00000000-0005-0000-0000-00002C050000}"/>
    <cellStyle name="clsRowHeader 3 2 3" xfId="2144" xr:uid="{00000000-0005-0000-0000-00002D050000}"/>
    <cellStyle name="clsRowHeader 3 3" xfId="1691" xr:uid="{00000000-0005-0000-0000-00002E050000}"/>
    <cellStyle name="clsRowHeader 3 3 2" xfId="2204" xr:uid="{00000000-0005-0000-0000-00002F050000}"/>
    <cellStyle name="clsRowHeader 3 4" xfId="2405" xr:uid="{00000000-0005-0000-0000-000030050000}"/>
    <cellStyle name="clsRowHeader 4" xfId="1535" xr:uid="{00000000-0005-0000-0000-000031050000}"/>
    <cellStyle name="clsRowHeader 4 2" xfId="2009" xr:uid="{00000000-0005-0000-0000-000032050000}"/>
    <cellStyle name="clsRowHeader 4 2 2" xfId="2689" xr:uid="{00000000-0005-0000-0000-000033050000}"/>
    <cellStyle name="clsRowHeader 4 3" xfId="1636" xr:uid="{00000000-0005-0000-0000-000034050000}"/>
    <cellStyle name="clsRowHeader 5" xfId="1694" xr:uid="{00000000-0005-0000-0000-000035050000}"/>
    <cellStyle name="clsRowHeader 5 2" xfId="2137" xr:uid="{00000000-0005-0000-0000-000036050000}"/>
    <cellStyle name="clsRowHeader 6" xfId="2459" xr:uid="{00000000-0005-0000-0000-000037050000}"/>
    <cellStyle name="clsScale" xfId="329" xr:uid="{00000000-0005-0000-0000-000038050000}"/>
    <cellStyle name="clsSection" xfId="330" xr:uid="{00000000-0005-0000-0000-000039050000}"/>
    <cellStyle name="clsSection 2" xfId="331" xr:uid="{00000000-0005-0000-0000-00003A050000}"/>
    <cellStyle name="clsSection 2 2" xfId="332" xr:uid="{00000000-0005-0000-0000-00003B050000}"/>
    <cellStyle name="clsSection 2 2 2" xfId="1541" xr:uid="{00000000-0005-0000-0000-00003C050000}"/>
    <cellStyle name="clsSection 2 2 2 2" xfId="2015" xr:uid="{00000000-0005-0000-0000-00003D050000}"/>
    <cellStyle name="clsSection 2 2 2 2 2" xfId="2695" xr:uid="{00000000-0005-0000-0000-00003E050000}"/>
    <cellStyle name="clsSection 2 2 2 3" xfId="2375" xr:uid="{00000000-0005-0000-0000-00003F050000}"/>
    <cellStyle name="clsSection 2 2 3" xfId="1200" xr:uid="{00000000-0005-0000-0000-000040050000}"/>
    <cellStyle name="clsSection 2 2 3 2" xfId="2152" xr:uid="{00000000-0005-0000-0000-000041050000}"/>
    <cellStyle name="clsSection 2 2 4" xfId="1198" xr:uid="{00000000-0005-0000-0000-000042050000}"/>
    <cellStyle name="clsSection 2 3" xfId="1540" xr:uid="{00000000-0005-0000-0000-000043050000}"/>
    <cellStyle name="clsSection 2 3 2" xfId="2014" xr:uid="{00000000-0005-0000-0000-000044050000}"/>
    <cellStyle name="clsSection 2 3 2 2" xfId="2694" xr:uid="{00000000-0005-0000-0000-000045050000}"/>
    <cellStyle name="clsSection 2 3 3" xfId="2132" xr:uid="{00000000-0005-0000-0000-000046050000}"/>
    <cellStyle name="clsSection 2 4" xfId="1652" xr:uid="{00000000-0005-0000-0000-000047050000}"/>
    <cellStyle name="clsSection 2 4 2" xfId="2380" xr:uid="{00000000-0005-0000-0000-000048050000}"/>
    <cellStyle name="clsSection 2 5" xfId="2408" xr:uid="{00000000-0005-0000-0000-000049050000}"/>
    <cellStyle name="clsSection 3" xfId="333" xr:uid="{00000000-0005-0000-0000-00004A050000}"/>
    <cellStyle name="clsSection 3 2" xfId="1542" xr:uid="{00000000-0005-0000-0000-00004B050000}"/>
    <cellStyle name="clsSection 3 2 2" xfId="2016" xr:uid="{00000000-0005-0000-0000-00004C050000}"/>
    <cellStyle name="clsSection 3 2 2 2" xfId="2696" xr:uid="{00000000-0005-0000-0000-00004D050000}"/>
    <cellStyle name="clsSection 3 2 3" xfId="1387" xr:uid="{00000000-0005-0000-0000-00004E050000}"/>
    <cellStyle name="clsSection 3 3" xfId="1365" xr:uid="{00000000-0005-0000-0000-00004F050000}"/>
    <cellStyle name="clsSection 3 3 2" xfId="2494" xr:uid="{00000000-0005-0000-0000-000050050000}"/>
    <cellStyle name="clsSection 3 4" xfId="2461" xr:uid="{00000000-0005-0000-0000-000051050000}"/>
    <cellStyle name="clsSection 4" xfId="1539" xr:uid="{00000000-0005-0000-0000-000052050000}"/>
    <cellStyle name="clsSection 4 2" xfId="2013" xr:uid="{00000000-0005-0000-0000-000053050000}"/>
    <cellStyle name="clsSection 4 2 2" xfId="2693" xr:uid="{00000000-0005-0000-0000-000054050000}"/>
    <cellStyle name="clsSection 4 3" xfId="2173" xr:uid="{00000000-0005-0000-0000-000055050000}"/>
    <cellStyle name="clsSection 5" xfId="1690" xr:uid="{00000000-0005-0000-0000-000056050000}"/>
    <cellStyle name="clsSection 5 2" xfId="1288" xr:uid="{00000000-0005-0000-0000-000057050000}"/>
    <cellStyle name="clsSection 6" xfId="2460" xr:uid="{00000000-0005-0000-0000-000058050000}"/>
    <cellStyle name="Column heading" xfId="334" xr:uid="{00000000-0005-0000-0000-000059050000}"/>
    <cellStyle name="ColumnHeading" xfId="335" xr:uid="{00000000-0005-0000-0000-00005A050000}"/>
    <cellStyle name="Comet" xfId="336" xr:uid="{00000000-0005-0000-0000-00005B050000}"/>
    <cellStyle name="Comma" xfId="1184" builtinId="3"/>
    <cellStyle name="Comma  - Style1" xfId="337" xr:uid="{00000000-0005-0000-0000-00005D050000}"/>
    <cellStyle name="Comma  - Style2" xfId="338" xr:uid="{00000000-0005-0000-0000-00005E050000}"/>
    <cellStyle name="Comma  - Style3" xfId="339" xr:uid="{00000000-0005-0000-0000-00005F050000}"/>
    <cellStyle name="Comma  - Style4" xfId="340" xr:uid="{00000000-0005-0000-0000-000060050000}"/>
    <cellStyle name="Comma  - Style5" xfId="341" xr:uid="{00000000-0005-0000-0000-000061050000}"/>
    <cellStyle name="Comma  - Style6" xfId="342" xr:uid="{00000000-0005-0000-0000-000062050000}"/>
    <cellStyle name="Comma  - Style7" xfId="343" xr:uid="{00000000-0005-0000-0000-000063050000}"/>
    <cellStyle name="Comma  - Style8" xfId="344" xr:uid="{00000000-0005-0000-0000-000064050000}"/>
    <cellStyle name="Comma [1]" xfId="345" xr:uid="{00000000-0005-0000-0000-000065050000}"/>
    <cellStyle name="Comma 0" xfId="346" xr:uid="{00000000-0005-0000-0000-000066050000}"/>
    <cellStyle name="Comma 1" xfId="347" xr:uid="{00000000-0005-0000-0000-000067050000}"/>
    <cellStyle name="Comma 10" xfId="348" xr:uid="{00000000-0005-0000-0000-000068050000}"/>
    <cellStyle name="Comma 10 2" xfId="1543" xr:uid="{00000000-0005-0000-0000-000069050000}"/>
    <cellStyle name="Comma 10 2 2" xfId="2017" xr:uid="{00000000-0005-0000-0000-00006A050000}"/>
    <cellStyle name="Comma 10 3" xfId="1298" xr:uid="{00000000-0005-0000-0000-00006B050000}"/>
    <cellStyle name="Comma 10 3 2" xfId="1853" xr:uid="{00000000-0005-0000-0000-00006C050000}"/>
    <cellStyle name="Comma 11" xfId="349" xr:uid="{00000000-0005-0000-0000-00006D050000}"/>
    <cellStyle name="Comma 11 2" xfId="350" xr:uid="{00000000-0005-0000-0000-00006E050000}"/>
    <cellStyle name="Comma 11 2 2" xfId="1545" xr:uid="{00000000-0005-0000-0000-00006F050000}"/>
    <cellStyle name="Comma 11 2 2 2" xfId="2019" xr:uid="{00000000-0005-0000-0000-000070050000}"/>
    <cellStyle name="Comma 11 2 3" xfId="1300" xr:uid="{00000000-0005-0000-0000-000071050000}"/>
    <cellStyle name="Comma 11 2 3 2" xfId="1855" xr:uid="{00000000-0005-0000-0000-000072050000}"/>
    <cellStyle name="Comma 11 3" xfId="1544" xr:uid="{00000000-0005-0000-0000-000073050000}"/>
    <cellStyle name="Comma 11 3 2" xfId="2018" xr:uid="{00000000-0005-0000-0000-000074050000}"/>
    <cellStyle name="Comma 11 4" xfId="1299" xr:uid="{00000000-0005-0000-0000-000075050000}"/>
    <cellStyle name="Comma 11 4 2" xfId="1854" xr:uid="{00000000-0005-0000-0000-000076050000}"/>
    <cellStyle name="Comma 12" xfId="351" xr:uid="{00000000-0005-0000-0000-000077050000}"/>
    <cellStyle name="Comma 12 2" xfId="1546" xr:uid="{00000000-0005-0000-0000-000078050000}"/>
    <cellStyle name="Comma 12 2 2" xfId="2020" xr:uid="{00000000-0005-0000-0000-000079050000}"/>
    <cellStyle name="Comma 12 3" xfId="1301" xr:uid="{00000000-0005-0000-0000-00007A050000}"/>
    <cellStyle name="Comma 12 3 2" xfId="1856" xr:uid="{00000000-0005-0000-0000-00007B050000}"/>
    <cellStyle name="Comma 13" xfId="352" xr:uid="{00000000-0005-0000-0000-00007C050000}"/>
    <cellStyle name="Comma 13 2" xfId="353" xr:uid="{00000000-0005-0000-0000-00007D050000}"/>
    <cellStyle name="Comma 13 2 2" xfId="1548" xr:uid="{00000000-0005-0000-0000-00007E050000}"/>
    <cellStyle name="Comma 13 2 2 2" xfId="2022" xr:uid="{00000000-0005-0000-0000-00007F050000}"/>
    <cellStyle name="Comma 13 2 3" xfId="1303" xr:uid="{00000000-0005-0000-0000-000080050000}"/>
    <cellStyle name="Comma 13 2 3 2" xfId="1858" xr:uid="{00000000-0005-0000-0000-000081050000}"/>
    <cellStyle name="Comma 13 3" xfId="354" xr:uid="{00000000-0005-0000-0000-000082050000}"/>
    <cellStyle name="Comma 13 3 2" xfId="1549" xr:uid="{00000000-0005-0000-0000-000083050000}"/>
    <cellStyle name="Comma 13 3 2 2" xfId="2023" xr:uid="{00000000-0005-0000-0000-000084050000}"/>
    <cellStyle name="Comma 13 3 3" xfId="1304" xr:uid="{00000000-0005-0000-0000-000085050000}"/>
    <cellStyle name="Comma 13 3 3 2" xfId="1859" xr:uid="{00000000-0005-0000-0000-000086050000}"/>
    <cellStyle name="Comma 13 4" xfId="1547" xr:uid="{00000000-0005-0000-0000-000087050000}"/>
    <cellStyle name="Comma 13 4 2" xfId="2021" xr:uid="{00000000-0005-0000-0000-000088050000}"/>
    <cellStyle name="Comma 13 5" xfId="1302" xr:uid="{00000000-0005-0000-0000-000089050000}"/>
    <cellStyle name="Comma 13 5 2" xfId="1857" xr:uid="{00000000-0005-0000-0000-00008A050000}"/>
    <cellStyle name="Comma 14" xfId="355" xr:uid="{00000000-0005-0000-0000-00008B050000}"/>
    <cellStyle name="Comma 14 2" xfId="1550" xr:uid="{00000000-0005-0000-0000-00008C050000}"/>
    <cellStyle name="Comma 14 2 2" xfId="2024" xr:uid="{00000000-0005-0000-0000-00008D050000}"/>
    <cellStyle name="Comma 14 3" xfId="1305" xr:uid="{00000000-0005-0000-0000-00008E050000}"/>
    <cellStyle name="Comma 14 3 2" xfId="1860" xr:uid="{00000000-0005-0000-0000-00008F050000}"/>
    <cellStyle name="Comma 15" xfId="356" xr:uid="{00000000-0005-0000-0000-000090050000}"/>
    <cellStyle name="Comma 15 2" xfId="1551" xr:uid="{00000000-0005-0000-0000-000091050000}"/>
    <cellStyle name="Comma 15 2 2" xfId="2025" xr:uid="{00000000-0005-0000-0000-000092050000}"/>
    <cellStyle name="Comma 15 3" xfId="1306" xr:uid="{00000000-0005-0000-0000-000093050000}"/>
    <cellStyle name="Comma 15 3 2" xfId="1861" xr:uid="{00000000-0005-0000-0000-000094050000}"/>
    <cellStyle name="Comma 16" xfId="1630" xr:uid="{00000000-0005-0000-0000-000095050000}"/>
    <cellStyle name="Comma 16 2" xfId="2100" xr:uid="{00000000-0005-0000-0000-000096050000}"/>
    <cellStyle name="Comma 17" xfId="1409" xr:uid="{00000000-0005-0000-0000-000097050000}"/>
    <cellStyle name="Comma 17 2" xfId="1884" xr:uid="{00000000-0005-0000-0000-000098050000}"/>
    <cellStyle name="Comma 18" xfId="1643" xr:uid="{00000000-0005-0000-0000-000099050000}"/>
    <cellStyle name="Comma 18 2" xfId="2101" xr:uid="{00000000-0005-0000-0000-00009A050000}"/>
    <cellStyle name="Comma 19" xfId="1366" xr:uid="{00000000-0005-0000-0000-00009B050000}"/>
    <cellStyle name="Comma 19 2" xfId="1883" xr:uid="{00000000-0005-0000-0000-00009C050000}"/>
    <cellStyle name="Comma 2" xfId="357" xr:uid="{00000000-0005-0000-0000-00009D050000}"/>
    <cellStyle name="Comma 2 2" xfId="358" xr:uid="{00000000-0005-0000-0000-00009E050000}"/>
    <cellStyle name="Comma 2 2 2" xfId="1553" xr:uid="{00000000-0005-0000-0000-00009F050000}"/>
    <cellStyle name="Comma 2 2 3" xfId="1308" xr:uid="{00000000-0005-0000-0000-0000A0050000}"/>
    <cellStyle name="Comma 2 3" xfId="359" xr:uid="{00000000-0005-0000-0000-0000A1050000}"/>
    <cellStyle name="Comma 2 3 2" xfId="1554" xr:uid="{00000000-0005-0000-0000-0000A2050000}"/>
    <cellStyle name="Comma 2 3 2 2" xfId="2026" xr:uid="{00000000-0005-0000-0000-0000A3050000}"/>
    <cellStyle name="Comma 2 3 3" xfId="1309" xr:uid="{00000000-0005-0000-0000-0000A4050000}"/>
    <cellStyle name="Comma 2 3 3 2" xfId="1862" xr:uid="{00000000-0005-0000-0000-0000A5050000}"/>
    <cellStyle name="Comma 2 4" xfId="360" xr:uid="{00000000-0005-0000-0000-0000A6050000}"/>
    <cellStyle name="Comma 2 5" xfId="361" xr:uid="{00000000-0005-0000-0000-0000A7050000}"/>
    <cellStyle name="Comma 2 6" xfId="362" xr:uid="{00000000-0005-0000-0000-0000A8050000}"/>
    <cellStyle name="Comma 2 7" xfId="1552" xr:uid="{00000000-0005-0000-0000-0000A9050000}"/>
    <cellStyle name="Comma 2 8" xfId="1307" xr:uid="{00000000-0005-0000-0000-0000AA050000}"/>
    <cellStyle name="Comma 2_Periods" xfId="363" xr:uid="{00000000-0005-0000-0000-0000AB050000}"/>
    <cellStyle name="Comma 20" xfId="1201" xr:uid="{00000000-0005-0000-0000-0000AC050000}"/>
    <cellStyle name="Comma 20 2" xfId="1845" xr:uid="{00000000-0005-0000-0000-0000AD050000}"/>
    <cellStyle name="Comma 21" xfId="1844" xr:uid="{00000000-0005-0000-0000-0000AE050000}"/>
    <cellStyle name="Comma 21 2" xfId="2584" xr:uid="{00000000-0005-0000-0000-0000AF050000}"/>
    <cellStyle name="Comma 22" xfId="2102" xr:uid="{00000000-0005-0000-0000-0000B0050000}"/>
    <cellStyle name="Comma 22 2" xfId="2685" xr:uid="{00000000-0005-0000-0000-0000B1050000}"/>
    <cellStyle name="Comma 23" xfId="1650" xr:uid="{00000000-0005-0000-0000-0000B2050000}"/>
    <cellStyle name="Comma 23 2" xfId="2479" xr:uid="{00000000-0005-0000-0000-0000B3050000}"/>
    <cellStyle name="Comma 24" xfId="1849" xr:uid="{00000000-0005-0000-0000-0000B4050000}"/>
    <cellStyle name="Comma 24 2" xfId="2585" xr:uid="{00000000-0005-0000-0000-0000B5050000}"/>
    <cellStyle name="Comma 25" xfId="1676" xr:uid="{00000000-0005-0000-0000-0000B6050000}"/>
    <cellStyle name="Comma 25 2" xfId="2480" xr:uid="{00000000-0005-0000-0000-0000B7050000}"/>
    <cellStyle name="Comma 26" xfId="2438" xr:uid="{00000000-0005-0000-0000-0000B8050000}"/>
    <cellStyle name="Comma 27" xfId="1269" xr:uid="{00000000-0005-0000-0000-0000B9050000}"/>
    <cellStyle name="Comma 28" xfId="1340" xr:uid="{00000000-0005-0000-0000-0000BA050000}"/>
    <cellStyle name="Comma 29" xfId="2175" xr:uid="{00000000-0005-0000-0000-0000BB050000}"/>
    <cellStyle name="Comma 3" xfId="364" xr:uid="{00000000-0005-0000-0000-0000BC050000}"/>
    <cellStyle name="Comma 3 2" xfId="365" xr:uid="{00000000-0005-0000-0000-0000BD050000}"/>
    <cellStyle name="Comma 3 2 2" xfId="1556" xr:uid="{00000000-0005-0000-0000-0000BE050000}"/>
    <cellStyle name="Comma 3 2 2 2" xfId="2027" xr:uid="{00000000-0005-0000-0000-0000BF050000}"/>
    <cellStyle name="Comma 3 2 3" xfId="1311" xr:uid="{00000000-0005-0000-0000-0000C0050000}"/>
    <cellStyle name="Comma 3 2 3 2" xfId="1863" xr:uid="{00000000-0005-0000-0000-0000C1050000}"/>
    <cellStyle name="Comma 3 3" xfId="366" xr:uid="{00000000-0005-0000-0000-0000C2050000}"/>
    <cellStyle name="Comma 3 3 2" xfId="1557" xr:uid="{00000000-0005-0000-0000-0000C3050000}"/>
    <cellStyle name="Comma 3 3 2 2" xfId="2028" xr:uid="{00000000-0005-0000-0000-0000C4050000}"/>
    <cellStyle name="Comma 3 3 3" xfId="1312" xr:uid="{00000000-0005-0000-0000-0000C5050000}"/>
    <cellStyle name="Comma 3 3 3 2" xfId="1864" xr:uid="{00000000-0005-0000-0000-0000C6050000}"/>
    <cellStyle name="Comma 3 4" xfId="1555" xr:uid="{00000000-0005-0000-0000-0000C7050000}"/>
    <cellStyle name="Comma 3 5" xfId="1310" xr:uid="{00000000-0005-0000-0000-0000C8050000}"/>
    <cellStyle name="Comma 4" xfId="367" xr:uid="{00000000-0005-0000-0000-0000C9050000}"/>
    <cellStyle name="Comma 4 2" xfId="1558" xr:uid="{00000000-0005-0000-0000-0000CA050000}"/>
    <cellStyle name="Comma 4 2 2" xfId="2029" xr:uid="{00000000-0005-0000-0000-0000CB050000}"/>
    <cellStyle name="Comma 4 3" xfId="1313" xr:uid="{00000000-0005-0000-0000-0000CC050000}"/>
    <cellStyle name="Comma 4 3 2" xfId="1865" xr:uid="{00000000-0005-0000-0000-0000CD050000}"/>
    <cellStyle name="Comma 5" xfId="368" xr:uid="{00000000-0005-0000-0000-0000CE050000}"/>
    <cellStyle name="Comma 5 2" xfId="1559" xr:uid="{00000000-0005-0000-0000-0000CF050000}"/>
    <cellStyle name="Comma 5 2 2" xfId="2030" xr:uid="{00000000-0005-0000-0000-0000D0050000}"/>
    <cellStyle name="Comma 5 3" xfId="1314" xr:uid="{00000000-0005-0000-0000-0000D1050000}"/>
    <cellStyle name="Comma 5 3 2" xfId="1866" xr:uid="{00000000-0005-0000-0000-0000D2050000}"/>
    <cellStyle name="Comma 6" xfId="369" xr:uid="{00000000-0005-0000-0000-0000D3050000}"/>
    <cellStyle name="Comma 6 2" xfId="1560" xr:uid="{00000000-0005-0000-0000-0000D4050000}"/>
    <cellStyle name="Comma 6 2 2" xfId="2031" xr:uid="{00000000-0005-0000-0000-0000D5050000}"/>
    <cellStyle name="Comma 6 3" xfId="1315" xr:uid="{00000000-0005-0000-0000-0000D6050000}"/>
    <cellStyle name="Comma 6 3 2" xfId="1867" xr:uid="{00000000-0005-0000-0000-0000D7050000}"/>
    <cellStyle name="Comma 7" xfId="370" xr:uid="{00000000-0005-0000-0000-0000D8050000}"/>
    <cellStyle name="Comma 7 2" xfId="1561" xr:uid="{00000000-0005-0000-0000-0000D9050000}"/>
    <cellStyle name="Comma 7 2 2" xfId="2032" xr:uid="{00000000-0005-0000-0000-0000DA050000}"/>
    <cellStyle name="Comma 7 3" xfId="1316" xr:uid="{00000000-0005-0000-0000-0000DB050000}"/>
    <cellStyle name="Comma 7 3 2" xfId="1868" xr:uid="{00000000-0005-0000-0000-0000DC050000}"/>
    <cellStyle name="Comma 8" xfId="371" xr:uid="{00000000-0005-0000-0000-0000DD050000}"/>
    <cellStyle name="Comma 8 2" xfId="1562" xr:uid="{00000000-0005-0000-0000-0000DE050000}"/>
    <cellStyle name="Comma 8 2 2" xfId="2033" xr:uid="{00000000-0005-0000-0000-0000DF050000}"/>
    <cellStyle name="Comma 8 3" xfId="1317" xr:uid="{00000000-0005-0000-0000-0000E0050000}"/>
    <cellStyle name="Comma 8 3 2" xfId="1869" xr:uid="{00000000-0005-0000-0000-0000E1050000}"/>
    <cellStyle name="Comma 9" xfId="372" xr:uid="{00000000-0005-0000-0000-0000E2050000}"/>
    <cellStyle name="Comma 9 2" xfId="1563" xr:uid="{00000000-0005-0000-0000-0000E3050000}"/>
    <cellStyle name="Comma 9 2 2" xfId="2034" xr:uid="{00000000-0005-0000-0000-0000E4050000}"/>
    <cellStyle name="Comma 9 3" xfId="1318" xr:uid="{00000000-0005-0000-0000-0000E5050000}"/>
    <cellStyle name="Comma 9 3 2" xfId="1870" xr:uid="{00000000-0005-0000-0000-0000E6050000}"/>
    <cellStyle name="Comma0" xfId="373" xr:uid="{00000000-0005-0000-0000-0000E7050000}"/>
    <cellStyle name="Comma0 2" xfId="374" xr:uid="{00000000-0005-0000-0000-0000E8050000}"/>
    <cellStyle name="Comma1" xfId="375" xr:uid="{00000000-0005-0000-0000-0000E9050000}"/>
    <cellStyle name="CompanyNum" xfId="376" xr:uid="{00000000-0005-0000-0000-0000EA050000}"/>
    <cellStyle name="Constants" xfId="377" xr:uid="{00000000-0005-0000-0000-0000EB050000}"/>
    <cellStyle name="Corner heading" xfId="378" xr:uid="{00000000-0005-0000-0000-0000EC050000}"/>
    <cellStyle name="Currency" xfId="1185" builtinId="4"/>
    <cellStyle name="Currency 2" xfId="379" xr:uid="{00000000-0005-0000-0000-0000EE050000}"/>
    <cellStyle name="Currency 2 2" xfId="380" xr:uid="{00000000-0005-0000-0000-0000EF050000}"/>
    <cellStyle name="Currency 3" xfId="381" xr:uid="{00000000-0005-0000-0000-0000F0050000}"/>
    <cellStyle name="Currency 4" xfId="382" xr:uid="{00000000-0005-0000-0000-0000F1050000}"/>
    <cellStyle name="Currency0" xfId="383" xr:uid="{00000000-0005-0000-0000-0000F2050000}"/>
    <cellStyle name="Currency0 2" xfId="384" xr:uid="{00000000-0005-0000-0000-0000F3050000}"/>
    <cellStyle name="CustomCellsOrange" xfId="385" xr:uid="{00000000-0005-0000-0000-0000F4050000}"/>
    <cellStyle name="CustomizationCells" xfId="386" xr:uid="{00000000-0005-0000-0000-0000F5050000}"/>
    <cellStyle name="CustomizationGreenCells" xfId="387" xr:uid="{00000000-0005-0000-0000-0000F6050000}"/>
    <cellStyle name="Data" xfId="388" xr:uid="{00000000-0005-0000-0000-0000F7050000}"/>
    <cellStyle name="Data no deci" xfId="389" xr:uid="{00000000-0005-0000-0000-0000F8050000}"/>
    <cellStyle name="Data Superscript" xfId="390" xr:uid="{00000000-0005-0000-0000-0000F9050000}"/>
    <cellStyle name="Data_081013 Data Request 9-Link between GDP &amp; Demand growth" xfId="391" xr:uid="{00000000-0005-0000-0000-0000FA050000}"/>
    <cellStyle name="Data-one deci" xfId="392" xr:uid="{00000000-0005-0000-0000-0000FB050000}"/>
    <cellStyle name="Date" xfId="393" xr:uid="{00000000-0005-0000-0000-0000FC050000}"/>
    <cellStyle name="Date 2" xfId="394" xr:uid="{00000000-0005-0000-0000-0000FD050000}"/>
    <cellStyle name="Dezimal_Energiekosten_test" xfId="395" xr:uid="{00000000-0005-0000-0000-0000FE050000}"/>
    <cellStyle name="diskette" xfId="396" xr:uid="{00000000-0005-0000-0000-0000FF050000}"/>
    <cellStyle name="DocBox_EmptyRow" xfId="397" xr:uid="{00000000-0005-0000-0000-000000060000}"/>
    <cellStyle name="Dollars M" xfId="398" xr:uid="{00000000-0005-0000-0000-000001060000}"/>
    <cellStyle name="Eingabe" xfId="399" xr:uid="{00000000-0005-0000-0000-000002060000}"/>
    <cellStyle name="Eingabe 2" xfId="1564" xr:uid="{00000000-0005-0000-0000-000003060000}"/>
    <cellStyle name="Eingabe 2 2" xfId="2035" xr:uid="{00000000-0005-0000-0000-000004060000}"/>
    <cellStyle name="Eingabe 2 2 2" xfId="2697" xr:uid="{00000000-0005-0000-0000-000005060000}"/>
    <cellStyle name="Eingabe 2 3" xfId="2633" xr:uid="{00000000-0005-0000-0000-000006060000}"/>
    <cellStyle name="Eingabe 3" xfId="1653" xr:uid="{00000000-0005-0000-0000-000007060000}"/>
    <cellStyle name="Eingabe 3 2" xfId="2622" xr:uid="{00000000-0005-0000-0000-000008060000}"/>
    <cellStyle name="Eingabe 4" xfId="2684" xr:uid="{00000000-0005-0000-0000-000009060000}"/>
    <cellStyle name="Emphasis 1" xfId="400" xr:uid="{00000000-0005-0000-0000-00000A060000}"/>
    <cellStyle name="Emphasis 2" xfId="401" xr:uid="{00000000-0005-0000-0000-00000B060000}"/>
    <cellStyle name="Emphasis 3" xfId="402" xr:uid="{00000000-0005-0000-0000-00000C060000}"/>
    <cellStyle name="Empty_B_border" xfId="403" xr:uid="{00000000-0005-0000-0000-00000D060000}"/>
    <cellStyle name="Ergebnis" xfId="404" xr:uid="{00000000-0005-0000-0000-00000E060000}"/>
    <cellStyle name="Ergebnis 2" xfId="1565" xr:uid="{00000000-0005-0000-0000-00000F060000}"/>
    <cellStyle name="Ergebnis 2 2" xfId="2036" xr:uid="{00000000-0005-0000-0000-000010060000}"/>
    <cellStyle name="Ergebnis 2 2 2" xfId="2698" xr:uid="{00000000-0005-0000-0000-000011060000}"/>
    <cellStyle name="Ergebnis 2 3" xfId="1350" xr:uid="{00000000-0005-0000-0000-000012060000}"/>
    <cellStyle name="Ergebnis 3" xfId="1364" xr:uid="{00000000-0005-0000-0000-000013060000}"/>
    <cellStyle name="Ergebnis 3 2" xfId="1278" xr:uid="{00000000-0005-0000-0000-000014060000}"/>
    <cellStyle name="Ergebnis 4" xfId="2476" xr:uid="{00000000-0005-0000-0000-000015060000}"/>
    <cellStyle name="Erklärender Text" xfId="405" xr:uid="{00000000-0005-0000-0000-000016060000}"/>
    <cellStyle name="Error" xfId="406" xr:uid="{00000000-0005-0000-0000-000017060000}"/>
    <cellStyle name="Euro" xfId="407" xr:uid="{00000000-0005-0000-0000-000018060000}"/>
    <cellStyle name="Euro 2" xfId="408" xr:uid="{00000000-0005-0000-0000-000019060000}"/>
    <cellStyle name="Euro 3" xfId="409" xr:uid="{00000000-0005-0000-0000-00001A060000}"/>
    <cellStyle name="Euro 4" xfId="410" xr:uid="{00000000-0005-0000-0000-00001B060000}"/>
    <cellStyle name="Euro 4 2" xfId="411" xr:uid="{00000000-0005-0000-0000-00001C060000}"/>
    <cellStyle name="Euro 4 3" xfId="412" xr:uid="{00000000-0005-0000-0000-00001D060000}"/>
    <cellStyle name="Euro 5" xfId="413" xr:uid="{00000000-0005-0000-0000-00001E060000}"/>
    <cellStyle name="Euro 6" xfId="414" xr:uid="{00000000-0005-0000-0000-00001F060000}"/>
    <cellStyle name="Euro 7" xfId="415" xr:uid="{00000000-0005-0000-0000-000020060000}"/>
    <cellStyle name="Euro_America Latina 11" xfId="416" xr:uid="{00000000-0005-0000-0000-000021060000}"/>
    <cellStyle name="Excel.Chart" xfId="417" xr:uid="{00000000-0005-0000-0000-000022060000}"/>
    <cellStyle name="F2" xfId="418" xr:uid="{00000000-0005-0000-0000-000023060000}"/>
    <cellStyle name="F2 2" xfId="419" xr:uid="{00000000-0005-0000-0000-000024060000}"/>
    <cellStyle name="F3" xfId="420" xr:uid="{00000000-0005-0000-0000-000025060000}"/>
    <cellStyle name="F3 2" xfId="421" xr:uid="{00000000-0005-0000-0000-000026060000}"/>
    <cellStyle name="F4" xfId="422" xr:uid="{00000000-0005-0000-0000-000027060000}"/>
    <cellStyle name="F5" xfId="423" xr:uid="{00000000-0005-0000-0000-000028060000}"/>
    <cellStyle name="F6" xfId="424" xr:uid="{00000000-0005-0000-0000-000029060000}"/>
    <cellStyle name="F7" xfId="425" xr:uid="{00000000-0005-0000-0000-00002A060000}"/>
    <cellStyle name="F8" xfId="426" xr:uid="{00000000-0005-0000-0000-00002B060000}"/>
    <cellStyle name="facha" xfId="427" xr:uid="{00000000-0005-0000-0000-00002C060000}"/>
    <cellStyle name="Fecha" xfId="428" xr:uid="{00000000-0005-0000-0000-00002D060000}"/>
    <cellStyle name="Fijo" xfId="429" xr:uid="{00000000-0005-0000-0000-00002E060000}"/>
    <cellStyle name="Fixed" xfId="430" xr:uid="{00000000-0005-0000-0000-00002F060000}"/>
    <cellStyle name="Fixed 2" xfId="431" xr:uid="{00000000-0005-0000-0000-000030060000}"/>
    <cellStyle name="Fixo" xfId="432" xr:uid="{00000000-0005-0000-0000-000031060000}"/>
    <cellStyle name="Followed Hyperlink" xfId="433" xr:uid="{00000000-0005-0000-0000-000032060000}"/>
    <cellStyle name="Footer1" xfId="434" xr:uid="{00000000-0005-0000-0000-000033060000}"/>
    <cellStyle name="Footnote" xfId="435" xr:uid="{00000000-0005-0000-0000-000034060000}"/>
    <cellStyle name="For Quote Pages" xfId="436" xr:uid="{00000000-0005-0000-0000-000035060000}"/>
    <cellStyle name="Formula" xfId="437" xr:uid="{00000000-0005-0000-0000-000036060000}"/>
    <cellStyle name="Good 2" xfId="438" xr:uid="{00000000-0005-0000-0000-000037060000}"/>
    <cellStyle name="GOVDATA" xfId="439" xr:uid="{00000000-0005-0000-0000-000038060000}"/>
    <cellStyle name="Grey" xfId="440" xr:uid="{00000000-0005-0000-0000-000039060000}"/>
    <cellStyle name="Gut" xfId="441" xr:uid="{00000000-0005-0000-0000-00003A060000}"/>
    <cellStyle name="Header1" xfId="442" xr:uid="{00000000-0005-0000-0000-00003B060000}"/>
    <cellStyle name="Heading 1 2" xfId="443" xr:uid="{00000000-0005-0000-0000-00003C060000}"/>
    <cellStyle name="Heading 2 2" xfId="444" xr:uid="{00000000-0005-0000-0000-00003D060000}"/>
    <cellStyle name="Heading 3 2" xfId="445" xr:uid="{00000000-0005-0000-0000-00003E060000}"/>
    <cellStyle name="Heading 4 2" xfId="446" xr:uid="{00000000-0005-0000-0000-00003F060000}"/>
    <cellStyle name="Heading1" xfId="447" xr:uid="{00000000-0005-0000-0000-000040060000}"/>
    <cellStyle name="Heading2" xfId="448" xr:uid="{00000000-0005-0000-0000-000041060000}"/>
    <cellStyle name="Headline" xfId="449" xr:uid="{00000000-0005-0000-0000-000042060000}"/>
    <cellStyle name="Hed Side" xfId="450" xr:uid="{00000000-0005-0000-0000-000043060000}"/>
    <cellStyle name="Hed Side bold" xfId="451" xr:uid="{00000000-0005-0000-0000-000044060000}"/>
    <cellStyle name="Hed Side bold 2" xfId="452" xr:uid="{00000000-0005-0000-0000-000045060000}"/>
    <cellStyle name="Hed Side bold 3" xfId="453" xr:uid="{00000000-0005-0000-0000-000046060000}"/>
    <cellStyle name="Hed Side Indent" xfId="454" xr:uid="{00000000-0005-0000-0000-000047060000}"/>
    <cellStyle name="Hed Side Regular" xfId="455" xr:uid="{00000000-0005-0000-0000-000048060000}"/>
    <cellStyle name="Hed Side_1-1A-Regular" xfId="456" xr:uid="{00000000-0005-0000-0000-000049060000}"/>
    <cellStyle name="Hed Top" xfId="457" xr:uid="{00000000-0005-0000-0000-00004A060000}"/>
    <cellStyle name="Hed Top - SECTION" xfId="458" xr:uid="{00000000-0005-0000-0000-00004B060000}"/>
    <cellStyle name="Hed Top_3-new4" xfId="459" xr:uid="{00000000-0005-0000-0000-00004C060000}"/>
    <cellStyle name="Hide" xfId="460" xr:uid="{00000000-0005-0000-0000-00004D060000}"/>
    <cellStyle name="Hipervínculo" xfId="461" xr:uid="{00000000-0005-0000-0000-00004E060000}"/>
    <cellStyle name="Hipervínculo 2" xfId="462" xr:uid="{00000000-0005-0000-0000-00004F060000}"/>
    <cellStyle name="Hipervínculo visitado" xfId="463" xr:uid="{00000000-0005-0000-0000-000050060000}"/>
    <cellStyle name="Hipervínculo_10-01-03 2003 2003 NUEVOS RON -NUEVOS INTERESES" xfId="464" xr:uid="{00000000-0005-0000-0000-000051060000}"/>
    <cellStyle name="Hyperlink" xfId="2750" builtinId="8"/>
    <cellStyle name="Hyperlink 2" xfId="465" xr:uid="{00000000-0005-0000-0000-000053060000}"/>
    <cellStyle name="Hyperlink 2 2" xfId="466" xr:uid="{00000000-0005-0000-0000-000054060000}"/>
    <cellStyle name="Hyperlink 3" xfId="467" xr:uid="{00000000-0005-0000-0000-000055060000}"/>
    <cellStyle name="Hyperlink 4" xfId="468" xr:uid="{00000000-0005-0000-0000-000056060000}"/>
    <cellStyle name="Hyperlink 5" xfId="469" xr:uid="{00000000-0005-0000-0000-000057060000}"/>
    <cellStyle name="Hyperlink 6" xfId="470" xr:uid="{00000000-0005-0000-0000-000058060000}"/>
    <cellStyle name="Hyperlink seguido_NFGC_SPE_1995_2003" xfId="471" xr:uid="{00000000-0005-0000-0000-000059060000}"/>
    <cellStyle name="imf-one decimal" xfId="472" xr:uid="{00000000-0005-0000-0000-00005A060000}"/>
    <cellStyle name="imf-one decimal 2" xfId="473" xr:uid="{00000000-0005-0000-0000-00005B060000}"/>
    <cellStyle name="imf-zero decimal" xfId="474" xr:uid="{00000000-0005-0000-0000-00005C060000}"/>
    <cellStyle name="imf-zero decimal 2" xfId="475" xr:uid="{00000000-0005-0000-0000-00005D060000}"/>
    <cellStyle name="Indent formula 1" xfId="476" xr:uid="{00000000-0005-0000-0000-00005E060000}"/>
    <cellStyle name="Input [yellow]" xfId="477" xr:uid="{00000000-0005-0000-0000-00005F060000}"/>
    <cellStyle name="Input [yellow] 2" xfId="478" xr:uid="{00000000-0005-0000-0000-000060060000}"/>
    <cellStyle name="Input [yellow] 2 2" xfId="479" xr:uid="{00000000-0005-0000-0000-000061060000}"/>
    <cellStyle name="Input [yellow] 2 2 2" xfId="1568" xr:uid="{00000000-0005-0000-0000-000062060000}"/>
    <cellStyle name="Input [yellow] 2 2 2 2" xfId="2039" xr:uid="{00000000-0005-0000-0000-000063060000}"/>
    <cellStyle name="Input [yellow] 2 2 2 2 2" xfId="2701" xr:uid="{00000000-0005-0000-0000-000064060000}"/>
    <cellStyle name="Input [yellow] 2 2 2 3" xfId="2632" xr:uid="{00000000-0005-0000-0000-000065060000}"/>
    <cellStyle name="Input [yellow] 2 2 3" xfId="1407" xr:uid="{00000000-0005-0000-0000-000066060000}"/>
    <cellStyle name="Input [yellow] 2 2 3 2" xfId="1675" xr:uid="{00000000-0005-0000-0000-000067060000}"/>
    <cellStyle name="Input [yellow] 2 2 4" xfId="2437" xr:uid="{00000000-0005-0000-0000-000068060000}"/>
    <cellStyle name="Input [yellow] 2 3" xfId="1567" xr:uid="{00000000-0005-0000-0000-000069060000}"/>
    <cellStyle name="Input [yellow] 2 3 2" xfId="2038" xr:uid="{00000000-0005-0000-0000-00006A060000}"/>
    <cellStyle name="Input [yellow] 2 3 2 2" xfId="2700" xr:uid="{00000000-0005-0000-0000-00006B060000}"/>
    <cellStyle name="Input [yellow] 2 3 3" xfId="2364" xr:uid="{00000000-0005-0000-0000-00006C060000}"/>
    <cellStyle name="Input [yellow] 2 4" xfId="1651" xr:uid="{00000000-0005-0000-0000-00006D060000}"/>
    <cellStyle name="Input [yellow] 2 4 2" xfId="2200" xr:uid="{00000000-0005-0000-0000-00006E060000}"/>
    <cellStyle name="Input [yellow] 2 5" xfId="2392" xr:uid="{00000000-0005-0000-0000-00006F060000}"/>
    <cellStyle name="Input [yellow] 3" xfId="480" xr:uid="{00000000-0005-0000-0000-000070060000}"/>
    <cellStyle name="Input [yellow] 3 2" xfId="1569" xr:uid="{00000000-0005-0000-0000-000071060000}"/>
    <cellStyle name="Input [yellow] 3 2 2" xfId="2040" xr:uid="{00000000-0005-0000-0000-000072060000}"/>
    <cellStyle name="Input [yellow] 3 2 2 2" xfId="2702" xr:uid="{00000000-0005-0000-0000-000073060000}"/>
    <cellStyle name="Input [yellow] 3 2 3" xfId="1287" xr:uid="{00000000-0005-0000-0000-000074060000}"/>
    <cellStyle name="Input [yellow] 3 3" xfId="1363" xr:uid="{00000000-0005-0000-0000-000075060000}"/>
    <cellStyle name="Input [yellow] 3 3 2" xfId="2662" xr:uid="{00000000-0005-0000-0000-000076060000}"/>
    <cellStyle name="Input [yellow] 3 4" xfId="2168" xr:uid="{00000000-0005-0000-0000-000077060000}"/>
    <cellStyle name="Input [yellow] 4" xfId="1566" xr:uid="{00000000-0005-0000-0000-000078060000}"/>
    <cellStyle name="Input [yellow] 4 2" xfId="2037" xr:uid="{00000000-0005-0000-0000-000079060000}"/>
    <cellStyle name="Input [yellow] 4 2 2" xfId="2699" xr:uid="{00000000-0005-0000-0000-00007A060000}"/>
    <cellStyle name="Input [yellow] 4 3" xfId="1188" xr:uid="{00000000-0005-0000-0000-00007B060000}"/>
    <cellStyle name="Input [yellow] 5" xfId="1654" xr:uid="{00000000-0005-0000-0000-00007C060000}"/>
    <cellStyle name="Input [yellow] 5 2" xfId="2186" xr:uid="{00000000-0005-0000-0000-00007D060000}"/>
    <cellStyle name="Input [yellow] 6" xfId="1848" xr:uid="{00000000-0005-0000-0000-00007E060000}"/>
    <cellStyle name="Input 2" xfId="481" xr:uid="{00000000-0005-0000-0000-00007F060000}"/>
    <cellStyle name="Input 2 2" xfId="482" xr:uid="{00000000-0005-0000-0000-000080060000}"/>
    <cellStyle name="Input 2 2 2" xfId="483" xr:uid="{00000000-0005-0000-0000-000081060000}"/>
    <cellStyle name="Input 2 2 2 2" xfId="1572" xr:uid="{00000000-0005-0000-0000-000082060000}"/>
    <cellStyle name="Input 2 2 2 2 2" xfId="2043" xr:uid="{00000000-0005-0000-0000-000083060000}"/>
    <cellStyle name="Input 2 2 2 2 2 2" xfId="2705" xr:uid="{00000000-0005-0000-0000-000084060000}"/>
    <cellStyle name="Input 2 2 2 2 3" xfId="2126" xr:uid="{00000000-0005-0000-0000-000085060000}"/>
    <cellStyle name="Input 2 2 2 3" xfId="1361" xr:uid="{00000000-0005-0000-0000-000086060000}"/>
    <cellStyle name="Input 2 2 2 3 2" xfId="1677" xr:uid="{00000000-0005-0000-0000-000087060000}"/>
    <cellStyle name="Input 2 2 2 4" xfId="1355" xr:uid="{00000000-0005-0000-0000-000088060000}"/>
    <cellStyle name="Input 2 2 3" xfId="484" xr:uid="{00000000-0005-0000-0000-000089060000}"/>
    <cellStyle name="Input 2 2 3 2" xfId="1573" xr:uid="{00000000-0005-0000-0000-00008A060000}"/>
    <cellStyle name="Input 2 2 3 2 2" xfId="2044" xr:uid="{00000000-0005-0000-0000-00008B060000}"/>
    <cellStyle name="Input 2 2 3 2 2 2" xfId="2706" xr:uid="{00000000-0005-0000-0000-00008C060000}"/>
    <cellStyle name="Input 2 2 3 2 3" xfId="2424" xr:uid="{00000000-0005-0000-0000-00008D060000}"/>
    <cellStyle name="Input 2 2 3 3" xfId="1655" xr:uid="{00000000-0005-0000-0000-00008E060000}"/>
    <cellStyle name="Input 2 2 3 3 2" xfId="2201" xr:uid="{00000000-0005-0000-0000-00008F060000}"/>
    <cellStyle name="Input 2 2 3 4" xfId="1395" xr:uid="{00000000-0005-0000-0000-000090060000}"/>
    <cellStyle name="Input 2 2 4" xfId="485" xr:uid="{00000000-0005-0000-0000-000091060000}"/>
    <cellStyle name="Input 2 2 4 2" xfId="1574" xr:uid="{00000000-0005-0000-0000-000092060000}"/>
    <cellStyle name="Input 2 2 4 2 2" xfId="2045" xr:uid="{00000000-0005-0000-0000-000093060000}"/>
    <cellStyle name="Input 2 2 4 2 2 2" xfId="2707" xr:uid="{00000000-0005-0000-0000-000094060000}"/>
    <cellStyle name="Input 2 2 4 2 3" xfId="2631" xr:uid="{00000000-0005-0000-0000-000095060000}"/>
    <cellStyle name="Input 2 2 4 3" xfId="1360" xr:uid="{00000000-0005-0000-0000-000096060000}"/>
    <cellStyle name="Input 2 2 4 3 2" xfId="1276" xr:uid="{00000000-0005-0000-0000-000097060000}"/>
    <cellStyle name="Input 2 2 4 4" xfId="1354" xr:uid="{00000000-0005-0000-0000-000098060000}"/>
    <cellStyle name="Input 2 2 5" xfId="486" xr:uid="{00000000-0005-0000-0000-000099060000}"/>
    <cellStyle name="Input 2 2 5 2" xfId="1575" xr:uid="{00000000-0005-0000-0000-00009A060000}"/>
    <cellStyle name="Input 2 2 5 2 2" xfId="2046" xr:uid="{00000000-0005-0000-0000-00009B060000}"/>
    <cellStyle name="Input 2 2 5 2 2 2" xfId="2708" xr:uid="{00000000-0005-0000-0000-00009C060000}"/>
    <cellStyle name="Input 2 2 5 2 3" xfId="2188" xr:uid="{00000000-0005-0000-0000-00009D060000}"/>
    <cellStyle name="Input 2 2 5 3" xfId="1656" xr:uid="{00000000-0005-0000-0000-00009E060000}"/>
    <cellStyle name="Input 2 2 5 3 2" xfId="2202" xr:uid="{00000000-0005-0000-0000-00009F060000}"/>
    <cellStyle name="Input 2 2 5 4" xfId="1657" xr:uid="{00000000-0005-0000-0000-0000A0060000}"/>
    <cellStyle name="Input 2 2 6" xfId="1571" xr:uid="{00000000-0005-0000-0000-0000A1060000}"/>
    <cellStyle name="Input 2 2 6 2" xfId="2042" xr:uid="{00000000-0005-0000-0000-0000A2060000}"/>
    <cellStyle name="Input 2 2 6 2 2" xfId="2704" xr:uid="{00000000-0005-0000-0000-0000A3060000}"/>
    <cellStyle name="Input 2 2 6 3" xfId="2110" xr:uid="{00000000-0005-0000-0000-0000A4060000}"/>
    <cellStyle name="Input 2 2 7" xfId="1821" xr:uid="{00000000-0005-0000-0000-0000A5060000}"/>
    <cellStyle name="Input 2 2 7 2" xfId="2592" xr:uid="{00000000-0005-0000-0000-0000A6060000}"/>
    <cellStyle name="Input 2 2 8" xfId="1658" xr:uid="{00000000-0005-0000-0000-0000A7060000}"/>
    <cellStyle name="Input 2 2_Kosovo" xfId="487" xr:uid="{00000000-0005-0000-0000-0000A8060000}"/>
    <cellStyle name="Input 2 3" xfId="488" xr:uid="{00000000-0005-0000-0000-0000A9060000}"/>
    <cellStyle name="Input 2 3 2" xfId="1576" xr:uid="{00000000-0005-0000-0000-0000AA060000}"/>
    <cellStyle name="Input 2 3 2 2" xfId="2047" xr:uid="{00000000-0005-0000-0000-0000AB060000}"/>
    <cellStyle name="Input 2 3 2 2 2" xfId="2709" xr:uid="{00000000-0005-0000-0000-0000AC060000}"/>
    <cellStyle name="Input 2 3 2 3" xfId="2133" xr:uid="{00000000-0005-0000-0000-0000AD060000}"/>
    <cellStyle name="Input 2 3 3" xfId="1359" xr:uid="{00000000-0005-0000-0000-0000AE060000}"/>
    <cellStyle name="Input 2 3 3 2" xfId="2663" xr:uid="{00000000-0005-0000-0000-0000AF060000}"/>
    <cellStyle name="Input 2 3 4" xfId="1292" xr:uid="{00000000-0005-0000-0000-0000B0060000}"/>
    <cellStyle name="Input 2 4" xfId="1570" xr:uid="{00000000-0005-0000-0000-0000B1060000}"/>
    <cellStyle name="Input 2 4 2" xfId="2041" xr:uid="{00000000-0005-0000-0000-0000B2060000}"/>
    <cellStyle name="Input 2 4 2 2" xfId="2703" xr:uid="{00000000-0005-0000-0000-0000B3060000}"/>
    <cellStyle name="Input 2 4 3" xfId="2109" xr:uid="{00000000-0005-0000-0000-0000B4060000}"/>
    <cellStyle name="Input 2 5" xfId="1362" xr:uid="{00000000-0005-0000-0000-0000B5060000}"/>
    <cellStyle name="Input 2 5 2" xfId="2495" xr:uid="{00000000-0005-0000-0000-0000B6060000}"/>
    <cellStyle name="Input 2 6" xfId="1293" xr:uid="{00000000-0005-0000-0000-0000B7060000}"/>
    <cellStyle name="Input 2_Kosovo" xfId="489" xr:uid="{00000000-0005-0000-0000-0000B8060000}"/>
    <cellStyle name="Input Cell" xfId="490" xr:uid="{00000000-0005-0000-0000-0000B9060000}"/>
    <cellStyle name="InputCells" xfId="491" xr:uid="{00000000-0005-0000-0000-0000BA060000}"/>
    <cellStyle name="InputCells12" xfId="492" xr:uid="{00000000-0005-0000-0000-0000BB060000}"/>
    <cellStyle name="IntCells" xfId="493" xr:uid="{00000000-0005-0000-0000-0000BC060000}"/>
    <cellStyle name="jo[" xfId="494" xr:uid="{00000000-0005-0000-0000-0000BD060000}"/>
    <cellStyle name="Lien hypertexte" xfId="495" xr:uid="{00000000-0005-0000-0000-0000BE060000}"/>
    <cellStyle name="Lien hypertexte visité" xfId="496" xr:uid="{00000000-0005-0000-0000-0000BF060000}"/>
    <cellStyle name="Lien hypertexte_Condensé n° 39 du 29-03.11 Année 2001" xfId="497" xr:uid="{00000000-0005-0000-0000-0000C0060000}"/>
    <cellStyle name="Linked Cell 2" xfId="498" xr:uid="{00000000-0005-0000-0000-0000C1060000}"/>
    <cellStyle name="MacroCode" xfId="499" xr:uid="{00000000-0005-0000-0000-0000C2060000}"/>
    <cellStyle name="Mheading1" xfId="500" xr:uid="{00000000-0005-0000-0000-0000C3060000}"/>
    <cellStyle name="Mheading2" xfId="501" xr:uid="{00000000-0005-0000-0000-0000C4060000}"/>
    <cellStyle name="Millares [0]_11.1.3. bis" xfId="502" xr:uid="{00000000-0005-0000-0000-0000C5060000}"/>
    <cellStyle name="Millares 10" xfId="503" xr:uid="{00000000-0005-0000-0000-0000C6060000}"/>
    <cellStyle name="Millares 10 2" xfId="1577" xr:uid="{00000000-0005-0000-0000-0000C7060000}"/>
    <cellStyle name="Millares 10 2 2" xfId="2048" xr:uid="{00000000-0005-0000-0000-0000C8060000}"/>
    <cellStyle name="Millares 10 3" xfId="1319" xr:uid="{00000000-0005-0000-0000-0000C9060000}"/>
    <cellStyle name="Millares 10 3 2" xfId="1871" xr:uid="{00000000-0005-0000-0000-0000CA060000}"/>
    <cellStyle name="Millares 11" xfId="504" xr:uid="{00000000-0005-0000-0000-0000CB060000}"/>
    <cellStyle name="Millares 11 2" xfId="1578" xr:uid="{00000000-0005-0000-0000-0000CC060000}"/>
    <cellStyle name="Millares 11 2 2" xfId="2049" xr:uid="{00000000-0005-0000-0000-0000CD060000}"/>
    <cellStyle name="Millares 11 3" xfId="1320" xr:uid="{00000000-0005-0000-0000-0000CE060000}"/>
    <cellStyle name="Millares 11 3 2" xfId="1872" xr:uid="{00000000-0005-0000-0000-0000CF060000}"/>
    <cellStyle name="Millares 16" xfId="505" xr:uid="{00000000-0005-0000-0000-0000D0060000}"/>
    <cellStyle name="Millares 16 2" xfId="1579" xr:uid="{00000000-0005-0000-0000-0000D1060000}"/>
    <cellStyle name="Millares 16 2 2" xfId="2050" xr:uid="{00000000-0005-0000-0000-0000D2060000}"/>
    <cellStyle name="Millares 16 3" xfId="1321" xr:uid="{00000000-0005-0000-0000-0000D3060000}"/>
    <cellStyle name="Millares 16 3 2" xfId="1873" xr:uid="{00000000-0005-0000-0000-0000D4060000}"/>
    <cellStyle name="Millares 2" xfId="506" xr:uid="{00000000-0005-0000-0000-0000D5060000}"/>
    <cellStyle name="Millares 2 2" xfId="507" xr:uid="{00000000-0005-0000-0000-0000D6060000}"/>
    <cellStyle name="Millares 2 2 2" xfId="1580" xr:uid="{00000000-0005-0000-0000-0000D7060000}"/>
    <cellStyle name="Millares 2 2 2 2" xfId="2051" xr:uid="{00000000-0005-0000-0000-0000D8060000}"/>
    <cellStyle name="Millares 2 2 3" xfId="1322" xr:uid="{00000000-0005-0000-0000-0000D9060000}"/>
    <cellStyle name="Millares 2 2 3 2" xfId="1874" xr:uid="{00000000-0005-0000-0000-0000DA060000}"/>
    <cellStyle name="Millares 2 3" xfId="508" xr:uid="{00000000-0005-0000-0000-0000DB060000}"/>
    <cellStyle name="Millares 2 3 2" xfId="1581" xr:uid="{00000000-0005-0000-0000-0000DC060000}"/>
    <cellStyle name="Millares 2 3 2 2" xfId="2052" xr:uid="{00000000-0005-0000-0000-0000DD060000}"/>
    <cellStyle name="Millares 2 3 3" xfId="1323" xr:uid="{00000000-0005-0000-0000-0000DE060000}"/>
    <cellStyle name="Millares 2 3 3 2" xfId="1875" xr:uid="{00000000-0005-0000-0000-0000DF060000}"/>
    <cellStyle name="Millares 2 4" xfId="509" xr:uid="{00000000-0005-0000-0000-0000E0060000}"/>
    <cellStyle name="Millares 2 5" xfId="510" xr:uid="{00000000-0005-0000-0000-0000E1060000}"/>
    <cellStyle name="Millares 2 6" xfId="511" xr:uid="{00000000-0005-0000-0000-0000E2060000}"/>
    <cellStyle name="Millares 2 6 2" xfId="1582" xr:uid="{00000000-0005-0000-0000-0000E3060000}"/>
    <cellStyle name="Millares 2 6 2 2" xfId="2053" xr:uid="{00000000-0005-0000-0000-0000E4060000}"/>
    <cellStyle name="Millares 2 6 3" xfId="1324" xr:uid="{00000000-0005-0000-0000-0000E5060000}"/>
    <cellStyle name="Millares 2 6 3 2" xfId="1876" xr:uid="{00000000-0005-0000-0000-0000E6060000}"/>
    <cellStyle name="Millares 2 7" xfId="1180" xr:uid="{00000000-0005-0000-0000-0000E7060000}"/>
    <cellStyle name="Millares 20" xfId="512" xr:uid="{00000000-0005-0000-0000-0000E8060000}"/>
    <cellStyle name="Millares 20 2" xfId="1583" xr:uid="{00000000-0005-0000-0000-0000E9060000}"/>
    <cellStyle name="Millares 20 2 2" xfId="2054" xr:uid="{00000000-0005-0000-0000-0000EA060000}"/>
    <cellStyle name="Millares 20 3" xfId="1325" xr:uid="{00000000-0005-0000-0000-0000EB060000}"/>
    <cellStyle name="Millares 20 3 2" xfId="1877" xr:uid="{00000000-0005-0000-0000-0000EC060000}"/>
    <cellStyle name="Millares 21" xfId="513" xr:uid="{00000000-0005-0000-0000-0000ED060000}"/>
    <cellStyle name="Millares 21 2" xfId="1584" xr:uid="{00000000-0005-0000-0000-0000EE060000}"/>
    <cellStyle name="Millares 21 2 2" xfId="2055" xr:uid="{00000000-0005-0000-0000-0000EF060000}"/>
    <cellStyle name="Millares 21 3" xfId="1326" xr:uid="{00000000-0005-0000-0000-0000F0060000}"/>
    <cellStyle name="Millares 21 3 2" xfId="1878" xr:uid="{00000000-0005-0000-0000-0000F1060000}"/>
    <cellStyle name="Millares 3" xfId="514" xr:uid="{00000000-0005-0000-0000-0000F2060000}"/>
    <cellStyle name="Millares 3 2" xfId="515" xr:uid="{00000000-0005-0000-0000-0000F3060000}"/>
    <cellStyle name="Millares 3 2 2" xfId="1586" xr:uid="{00000000-0005-0000-0000-0000F4060000}"/>
    <cellStyle name="Millares 3 2 2 2" xfId="2057" xr:uid="{00000000-0005-0000-0000-0000F5060000}"/>
    <cellStyle name="Millares 3 2 3" xfId="1328" xr:uid="{00000000-0005-0000-0000-0000F6060000}"/>
    <cellStyle name="Millares 3 2 3 2" xfId="1880" xr:uid="{00000000-0005-0000-0000-0000F7060000}"/>
    <cellStyle name="Millares 3 3" xfId="516" xr:uid="{00000000-0005-0000-0000-0000F8060000}"/>
    <cellStyle name="Millares 3 3 2" xfId="1587" xr:uid="{00000000-0005-0000-0000-0000F9060000}"/>
    <cellStyle name="Millares 3 3 2 2" xfId="2058" xr:uid="{00000000-0005-0000-0000-0000FA060000}"/>
    <cellStyle name="Millares 3 3 3" xfId="1329" xr:uid="{00000000-0005-0000-0000-0000FB060000}"/>
    <cellStyle name="Millares 3 3 3 2" xfId="1881" xr:uid="{00000000-0005-0000-0000-0000FC060000}"/>
    <cellStyle name="Millares 3 4" xfId="1585" xr:uid="{00000000-0005-0000-0000-0000FD060000}"/>
    <cellStyle name="Millares 3 4 2" xfId="2056" xr:uid="{00000000-0005-0000-0000-0000FE060000}"/>
    <cellStyle name="Millares 3 5" xfId="1327" xr:uid="{00000000-0005-0000-0000-0000FF060000}"/>
    <cellStyle name="Millares 3 5 2" xfId="1879" xr:uid="{00000000-0005-0000-0000-000000070000}"/>
    <cellStyle name="Millares 4" xfId="517" xr:uid="{00000000-0005-0000-0000-000001070000}"/>
    <cellStyle name="Millares 4 2" xfId="518" xr:uid="{00000000-0005-0000-0000-000002070000}"/>
    <cellStyle name="Millares 5" xfId="519" xr:uid="{00000000-0005-0000-0000-000003070000}"/>
    <cellStyle name="Millares 6" xfId="520" xr:uid="{00000000-0005-0000-0000-000004070000}"/>
    <cellStyle name="Millares 6 2" xfId="1588" xr:uid="{00000000-0005-0000-0000-000005070000}"/>
    <cellStyle name="Millares 6 2 2" xfId="2059" xr:uid="{00000000-0005-0000-0000-000006070000}"/>
    <cellStyle name="Millares 6 3" xfId="1330" xr:uid="{00000000-0005-0000-0000-000007070000}"/>
    <cellStyle name="Millares 6 3 2" xfId="1882" xr:uid="{00000000-0005-0000-0000-000008070000}"/>
    <cellStyle name="Millares 7" xfId="521" xr:uid="{00000000-0005-0000-0000-000009070000}"/>
    <cellStyle name="Millares 7 2" xfId="1589" xr:uid="{00000000-0005-0000-0000-00000A070000}"/>
    <cellStyle name="Millares 7 3" xfId="1331" xr:uid="{00000000-0005-0000-0000-00000B070000}"/>
    <cellStyle name="Millares_11.1.3. bis" xfId="522" xr:uid="{00000000-0005-0000-0000-00000C070000}"/>
    <cellStyle name="Milliers [0]_Classeur1" xfId="523" xr:uid="{00000000-0005-0000-0000-00000D070000}"/>
    <cellStyle name="Milliers_Classeur1" xfId="524" xr:uid="{00000000-0005-0000-0000-00000E070000}"/>
    <cellStyle name="Moeda [0]_A" xfId="525" xr:uid="{00000000-0005-0000-0000-00000F070000}"/>
    <cellStyle name="Moeda_A" xfId="526" xr:uid="{00000000-0005-0000-0000-000010070000}"/>
    <cellStyle name="Moeda0" xfId="527" xr:uid="{00000000-0005-0000-0000-000011070000}"/>
    <cellStyle name="Moneda [0]_11.1.3. bis" xfId="528" xr:uid="{00000000-0005-0000-0000-000012070000}"/>
    <cellStyle name="Moneda_11.1.3. bis" xfId="529" xr:uid="{00000000-0005-0000-0000-000013070000}"/>
    <cellStyle name="Monétaire [0]_Classeur1" xfId="530" xr:uid="{00000000-0005-0000-0000-000014070000}"/>
    <cellStyle name="Monétaire_Classeur1" xfId="531" xr:uid="{00000000-0005-0000-0000-000015070000}"/>
    <cellStyle name="Monetario" xfId="532" xr:uid="{00000000-0005-0000-0000-000016070000}"/>
    <cellStyle name="Monetario0" xfId="533" xr:uid="{00000000-0005-0000-0000-000017070000}"/>
    <cellStyle name="Month" xfId="534" xr:uid="{00000000-0005-0000-0000-000018070000}"/>
    <cellStyle name="n - Style1" xfId="535" xr:uid="{00000000-0005-0000-0000-000019070000}"/>
    <cellStyle name="Neutral 2" xfId="536" xr:uid="{00000000-0005-0000-0000-00001A070000}"/>
    <cellStyle name="Nominal $" xfId="537" xr:uid="{00000000-0005-0000-0000-00001B070000}"/>
    <cellStyle name="Non défini" xfId="538" xr:uid="{00000000-0005-0000-0000-00001C070000}"/>
    <cellStyle name="Normal" xfId="0" builtinId="0"/>
    <cellStyle name="Normal - Style1" xfId="539" xr:uid="{00000000-0005-0000-0000-00001E070000}"/>
    <cellStyle name="Normal - Style2" xfId="540" xr:uid="{00000000-0005-0000-0000-00001F070000}"/>
    <cellStyle name="Normal - Style3" xfId="541" xr:uid="{00000000-0005-0000-0000-000020070000}"/>
    <cellStyle name="Normal - Style4" xfId="542" xr:uid="{00000000-0005-0000-0000-000021070000}"/>
    <cellStyle name="Normal [2]" xfId="543" xr:uid="{00000000-0005-0000-0000-000022070000}"/>
    <cellStyle name="Normal 10" xfId="544" xr:uid="{00000000-0005-0000-0000-000023070000}"/>
    <cellStyle name="Normal 10 2" xfId="545" xr:uid="{00000000-0005-0000-0000-000024070000}"/>
    <cellStyle name="Normal 10 2 2" xfId="546" xr:uid="{00000000-0005-0000-0000-000025070000}"/>
    <cellStyle name="Normal 11" xfId="547" xr:uid="{00000000-0005-0000-0000-000026070000}"/>
    <cellStyle name="Normal 12" xfId="548" xr:uid="{00000000-0005-0000-0000-000027070000}"/>
    <cellStyle name="Normal 13" xfId="549" xr:uid="{00000000-0005-0000-0000-000028070000}"/>
    <cellStyle name="Normal 14" xfId="550" xr:uid="{00000000-0005-0000-0000-000029070000}"/>
    <cellStyle name="Normal 15" xfId="551" xr:uid="{00000000-0005-0000-0000-00002A070000}"/>
    <cellStyle name="Normal 15 2" xfId="552" xr:uid="{00000000-0005-0000-0000-00002B070000}"/>
    <cellStyle name="Normal 15 3" xfId="553" xr:uid="{00000000-0005-0000-0000-00002C070000}"/>
    <cellStyle name="Normal 16" xfId="554" xr:uid="{00000000-0005-0000-0000-00002D070000}"/>
    <cellStyle name="Normal 17" xfId="555" xr:uid="{00000000-0005-0000-0000-00002E070000}"/>
    <cellStyle name="Normal 18" xfId="556" xr:uid="{00000000-0005-0000-0000-00002F070000}"/>
    <cellStyle name="Normal 19" xfId="557" xr:uid="{00000000-0005-0000-0000-000030070000}"/>
    <cellStyle name="Normal 2" xfId="558" xr:uid="{00000000-0005-0000-0000-000031070000}"/>
    <cellStyle name="Normal 2 2" xfId="559" xr:uid="{00000000-0005-0000-0000-000032070000}"/>
    <cellStyle name="Normal 2 2 2" xfId="560" xr:uid="{00000000-0005-0000-0000-000033070000}"/>
    <cellStyle name="Normal 2 2 3" xfId="561" xr:uid="{00000000-0005-0000-0000-000034070000}"/>
    <cellStyle name="Normal 2 3" xfId="562" xr:uid="{00000000-0005-0000-0000-000035070000}"/>
    <cellStyle name="Normal 2 3 2" xfId="563" xr:uid="{00000000-0005-0000-0000-000036070000}"/>
    <cellStyle name="Normal 2 3 2 2" xfId="564" xr:uid="{00000000-0005-0000-0000-000037070000}"/>
    <cellStyle name="Normal 2 4" xfId="565" xr:uid="{00000000-0005-0000-0000-000038070000}"/>
    <cellStyle name="Normal 2 4 2" xfId="566" xr:uid="{00000000-0005-0000-0000-000039070000}"/>
    <cellStyle name="Normal 2 4 3" xfId="567" xr:uid="{00000000-0005-0000-0000-00003A070000}"/>
    <cellStyle name="Normal 2 4 3 2" xfId="568" xr:uid="{00000000-0005-0000-0000-00003B070000}"/>
    <cellStyle name="Normal 2 4 3 2 2" xfId="569" xr:uid="{00000000-0005-0000-0000-00003C070000}"/>
    <cellStyle name="Normal 2 4 3 2 2 2" xfId="570" xr:uid="{00000000-0005-0000-0000-00003D070000}"/>
    <cellStyle name="Normal 2 4 3 3" xfId="571" xr:uid="{00000000-0005-0000-0000-00003E070000}"/>
    <cellStyle name="Normal 2 5" xfId="572" xr:uid="{00000000-0005-0000-0000-00003F070000}"/>
    <cellStyle name="Normal 2 5 2" xfId="573" xr:uid="{00000000-0005-0000-0000-000040070000}"/>
    <cellStyle name="Normal 2 6" xfId="574" xr:uid="{00000000-0005-0000-0000-000041070000}"/>
    <cellStyle name="Normal 2 6 2" xfId="575" xr:uid="{00000000-0005-0000-0000-000042070000}"/>
    <cellStyle name="Normal 2 7" xfId="576" xr:uid="{00000000-0005-0000-0000-000043070000}"/>
    <cellStyle name="Normal 2 7 2" xfId="577" xr:uid="{00000000-0005-0000-0000-000044070000}"/>
    <cellStyle name="Normal 2 7 3" xfId="578" xr:uid="{00000000-0005-0000-0000-000045070000}"/>
    <cellStyle name="Normal 2 8" xfId="579" xr:uid="{00000000-0005-0000-0000-000046070000}"/>
    <cellStyle name="Normal 2 8 2" xfId="580" xr:uid="{00000000-0005-0000-0000-000047070000}"/>
    <cellStyle name="Normal 2 8 2 2" xfId="581" xr:uid="{00000000-0005-0000-0000-000048070000}"/>
    <cellStyle name="Normal 2 8 2 3" xfId="582" xr:uid="{00000000-0005-0000-0000-000049070000}"/>
    <cellStyle name="Normal 2 8 2 4" xfId="583" xr:uid="{00000000-0005-0000-0000-00004A070000}"/>
    <cellStyle name="Normal 2 8 2 5" xfId="584" xr:uid="{00000000-0005-0000-0000-00004B070000}"/>
    <cellStyle name="Normal 2 8 2 6" xfId="585" xr:uid="{00000000-0005-0000-0000-00004C070000}"/>
    <cellStyle name="Normal 2 8 2 6 10" xfId="586" xr:uid="{00000000-0005-0000-0000-00004D070000}"/>
    <cellStyle name="Normal 2 8 2 6 11" xfId="587" xr:uid="{00000000-0005-0000-0000-00004E070000}"/>
    <cellStyle name="Normal 2 8 2 6 12" xfId="588" xr:uid="{00000000-0005-0000-0000-00004F070000}"/>
    <cellStyle name="Normal 2 8 2 6 13" xfId="589" xr:uid="{00000000-0005-0000-0000-000050070000}"/>
    <cellStyle name="Normal 2 8 2 6 14" xfId="590" xr:uid="{00000000-0005-0000-0000-000051070000}"/>
    <cellStyle name="Normal 2 8 2 6 15" xfId="591" xr:uid="{00000000-0005-0000-0000-000052070000}"/>
    <cellStyle name="Normal 2 8 2 6 16" xfId="592" xr:uid="{00000000-0005-0000-0000-000053070000}"/>
    <cellStyle name="Normal 2 8 2 6 17" xfId="593" xr:uid="{00000000-0005-0000-0000-000054070000}"/>
    <cellStyle name="Normal 2 8 2 6 18" xfId="594" xr:uid="{00000000-0005-0000-0000-000055070000}"/>
    <cellStyle name="Normal 2 8 2 6 19" xfId="595" xr:uid="{00000000-0005-0000-0000-000056070000}"/>
    <cellStyle name="Normal 2 8 2 6 2" xfId="596" xr:uid="{00000000-0005-0000-0000-000057070000}"/>
    <cellStyle name="Normal 2 8 2 6 20" xfId="597" xr:uid="{00000000-0005-0000-0000-000058070000}"/>
    <cellStyle name="Normal 2 8 2 6 21" xfId="598" xr:uid="{00000000-0005-0000-0000-000059070000}"/>
    <cellStyle name="Normal 2 8 2 6 22" xfId="599" xr:uid="{00000000-0005-0000-0000-00005A070000}"/>
    <cellStyle name="Normal 2 8 2 6 23" xfId="600" xr:uid="{00000000-0005-0000-0000-00005B070000}"/>
    <cellStyle name="Normal 2 8 2 6 24" xfId="601" xr:uid="{00000000-0005-0000-0000-00005C070000}"/>
    <cellStyle name="Normal 2 8 2 6 25" xfId="602" xr:uid="{00000000-0005-0000-0000-00005D070000}"/>
    <cellStyle name="Normal 2 8 2 6 26" xfId="603" xr:uid="{00000000-0005-0000-0000-00005E070000}"/>
    <cellStyle name="Normal 2 8 2 6 27" xfId="604" xr:uid="{00000000-0005-0000-0000-00005F070000}"/>
    <cellStyle name="Normal 2 8 2 6 28" xfId="605" xr:uid="{00000000-0005-0000-0000-000060070000}"/>
    <cellStyle name="Normal 2 8 2 6 29" xfId="606" xr:uid="{00000000-0005-0000-0000-000061070000}"/>
    <cellStyle name="Normal 2 8 2 6 3" xfId="607" xr:uid="{00000000-0005-0000-0000-000062070000}"/>
    <cellStyle name="Normal 2 8 2 6 30" xfId="608" xr:uid="{00000000-0005-0000-0000-000063070000}"/>
    <cellStyle name="Normal 2 8 2 6 31" xfId="609" xr:uid="{00000000-0005-0000-0000-000064070000}"/>
    <cellStyle name="Normal 2 8 2 6 32" xfId="610" xr:uid="{00000000-0005-0000-0000-000065070000}"/>
    <cellStyle name="Normal 2 8 2 6 33" xfId="611" xr:uid="{00000000-0005-0000-0000-000066070000}"/>
    <cellStyle name="Normal 2 8 2 6 34" xfId="612" xr:uid="{00000000-0005-0000-0000-000067070000}"/>
    <cellStyle name="Normal 2 8 2 6 35" xfId="613" xr:uid="{00000000-0005-0000-0000-000068070000}"/>
    <cellStyle name="Normal 2 8 2 6 36" xfId="614" xr:uid="{00000000-0005-0000-0000-000069070000}"/>
    <cellStyle name="Normal 2 8 2 6 37" xfId="615" xr:uid="{00000000-0005-0000-0000-00006A070000}"/>
    <cellStyle name="Normal 2 8 2 6 38" xfId="616" xr:uid="{00000000-0005-0000-0000-00006B070000}"/>
    <cellStyle name="Normal 2 8 2 6 39" xfId="617" xr:uid="{00000000-0005-0000-0000-00006C070000}"/>
    <cellStyle name="Normal 2 8 2 6 4" xfId="618" xr:uid="{00000000-0005-0000-0000-00006D070000}"/>
    <cellStyle name="Normal 2 8 2 6 40" xfId="619" xr:uid="{00000000-0005-0000-0000-00006E070000}"/>
    <cellStyle name="Normal 2 8 2 6 41" xfId="620" xr:uid="{00000000-0005-0000-0000-00006F070000}"/>
    <cellStyle name="Normal 2 8 2 6 42" xfId="621" xr:uid="{00000000-0005-0000-0000-000070070000}"/>
    <cellStyle name="Normal 2 8 2 6 43" xfId="622" xr:uid="{00000000-0005-0000-0000-000071070000}"/>
    <cellStyle name="Normal 2 8 2 6 44" xfId="623" xr:uid="{00000000-0005-0000-0000-000072070000}"/>
    <cellStyle name="Normal 2 8 2 6 45" xfId="624" xr:uid="{00000000-0005-0000-0000-000073070000}"/>
    <cellStyle name="Normal 2 8 2 6 46" xfId="625" xr:uid="{00000000-0005-0000-0000-000074070000}"/>
    <cellStyle name="Normal 2 8 2 6 5" xfId="626" xr:uid="{00000000-0005-0000-0000-000075070000}"/>
    <cellStyle name="Normal 2 8 2 6 6" xfId="627" xr:uid="{00000000-0005-0000-0000-000076070000}"/>
    <cellStyle name="Normal 2 8 2 6 7" xfId="628" xr:uid="{00000000-0005-0000-0000-000077070000}"/>
    <cellStyle name="Normal 2 8 2 6 8" xfId="629" xr:uid="{00000000-0005-0000-0000-000078070000}"/>
    <cellStyle name="Normal 2 8 2 6 9" xfId="630" xr:uid="{00000000-0005-0000-0000-000079070000}"/>
    <cellStyle name="Normal 2 8 3" xfId="631" xr:uid="{00000000-0005-0000-0000-00007A070000}"/>
    <cellStyle name="Normal 2 8 4" xfId="632" xr:uid="{00000000-0005-0000-0000-00007B070000}"/>
    <cellStyle name="Normal 2 8 5" xfId="633" xr:uid="{00000000-0005-0000-0000-00007C070000}"/>
    <cellStyle name="Normal 2 8 6" xfId="634" xr:uid="{00000000-0005-0000-0000-00007D070000}"/>
    <cellStyle name="Normal 2 8 7" xfId="635" xr:uid="{00000000-0005-0000-0000-00007E070000}"/>
    <cellStyle name="Normal 2 8 8" xfId="636" xr:uid="{00000000-0005-0000-0000-00007F070000}"/>
    <cellStyle name="Normal 2 8 9" xfId="637" xr:uid="{00000000-0005-0000-0000-000080070000}"/>
    <cellStyle name="Normal 2 9" xfId="638" xr:uid="{00000000-0005-0000-0000-000081070000}"/>
    <cellStyle name="Normal 2_Kosovo" xfId="639" xr:uid="{00000000-0005-0000-0000-000082070000}"/>
    <cellStyle name="Normal 20" xfId="640" xr:uid="{00000000-0005-0000-0000-000083070000}"/>
    <cellStyle name="Normal 21" xfId="641" xr:uid="{00000000-0005-0000-0000-000084070000}"/>
    <cellStyle name="Normal 22" xfId="642" xr:uid="{00000000-0005-0000-0000-000085070000}"/>
    <cellStyle name="Normal 23" xfId="643" xr:uid="{00000000-0005-0000-0000-000086070000}"/>
    <cellStyle name="Normal 24" xfId="644" xr:uid="{00000000-0005-0000-0000-000087070000}"/>
    <cellStyle name="Normal 25" xfId="645" xr:uid="{00000000-0005-0000-0000-000088070000}"/>
    <cellStyle name="Normal 26" xfId="646" xr:uid="{00000000-0005-0000-0000-000089070000}"/>
    <cellStyle name="Normal 27" xfId="647" xr:uid="{00000000-0005-0000-0000-00008A070000}"/>
    <cellStyle name="Normal 28" xfId="648" xr:uid="{00000000-0005-0000-0000-00008B070000}"/>
    <cellStyle name="Normal 29" xfId="649" xr:uid="{00000000-0005-0000-0000-00008C070000}"/>
    <cellStyle name="Normal 3" xfId="650" xr:uid="{00000000-0005-0000-0000-00008D070000}"/>
    <cellStyle name="Normal 3 2" xfId="651" xr:uid="{00000000-0005-0000-0000-00008E070000}"/>
    <cellStyle name="Normal 3 2 2" xfId="652" xr:uid="{00000000-0005-0000-0000-00008F070000}"/>
    <cellStyle name="Normal 3 2 2 2" xfId="653" xr:uid="{00000000-0005-0000-0000-000090070000}"/>
    <cellStyle name="Normal 3 2 2 2 2" xfId="654" xr:uid="{00000000-0005-0000-0000-000091070000}"/>
    <cellStyle name="Normal 3 2 2 2 2 2" xfId="1181" xr:uid="{00000000-0005-0000-0000-000092070000}"/>
    <cellStyle name="Normal 3 2 2 2 3" xfId="655" xr:uid="{00000000-0005-0000-0000-000093070000}"/>
    <cellStyle name="Normal 3 2 2 2 3 2" xfId="656" xr:uid="{00000000-0005-0000-0000-000094070000}"/>
    <cellStyle name="Normal 3 2 2 2 3 2 2" xfId="657" xr:uid="{00000000-0005-0000-0000-000095070000}"/>
    <cellStyle name="Normal 3 2 2 2 4" xfId="658" xr:uid="{00000000-0005-0000-0000-000096070000}"/>
    <cellStyle name="Normal 3 2 2 2 5" xfId="659" xr:uid="{00000000-0005-0000-0000-000097070000}"/>
    <cellStyle name="Normal 3 3" xfId="660" xr:uid="{00000000-0005-0000-0000-000098070000}"/>
    <cellStyle name="Normal 3 4" xfId="661" xr:uid="{00000000-0005-0000-0000-000099070000}"/>
    <cellStyle name="Normal 30" xfId="662" xr:uid="{00000000-0005-0000-0000-00009A070000}"/>
    <cellStyle name="Normal 31" xfId="663" xr:uid="{00000000-0005-0000-0000-00009B070000}"/>
    <cellStyle name="Normal 32" xfId="664" xr:uid="{00000000-0005-0000-0000-00009C070000}"/>
    <cellStyle name="Normal 33" xfId="665" xr:uid="{00000000-0005-0000-0000-00009D070000}"/>
    <cellStyle name="Normal 34" xfId="666" xr:uid="{00000000-0005-0000-0000-00009E070000}"/>
    <cellStyle name="Normal 35" xfId="667" xr:uid="{00000000-0005-0000-0000-00009F070000}"/>
    <cellStyle name="Normal 35 2" xfId="668" xr:uid="{00000000-0005-0000-0000-0000A0070000}"/>
    <cellStyle name="Normal 35 2 2" xfId="669" xr:uid="{00000000-0005-0000-0000-0000A1070000}"/>
    <cellStyle name="Normal 35 2 2 2" xfId="670" xr:uid="{00000000-0005-0000-0000-0000A2070000}"/>
    <cellStyle name="Normal 35 2 2 3" xfId="671" xr:uid="{00000000-0005-0000-0000-0000A3070000}"/>
    <cellStyle name="Normal 35 2 2 4" xfId="672" xr:uid="{00000000-0005-0000-0000-0000A4070000}"/>
    <cellStyle name="Normal 35 2 2 5" xfId="673" xr:uid="{00000000-0005-0000-0000-0000A5070000}"/>
    <cellStyle name="Normal 35 2 2 6" xfId="674" xr:uid="{00000000-0005-0000-0000-0000A6070000}"/>
    <cellStyle name="Normal 35 2 2 6 10" xfId="675" xr:uid="{00000000-0005-0000-0000-0000A7070000}"/>
    <cellStyle name="Normal 35 2 2 6 11" xfId="676" xr:uid="{00000000-0005-0000-0000-0000A8070000}"/>
    <cellStyle name="Normal 35 2 2 6 12" xfId="677" xr:uid="{00000000-0005-0000-0000-0000A9070000}"/>
    <cellStyle name="Normal 35 2 2 6 13" xfId="678" xr:uid="{00000000-0005-0000-0000-0000AA070000}"/>
    <cellStyle name="Normal 35 2 2 6 14" xfId="679" xr:uid="{00000000-0005-0000-0000-0000AB070000}"/>
    <cellStyle name="Normal 35 2 2 6 15" xfId="680" xr:uid="{00000000-0005-0000-0000-0000AC070000}"/>
    <cellStyle name="Normal 35 2 2 6 16" xfId="681" xr:uid="{00000000-0005-0000-0000-0000AD070000}"/>
    <cellStyle name="Normal 35 2 2 6 17" xfId="682" xr:uid="{00000000-0005-0000-0000-0000AE070000}"/>
    <cellStyle name="Normal 35 2 2 6 18" xfId="683" xr:uid="{00000000-0005-0000-0000-0000AF070000}"/>
    <cellStyle name="Normal 35 2 2 6 19" xfId="684" xr:uid="{00000000-0005-0000-0000-0000B0070000}"/>
    <cellStyle name="Normal 35 2 2 6 2" xfId="685" xr:uid="{00000000-0005-0000-0000-0000B1070000}"/>
    <cellStyle name="Normal 35 2 2 6 20" xfId="686" xr:uid="{00000000-0005-0000-0000-0000B2070000}"/>
    <cellStyle name="Normal 35 2 2 6 21" xfId="687" xr:uid="{00000000-0005-0000-0000-0000B3070000}"/>
    <cellStyle name="Normal 35 2 2 6 22" xfId="688" xr:uid="{00000000-0005-0000-0000-0000B4070000}"/>
    <cellStyle name="Normal 35 2 2 6 23" xfId="689" xr:uid="{00000000-0005-0000-0000-0000B5070000}"/>
    <cellStyle name="Normal 35 2 2 6 24" xfId="690" xr:uid="{00000000-0005-0000-0000-0000B6070000}"/>
    <cellStyle name="Normal 35 2 2 6 25" xfId="691" xr:uid="{00000000-0005-0000-0000-0000B7070000}"/>
    <cellStyle name="Normal 35 2 2 6 26" xfId="692" xr:uid="{00000000-0005-0000-0000-0000B8070000}"/>
    <cellStyle name="Normal 35 2 2 6 27" xfId="693" xr:uid="{00000000-0005-0000-0000-0000B9070000}"/>
    <cellStyle name="Normal 35 2 2 6 28" xfId="694" xr:uid="{00000000-0005-0000-0000-0000BA070000}"/>
    <cellStyle name="Normal 35 2 2 6 29" xfId="695" xr:uid="{00000000-0005-0000-0000-0000BB070000}"/>
    <cellStyle name="Normal 35 2 2 6 3" xfId="696" xr:uid="{00000000-0005-0000-0000-0000BC070000}"/>
    <cellStyle name="Normal 35 2 2 6 30" xfId="697" xr:uid="{00000000-0005-0000-0000-0000BD070000}"/>
    <cellStyle name="Normal 35 2 2 6 31" xfId="698" xr:uid="{00000000-0005-0000-0000-0000BE070000}"/>
    <cellStyle name="Normal 35 2 2 6 32" xfId="699" xr:uid="{00000000-0005-0000-0000-0000BF070000}"/>
    <cellStyle name="Normal 35 2 2 6 33" xfId="700" xr:uid="{00000000-0005-0000-0000-0000C0070000}"/>
    <cellStyle name="Normal 35 2 2 6 34" xfId="701" xr:uid="{00000000-0005-0000-0000-0000C1070000}"/>
    <cellStyle name="Normal 35 2 2 6 35" xfId="702" xr:uid="{00000000-0005-0000-0000-0000C2070000}"/>
    <cellStyle name="Normal 35 2 2 6 36" xfId="703" xr:uid="{00000000-0005-0000-0000-0000C3070000}"/>
    <cellStyle name="Normal 35 2 2 6 37" xfId="704" xr:uid="{00000000-0005-0000-0000-0000C4070000}"/>
    <cellStyle name="Normal 35 2 2 6 38" xfId="705" xr:uid="{00000000-0005-0000-0000-0000C5070000}"/>
    <cellStyle name="Normal 35 2 2 6 39" xfId="706" xr:uid="{00000000-0005-0000-0000-0000C6070000}"/>
    <cellStyle name="Normal 35 2 2 6 4" xfId="707" xr:uid="{00000000-0005-0000-0000-0000C7070000}"/>
    <cellStyle name="Normal 35 2 2 6 40" xfId="708" xr:uid="{00000000-0005-0000-0000-0000C8070000}"/>
    <cellStyle name="Normal 35 2 2 6 41" xfId="709" xr:uid="{00000000-0005-0000-0000-0000C9070000}"/>
    <cellStyle name="Normal 35 2 2 6 42" xfId="710" xr:uid="{00000000-0005-0000-0000-0000CA070000}"/>
    <cellStyle name="Normal 35 2 2 6 43" xfId="711" xr:uid="{00000000-0005-0000-0000-0000CB070000}"/>
    <cellStyle name="Normal 35 2 2 6 44" xfId="712" xr:uid="{00000000-0005-0000-0000-0000CC070000}"/>
    <cellStyle name="Normal 35 2 2 6 45" xfId="713" xr:uid="{00000000-0005-0000-0000-0000CD070000}"/>
    <cellStyle name="Normal 35 2 2 6 46" xfId="714" xr:uid="{00000000-0005-0000-0000-0000CE070000}"/>
    <cellStyle name="Normal 35 2 2 6 5" xfId="715" xr:uid="{00000000-0005-0000-0000-0000CF070000}"/>
    <cellStyle name="Normal 35 2 2 6 6" xfId="716" xr:uid="{00000000-0005-0000-0000-0000D0070000}"/>
    <cellStyle name="Normal 35 2 2 6 7" xfId="717" xr:uid="{00000000-0005-0000-0000-0000D1070000}"/>
    <cellStyle name="Normal 35 2 2 6 8" xfId="718" xr:uid="{00000000-0005-0000-0000-0000D2070000}"/>
    <cellStyle name="Normal 35 2 2 6 9" xfId="719" xr:uid="{00000000-0005-0000-0000-0000D3070000}"/>
    <cellStyle name="Normal 35 2 3" xfId="720" xr:uid="{00000000-0005-0000-0000-0000D4070000}"/>
    <cellStyle name="Normal 35 2 3 10" xfId="721" xr:uid="{00000000-0005-0000-0000-0000D5070000}"/>
    <cellStyle name="Normal 35 2 3 11" xfId="722" xr:uid="{00000000-0005-0000-0000-0000D6070000}"/>
    <cellStyle name="Normal 35 2 3 12" xfId="723" xr:uid="{00000000-0005-0000-0000-0000D7070000}"/>
    <cellStyle name="Normal 35 2 3 13" xfId="724" xr:uid="{00000000-0005-0000-0000-0000D8070000}"/>
    <cellStyle name="Normal 35 2 3 14" xfId="725" xr:uid="{00000000-0005-0000-0000-0000D9070000}"/>
    <cellStyle name="Normal 35 2 3 15" xfId="726" xr:uid="{00000000-0005-0000-0000-0000DA070000}"/>
    <cellStyle name="Normal 35 2 3 16" xfId="727" xr:uid="{00000000-0005-0000-0000-0000DB070000}"/>
    <cellStyle name="Normal 35 2 3 17" xfId="728" xr:uid="{00000000-0005-0000-0000-0000DC070000}"/>
    <cellStyle name="Normal 35 2 3 18" xfId="729" xr:uid="{00000000-0005-0000-0000-0000DD070000}"/>
    <cellStyle name="Normal 35 2 3 19" xfId="730" xr:uid="{00000000-0005-0000-0000-0000DE070000}"/>
    <cellStyle name="Normal 35 2 3 2" xfId="731" xr:uid="{00000000-0005-0000-0000-0000DF070000}"/>
    <cellStyle name="Normal 35 2 3 20" xfId="732" xr:uid="{00000000-0005-0000-0000-0000E0070000}"/>
    <cellStyle name="Normal 35 2 3 21" xfId="733" xr:uid="{00000000-0005-0000-0000-0000E1070000}"/>
    <cellStyle name="Normal 35 2 3 22" xfId="734" xr:uid="{00000000-0005-0000-0000-0000E2070000}"/>
    <cellStyle name="Normal 35 2 3 23" xfId="735" xr:uid="{00000000-0005-0000-0000-0000E3070000}"/>
    <cellStyle name="Normal 35 2 3 24" xfId="736" xr:uid="{00000000-0005-0000-0000-0000E4070000}"/>
    <cellStyle name="Normal 35 2 3 25" xfId="737" xr:uid="{00000000-0005-0000-0000-0000E5070000}"/>
    <cellStyle name="Normal 35 2 3 26" xfId="738" xr:uid="{00000000-0005-0000-0000-0000E6070000}"/>
    <cellStyle name="Normal 35 2 3 27" xfId="739" xr:uid="{00000000-0005-0000-0000-0000E7070000}"/>
    <cellStyle name="Normal 35 2 3 28" xfId="740" xr:uid="{00000000-0005-0000-0000-0000E8070000}"/>
    <cellStyle name="Normal 35 2 3 29" xfId="741" xr:uid="{00000000-0005-0000-0000-0000E9070000}"/>
    <cellStyle name="Normal 35 2 3 3" xfId="742" xr:uid="{00000000-0005-0000-0000-0000EA070000}"/>
    <cellStyle name="Normal 35 2 3 30" xfId="743" xr:uid="{00000000-0005-0000-0000-0000EB070000}"/>
    <cellStyle name="Normal 35 2 3 31" xfId="744" xr:uid="{00000000-0005-0000-0000-0000EC070000}"/>
    <cellStyle name="Normal 35 2 3 32" xfId="745" xr:uid="{00000000-0005-0000-0000-0000ED070000}"/>
    <cellStyle name="Normal 35 2 3 33" xfId="746" xr:uid="{00000000-0005-0000-0000-0000EE070000}"/>
    <cellStyle name="Normal 35 2 3 34" xfId="747" xr:uid="{00000000-0005-0000-0000-0000EF070000}"/>
    <cellStyle name="Normal 35 2 3 35" xfId="748" xr:uid="{00000000-0005-0000-0000-0000F0070000}"/>
    <cellStyle name="Normal 35 2 3 36" xfId="749" xr:uid="{00000000-0005-0000-0000-0000F1070000}"/>
    <cellStyle name="Normal 35 2 3 37" xfId="750" xr:uid="{00000000-0005-0000-0000-0000F2070000}"/>
    <cellStyle name="Normal 35 2 3 38" xfId="751" xr:uid="{00000000-0005-0000-0000-0000F3070000}"/>
    <cellStyle name="Normal 35 2 3 39" xfId="752" xr:uid="{00000000-0005-0000-0000-0000F4070000}"/>
    <cellStyle name="Normal 35 2 3 4" xfId="753" xr:uid="{00000000-0005-0000-0000-0000F5070000}"/>
    <cellStyle name="Normal 35 2 3 40" xfId="754" xr:uid="{00000000-0005-0000-0000-0000F6070000}"/>
    <cellStyle name="Normal 35 2 3 41" xfId="755" xr:uid="{00000000-0005-0000-0000-0000F7070000}"/>
    <cellStyle name="Normal 35 2 3 42" xfId="756" xr:uid="{00000000-0005-0000-0000-0000F8070000}"/>
    <cellStyle name="Normal 35 2 3 43" xfId="757" xr:uid="{00000000-0005-0000-0000-0000F9070000}"/>
    <cellStyle name="Normal 35 2 3 44" xfId="758" xr:uid="{00000000-0005-0000-0000-0000FA070000}"/>
    <cellStyle name="Normal 35 2 3 45" xfId="759" xr:uid="{00000000-0005-0000-0000-0000FB070000}"/>
    <cellStyle name="Normal 35 2 3 46" xfId="760" xr:uid="{00000000-0005-0000-0000-0000FC070000}"/>
    <cellStyle name="Normal 35 2 3 5" xfId="761" xr:uid="{00000000-0005-0000-0000-0000FD070000}"/>
    <cellStyle name="Normal 35 2 3 6" xfId="762" xr:uid="{00000000-0005-0000-0000-0000FE070000}"/>
    <cellStyle name="Normal 35 2 3 7" xfId="763" xr:uid="{00000000-0005-0000-0000-0000FF070000}"/>
    <cellStyle name="Normal 35 2 3 8" xfId="764" xr:uid="{00000000-0005-0000-0000-000000080000}"/>
    <cellStyle name="Normal 35 2 3 9" xfId="765" xr:uid="{00000000-0005-0000-0000-000001080000}"/>
    <cellStyle name="Normal 35 2 4" xfId="766" xr:uid="{00000000-0005-0000-0000-000002080000}"/>
    <cellStyle name="Normal 35 2 5" xfId="767" xr:uid="{00000000-0005-0000-0000-000003080000}"/>
    <cellStyle name="Normal 35 2 6" xfId="768" xr:uid="{00000000-0005-0000-0000-000004080000}"/>
    <cellStyle name="Normal 35 2 7" xfId="769" xr:uid="{00000000-0005-0000-0000-000005080000}"/>
    <cellStyle name="Normal 35 2 8" xfId="770" xr:uid="{00000000-0005-0000-0000-000006080000}"/>
    <cellStyle name="Normal 35 2 9" xfId="771" xr:uid="{00000000-0005-0000-0000-000007080000}"/>
    <cellStyle name="Normal 35 3" xfId="772" xr:uid="{00000000-0005-0000-0000-000008080000}"/>
    <cellStyle name="Normal 36" xfId="773" xr:uid="{00000000-0005-0000-0000-000009080000}"/>
    <cellStyle name="Normal 37" xfId="774" xr:uid="{00000000-0005-0000-0000-00000A080000}"/>
    <cellStyle name="Normal 37 2" xfId="775" xr:uid="{00000000-0005-0000-0000-00000B080000}"/>
    <cellStyle name="Normal 37 3" xfId="776" xr:uid="{00000000-0005-0000-0000-00000C080000}"/>
    <cellStyle name="Normal 37 3 2" xfId="777" xr:uid="{00000000-0005-0000-0000-00000D080000}"/>
    <cellStyle name="Normal 37 3 2 2" xfId="778" xr:uid="{00000000-0005-0000-0000-00000E080000}"/>
    <cellStyle name="Normal 37 4" xfId="779" xr:uid="{00000000-0005-0000-0000-00000F080000}"/>
    <cellStyle name="Normal 37 5" xfId="780" xr:uid="{00000000-0005-0000-0000-000010080000}"/>
    <cellStyle name="Normal 37 5 2" xfId="781" xr:uid="{00000000-0005-0000-0000-000011080000}"/>
    <cellStyle name="Normal 37 5 2 2" xfId="782" xr:uid="{00000000-0005-0000-0000-000012080000}"/>
    <cellStyle name="Normal 37 5 2 2 2" xfId="783" xr:uid="{00000000-0005-0000-0000-000013080000}"/>
    <cellStyle name="Normal 37 5 2 2 2 2" xfId="784" xr:uid="{00000000-0005-0000-0000-000014080000}"/>
    <cellStyle name="Normal 37 5 2 2 2 2 2" xfId="785" xr:uid="{00000000-0005-0000-0000-000015080000}"/>
    <cellStyle name="Normal 37 5 2 2 3" xfId="1182" xr:uid="{00000000-0005-0000-0000-000016080000}"/>
    <cellStyle name="Normal 37 5 2 3" xfId="786" xr:uid="{00000000-0005-0000-0000-000017080000}"/>
    <cellStyle name="Normal 37 5 2 4" xfId="787" xr:uid="{00000000-0005-0000-0000-000018080000}"/>
    <cellStyle name="Normal 37 5 2 5" xfId="788" xr:uid="{00000000-0005-0000-0000-000019080000}"/>
    <cellStyle name="Normal 37 5 2 6" xfId="789" xr:uid="{00000000-0005-0000-0000-00001A080000}"/>
    <cellStyle name="Normal 37 5 2 7" xfId="790" xr:uid="{00000000-0005-0000-0000-00001B080000}"/>
    <cellStyle name="Normal 37 5 2 7 2" xfId="791" xr:uid="{00000000-0005-0000-0000-00001C080000}"/>
    <cellStyle name="Normal 37 6" xfId="792" xr:uid="{00000000-0005-0000-0000-00001D080000}"/>
    <cellStyle name="Normal 37 7" xfId="793" xr:uid="{00000000-0005-0000-0000-00001E080000}"/>
    <cellStyle name="Normal 38" xfId="794" xr:uid="{00000000-0005-0000-0000-00001F080000}"/>
    <cellStyle name="Normal 38 2" xfId="2" xr:uid="{00000000-0005-0000-0000-000020080000}"/>
    <cellStyle name="Normal 38 3" xfId="795" xr:uid="{00000000-0005-0000-0000-000021080000}"/>
    <cellStyle name="Normal 39" xfId="796" xr:uid="{00000000-0005-0000-0000-000022080000}"/>
    <cellStyle name="Normal 4" xfId="797" xr:uid="{00000000-0005-0000-0000-000023080000}"/>
    <cellStyle name="Normal 4 2" xfId="798" xr:uid="{00000000-0005-0000-0000-000024080000}"/>
    <cellStyle name="Normal 4 3" xfId="799" xr:uid="{00000000-0005-0000-0000-000025080000}"/>
    <cellStyle name="Normal 4 4" xfId="800" xr:uid="{00000000-0005-0000-0000-000026080000}"/>
    <cellStyle name="Normal 4_Kosovo" xfId="801" xr:uid="{00000000-0005-0000-0000-000027080000}"/>
    <cellStyle name="Normal 40" xfId="802" xr:uid="{00000000-0005-0000-0000-000028080000}"/>
    <cellStyle name="Normal 40 2" xfId="803" xr:uid="{00000000-0005-0000-0000-000029080000}"/>
    <cellStyle name="Normal 41" xfId="804" xr:uid="{00000000-0005-0000-0000-00002A080000}"/>
    <cellStyle name="Normal 41 2" xfId="805" xr:uid="{00000000-0005-0000-0000-00002B080000}"/>
    <cellStyle name="Normal 42" xfId="806" xr:uid="{00000000-0005-0000-0000-00002C080000}"/>
    <cellStyle name="Normal 43" xfId="807" xr:uid="{00000000-0005-0000-0000-00002D080000}"/>
    <cellStyle name="Normal 43 2" xfId="808" xr:uid="{00000000-0005-0000-0000-00002E080000}"/>
    <cellStyle name="Normal 44" xfId="809" xr:uid="{00000000-0005-0000-0000-00002F080000}"/>
    <cellStyle name="Normal 45" xfId="810" xr:uid="{00000000-0005-0000-0000-000030080000}"/>
    <cellStyle name="Normal 46" xfId="811" xr:uid="{00000000-0005-0000-0000-000031080000}"/>
    <cellStyle name="Normal 46 2" xfId="812" xr:uid="{00000000-0005-0000-0000-000032080000}"/>
    <cellStyle name="Normal 47" xfId="813" xr:uid="{00000000-0005-0000-0000-000033080000}"/>
    <cellStyle name="Normal 48" xfId="814" xr:uid="{00000000-0005-0000-0000-000034080000}"/>
    <cellStyle name="Normal 49" xfId="815" xr:uid="{00000000-0005-0000-0000-000035080000}"/>
    <cellStyle name="Normal 5" xfId="816" xr:uid="{00000000-0005-0000-0000-000036080000}"/>
    <cellStyle name="Normal 5 2" xfId="817" xr:uid="{00000000-0005-0000-0000-000037080000}"/>
    <cellStyle name="Normal 5 2 2" xfId="818" xr:uid="{00000000-0005-0000-0000-000038080000}"/>
    <cellStyle name="Normal 5 3" xfId="819" xr:uid="{00000000-0005-0000-0000-000039080000}"/>
    <cellStyle name="Normal 5 4" xfId="820" xr:uid="{00000000-0005-0000-0000-00003A080000}"/>
    <cellStyle name="Normal 5 4 2" xfId="821" xr:uid="{00000000-0005-0000-0000-00003B080000}"/>
    <cellStyle name="Normal 5 5" xfId="822" xr:uid="{00000000-0005-0000-0000-00003C080000}"/>
    <cellStyle name="Normal 50" xfId="1179" xr:uid="{00000000-0005-0000-0000-00003D080000}"/>
    <cellStyle name="Normal 51" xfId="1186" xr:uid="{00000000-0005-0000-0000-00003E080000}"/>
    <cellStyle name="Normal 6" xfId="823" xr:uid="{00000000-0005-0000-0000-00003F080000}"/>
    <cellStyle name="Normal 6 2" xfId="824" xr:uid="{00000000-0005-0000-0000-000040080000}"/>
    <cellStyle name="Normal 6 2 2" xfId="825" xr:uid="{00000000-0005-0000-0000-000041080000}"/>
    <cellStyle name="Normal 6 3" xfId="826" xr:uid="{00000000-0005-0000-0000-000042080000}"/>
    <cellStyle name="Normal 6 4" xfId="827" xr:uid="{00000000-0005-0000-0000-000043080000}"/>
    <cellStyle name="Normal 61" xfId="2751" xr:uid="{8F7F9D5F-2706-4C23-9D5C-D271F65064A8}"/>
    <cellStyle name="Normal 7" xfId="828" xr:uid="{00000000-0005-0000-0000-000044080000}"/>
    <cellStyle name="Normal 7 2" xfId="829" xr:uid="{00000000-0005-0000-0000-000045080000}"/>
    <cellStyle name="Normal 8" xfId="830" xr:uid="{00000000-0005-0000-0000-000046080000}"/>
    <cellStyle name="Normal 8 2" xfId="831" xr:uid="{00000000-0005-0000-0000-000047080000}"/>
    <cellStyle name="Normal 9" xfId="832" xr:uid="{00000000-0005-0000-0000-000048080000}"/>
    <cellStyle name="Normal 9 2" xfId="833" xr:uid="{00000000-0005-0000-0000-000049080000}"/>
    <cellStyle name="Normal GHG Numbers (0.00)" xfId="834" xr:uid="{00000000-0005-0000-0000-00004A080000}"/>
    <cellStyle name="Normal GHG Textfiels Bold" xfId="835" xr:uid="{00000000-0005-0000-0000-00004B080000}"/>
    <cellStyle name="Normal GHG whole table" xfId="836" xr:uid="{00000000-0005-0000-0000-00004C080000}"/>
    <cellStyle name="Normal GHG-Shade" xfId="837" xr:uid="{00000000-0005-0000-0000-00004D080000}"/>
    <cellStyle name="Normal Table" xfId="838" xr:uid="{00000000-0005-0000-0000-00004E080000}"/>
    <cellStyle name="Normale_Foglio1" xfId="839" xr:uid="{00000000-0005-0000-0000-00004F080000}"/>
    <cellStyle name="Normalny 2" xfId="840" xr:uid="{00000000-0005-0000-0000-000050080000}"/>
    <cellStyle name="Notas 2 2" xfId="841" xr:uid="{00000000-0005-0000-0000-000051080000}"/>
    <cellStyle name="Notas 2 2 2" xfId="1590" xr:uid="{00000000-0005-0000-0000-000052080000}"/>
    <cellStyle name="Notas 2 2 2 2" xfId="2060" xr:uid="{00000000-0005-0000-0000-000053080000}"/>
    <cellStyle name="Notas 2 2 2 2 2" xfId="2710" xr:uid="{00000000-0005-0000-0000-000054080000}"/>
    <cellStyle name="Notas 2 2 2 3" xfId="2140" xr:uid="{00000000-0005-0000-0000-000055080000}"/>
    <cellStyle name="Notas 2 2 3" xfId="1668" xr:uid="{00000000-0005-0000-0000-000056080000}"/>
    <cellStyle name="Notas 2 2 3 2" xfId="2203" xr:uid="{00000000-0005-0000-0000-000057080000}"/>
    <cellStyle name="Notas 2 2 4" xfId="1373" xr:uid="{00000000-0005-0000-0000-000058080000}"/>
    <cellStyle name="Notas 2 3" xfId="842" xr:uid="{00000000-0005-0000-0000-000059080000}"/>
    <cellStyle name="Notas 2 3 2" xfId="1591" xr:uid="{00000000-0005-0000-0000-00005A080000}"/>
    <cellStyle name="Notas 2 3 2 2" xfId="2061" xr:uid="{00000000-0005-0000-0000-00005B080000}"/>
    <cellStyle name="Notas 2 3 2 2 2" xfId="2711" xr:uid="{00000000-0005-0000-0000-00005C080000}"/>
    <cellStyle name="Notas 2 3 2 3" xfId="1290" xr:uid="{00000000-0005-0000-0000-00005D080000}"/>
    <cellStyle name="Notas 2 3 3" xfId="1195" xr:uid="{00000000-0005-0000-0000-00005E080000}"/>
    <cellStyle name="Notas 2 3 3 2" xfId="2678" xr:uid="{00000000-0005-0000-0000-00005F080000}"/>
    <cellStyle name="Notas 2 3 4" xfId="2165" xr:uid="{00000000-0005-0000-0000-000060080000}"/>
    <cellStyle name="Notas 3" xfId="843" xr:uid="{00000000-0005-0000-0000-000061080000}"/>
    <cellStyle name="Notas 3 2" xfId="1592" xr:uid="{00000000-0005-0000-0000-000062080000}"/>
    <cellStyle name="Notas 3 2 2" xfId="2062" xr:uid="{00000000-0005-0000-0000-000063080000}"/>
    <cellStyle name="Notas 3 2 2 2" xfId="2712" xr:uid="{00000000-0005-0000-0000-000064080000}"/>
    <cellStyle name="Notas 3 2 3" xfId="1336" xr:uid="{00000000-0005-0000-0000-000065080000}"/>
    <cellStyle name="Notas 3 3" xfId="1197" xr:uid="{00000000-0005-0000-0000-000066080000}"/>
    <cellStyle name="Notas 3 3 2" xfId="1377" xr:uid="{00000000-0005-0000-0000-000067080000}"/>
    <cellStyle name="Notas 3 4" xfId="1687" xr:uid="{00000000-0005-0000-0000-000068080000}"/>
    <cellStyle name="Note 2" xfId="844" xr:uid="{00000000-0005-0000-0000-000069080000}"/>
    <cellStyle name="Note 2 2" xfId="845" xr:uid="{00000000-0005-0000-0000-00006A080000}"/>
    <cellStyle name="Note 2 2 2" xfId="846" xr:uid="{00000000-0005-0000-0000-00006B080000}"/>
    <cellStyle name="Note 2 2 2 2" xfId="1595" xr:uid="{00000000-0005-0000-0000-00006C080000}"/>
    <cellStyle name="Note 2 2 2 2 2" xfId="2065" xr:uid="{00000000-0005-0000-0000-00006D080000}"/>
    <cellStyle name="Note 2 2 2 2 2 2" xfId="2715" xr:uid="{00000000-0005-0000-0000-00006E080000}"/>
    <cellStyle name="Note 2 2 2 2 3" xfId="2626" xr:uid="{00000000-0005-0000-0000-00006F080000}"/>
    <cellStyle name="Note 2 2 2 3" xfId="1346" xr:uid="{00000000-0005-0000-0000-000070080000}"/>
    <cellStyle name="Note 2 2 2 3 2" xfId="1279" xr:uid="{00000000-0005-0000-0000-000071080000}"/>
    <cellStyle name="Note 2 2 2 4" xfId="1291" xr:uid="{00000000-0005-0000-0000-000072080000}"/>
    <cellStyle name="Note 2 2 3" xfId="847" xr:uid="{00000000-0005-0000-0000-000073080000}"/>
    <cellStyle name="Note 2 2 3 2" xfId="1596" xr:uid="{00000000-0005-0000-0000-000074080000}"/>
    <cellStyle name="Note 2 2 3 2 2" xfId="2066" xr:uid="{00000000-0005-0000-0000-000075080000}"/>
    <cellStyle name="Note 2 2 3 2 2 2" xfId="2716" xr:uid="{00000000-0005-0000-0000-000076080000}"/>
    <cellStyle name="Note 2 2 3 2 3" xfId="2123" xr:uid="{00000000-0005-0000-0000-000077080000}"/>
    <cellStyle name="Note 2 2 3 3" xfId="1193" xr:uid="{00000000-0005-0000-0000-000078080000}"/>
    <cellStyle name="Note 2 2 3 3 2" xfId="2128" xr:uid="{00000000-0005-0000-0000-000079080000}"/>
    <cellStyle name="Note 2 2 3 4" xfId="1649" xr:uid="{00000000-0005-0000-0000-00007A080000}"/>
    <cellStyle name="Note 2 2 4" xfId="848" xr:uid="{00000000-0005-0000-0000-00007B080000}"/>
    <cellStyle name="Note 2 2 4 2" xfId="1597" xr:uid="{00000000-0005-0000-0000-00007C080000}"/>
    <cellStyle name="Note 2 2 4 2 2" xfId="2067" xr:uid="{00000000-0005-0000-0000-00007D080000}"/>
    <cellStyle name="Note 2 2 4 2 2 2" xfId="2717" xr:uid="{00000000-0005-0000-0000-00007E080000}"/>
    <cellStyle name="Note 2 2 4 2 3" xfId="2377" xr:uid="{00000000-0005-0000-0000-00007F080000}"/>
    <cellStyle name="Note 2 2 4 3" xfId="1670" xr:uid="{00000000-0005-0000-0000-000080080000}"/>
    <cellStyle name="Note 2 2 4 3 2" xfId="2616" xr:uid="{00000000-0005-0000-0000-000081080000}"/>
    <cellStyle name="Note 2 2 4 4" xfId="1673" xr:uid="{00000000-0005-0000-0000-000082080000}"/>
    <cellStyle name="Note 2 2 5" xfId="849" xr:uid="{00000000-0005-0000-0000-000083080000}"/>
    <cellStyle name="Note 2 2 5 2" xfId="1598" xr:uid="{00000000-0005-0000-0000-000084080000}"/>
    <cellStyle name="Note 2 2 5 2 2" xfId="2068" xr:uid="{00000000-0005-0000-0000-000085080000}"/>
    <cellStyle name="Note 2 2 5 2 2 2" xfId="2718" xr:uid="{00000000-0005-0000-0000-000086080000}"/>
    <cellStyle name="Note 2 2 5 2 3" xfId="2630" xr:uid="{00000000-0005-0000-0000-000087080000}"/>
    <cellStyle name="Note 2 2 5 3" xfId="1367" xr:uid="{00000000-0005-0000-0000-000088080000}"/>
    <cellStyle name="Note 2 2 5 3 2" xfId="1277" xr:uid="{00000000-0005-0000-0000-000089080000}"/>
    <cellStyle name="Note 2 2 5 4" xfId="1634" xr:uid="{00000000-0005-0000-0000-00008A080000}"/>
    <cellStyle name="Note 2 2 6" xfId="1594" xr:uid="{00000000-0005-0000-0000-00008B080000}"/>
    <cellStyle name="Note 2 2 6 2" xfId="2064" xr:uid="{00000000-0005-0000-0000-00008C080000}"/>
    <cellStyle name="Note 2 2 6 2 2" xfId="2714" xr:uid="{00000000-0005-0000-0000-00008D080000}"/>
    <cellStyle name="Note 2 2 6 3" xfId="2117" xr:uid="{00000000-0005-0000-0000-00008E080000}"/>
    <cellStyle name="Note 2 2 7" xfId="1669" xr:uid="{00000000-0005-0000-0000-00008F080000}"/>
    <cellStyle name="Note 2 2 7 2" xfId="1659" xr:uid="{00000000-0005-0000-0000-000090080000}"/>
    <cellStyle name="Note 2 2 8" xfId="1369" xr:uid="{00000000-0005-0000-0000-000091080000}"/>
    <cellStyle name="Note 2 2_Kosovo" xfId="850" xr:uid="{00000000-0005-0000-0000-000092080000}"/>
    <cellStyle name="Note 2 3" xfId="851" xr:uid="{00000000-0005-0000-0000-000093080000}"/>
    <cellStyle name="Note 2 3 2" xfId="1599" xr:uid="{00000000-0005-0000-0000-000094080000}"/>
    <cellStyle name="Note 2 3 2 2" xfId="2069" xr:uid="{00000000-0005-0000-0000-000095080000}"/>
    <cellStyle name="Note 2 3 2 2 2" xfId="2719" xr:uid="{00000000-0005-0000-0000-000096080000}"/>
    <cellStyle name="Note 2 3 2 3" xfId="2124" xr:uid="{00000000-0005-0000-0000-000097080000}"/>
    <cellStyle name="Note 2 3 3" xfId="1345" xr:uid="{00000000-0005-0000-0000-000098080000}"/>
    <cellStyle name="Note 2 3 3 2" xfId="2661" xr:uid="{00000000-0005-0000-0000-000099080000}"/>
    <cellStyle name="Note 2 3 4" xfId="1689" xr:uid="{00000000-0005-0000-0000-00009A080000}"/>
    <cellStyle name="Note 2 4" xfId="1593" xr:uid="{00000000-0005-0000-0000-00009B080000}"/>
    <cellStyle name="Note 2 4 2" xfId="2063" xr:uid="{00000000-0005-0000-0000-00009C080000}"/>
    <cellStyle name="Note 2 4 2 2" xfId="2713" xr:uid="{00000000-0005-0000-0000-00009D080000}"/>
    <cellStyle name="Note 2 4 3" xfId="2190" xr:uid="{00000000-0005-0000-0000-00009E080000}"/>
    <cellStyle name="Note 2 5" xfId="1347" xr:uid="{00000000-0005-0000-0000-00009F080000}"/>
    <cellStyle name="Note 2 5 2" xfId="2493" xr:uid="{00000000-0005-0000-0000-0000A0080000}"/>
    <cellStyle name="Note 2 6" xfId="1816" xr:uid="{00000000-0005-0000-0000-0000A1080000}"/>
    <cellStyle name="Note 2_Kosovo" xfId="852" xr:uid="{00000000-0005-0000-0000-0000A2080000}"/>
    <cellStyle name="Note 3" xfId="853" xr:uid="{00000000-0005-0000-0000-0000A3080000}"/>
    <cellStyle name="Note 3 2" xfId="1600" xr:uid="{00000000-0005-0000-0000-0000A4080000}"/>
    <cellStyle name="Note 3 2 2" xfId="2070" xr:uid="{00000000-0005-0000-0000-0000A5080000}"/>
    <cellStyle name="Note 3 2 2 2" xfId="2720" xr:uid="{00000000-0005-0000-0000-0000A6080000}"/>
    <cellStyle name="Note 3 2 3" xfId="2191" xr:uid="{00000000-0005-0000-0000-0000A7080000}"/>
    <cellStyle name="Note 3 3" xfId="1368" xr:uid="{00000000-0005-0000-0000-0000A8080000}"/>
    <cellStyle name="Note 3 3 2" xfId="1187" xr:uid="{00000000-0005-0000-0000-0000A9080000}"/>
    <cellStyle name="Note 3 4" xfId="2158" xr:uid="{00000000-0005-0000-0000-0000AA080000}"/>
    <cellStyle name="Notes" xfId="854" xr:uid="{00000000-0005-0000-0000-0000AB080000}"/>
    <cellStyle name="Notiz" xfId="855" xr:uid="{00000000-0005-0000-0000-0000AC080000}"/>
    <cellStyle name="Notiz 2" xfId="1601" xr:uid="{00000000-0005-0000-0000-0000AD080000}"/>
    <cellStyle name="Notiz 2 2" xfId="2071" xr:uid="{00000000-0005-0000-0000-0000AE080000}"/>
    <cellStyle name="Notiz 2 2 2" xfId="2721" xr:uid="{00000000-0005-0000-0000-0000AF080000}"/>
    <cellStyle name="Notiz 2 3" xfId="2181" xr:uid="{00000000-0005-0000-0000-0000B0080000}"/>
    <cellStyle name="Notiz 3" xfId="1671" xr:uid="{00000000-0005-0000-0000-0000B1080000}"/>
    <cellStyle name="Notiz 3 2" xfId="1678" xr:uid="{00000000-0005-0000-0000-0000B2080000}"/>
    <cellStyle name="Notiz 4" xfId="1815" xr:uid="{00000000-0005-0000-0000-0000B3080000}"/>
    <cellStyle name="Of which" xfId="856" xr:uid="{00000000-0005-0000-0000-0000B4080000}"/>
    <cellStyle name="Output 2" xfId="857" xr:uid="{00000000-0005-0000-0000-0000B5080000}"/>
    <cellStyle name="Output 2 2" xfId="858" xr:uid="{00000000-0005-0000-0000-0000B6080000}"/>
    <cellStyle name="Output 2 2 2" xfId="859" xr:uid="{00000000-0005-0000-0000-0000B7080000}"/>
    <cellStyle name="Output 2 2 2 2" xfId="1604" xr:uid="{00000000-0005-0000-0000-0000B8080000}"/>
    <cellStyle name="Output 2 2 2 2 2" xfId="2074" xr:uid="{00000000-0005-0000-0000-0000B9080000}"/>
    <cellStyle name="Output 2 2 2 2 2 2" xfId="2724" xr:uid="{00000000-0005-0000-0000-0000BA080000}"/>
    <cellStyle name="Output 2 2 2 2 3" xfId="2192" xr:uid="{00000000-0005-0000-0000-0000BB080000}"/>
    <cellStyle name="Output 2 2 2 3" xfId="1344" xr:uid="{00000000-0005-0000-0000-0000BC080000}"/>
    <cellStyle name="Output 2 2 2 3 2" xfId="2496" xr:uid="{00000000-0005-0000-0000-0000BD080000}"/>
    <cellStyle name="Output 2 2 2 4" xfId="1851" xr:uid="{00000000-0005-0000-0000-0000BE080000}"/>
    <cellStyle name="Output 2 2 3" xfId="860" xr:uid="{00000000-0005-0000-0000-0000BF080000}"/>
    <cellStyle name="Output 2 2 3 2" xfId="1605" xr:uid="{00000000-0005-0000-0000-0000C0080000}"/>
    <cellStyle name="Output 2 2 3 2 2" xfId="2075" xr:uid="{00000000-0005-0000-0000-0000C1080000}"/>
    <cellStyle name="Output 2 2 3 2 2 2" xfId="2725" xr:uid="{00000000-0005-0000-0000-0000C2080000}"/>
    <cellStyle name="Output 2 2 3 2 3" xfId="2425" xr:uid="{00000000-0005-0000-0000-0000C3080000}"/>
    <cellStyle name="Output 2 2 3 3" xfId="1672" xr:uid="{00000000-0005-0000-0000-0000C4080000}"/>
    <cellStyle name="Output 2 2 3 3 2" xfId="2427" xr:uid="{00000000-0005-0000-0000-0000C5080000}"/>
    <cellStyle name="Output 2 2 3 4" xfId="2104" xr:uid="{00000000-0005-0000-0000-0000C6080000}"/>
    <cellStyle name="Output 2 2 4" xfId="861" xr:uid="{00000000-0005-0000-0000-0000C7080000}"/>
    <cellStyle name="Output 2 2 4 2" xfId="1606" xr:uid="{00000000-0005-0000-0000-0000C8080000}"/>
    <cellStyle name="Output 2 2 4 2 2" xfId="2076" xr:uid="{00000000-0005-0000-0000-0000C9080000}"/>
    <cellStyle name="Output 2 2 4 2 2 2" xfId="2726" xr:uid="{00000000-0005-0000-0000-0000CA080000}"/>
    <cellStyle name="Output 2 2 4 2 3" xfId="2628" xr:uid="{00000000-0005-0000-0000-0000CB080000}"/>
    <cellStyle name="Output 2 2 4 3" xfId="1343" xr:uid="{00000000-0005-0000-0000-0000CC080000}"/>
    <cellStyle name="Output 2 2 4 3 2" xfId="1641" xr:uid="{00000000-0005-0000-0000-0000CD080000}"/>
    <cellStyle name="Output 2 2 4 4" xfId="2683" xr:uid="{00000000-0005-0000-0000-0000CE080000}"/>
    <cellStyle name="Output 2 2 5" xfId="862" xr:uid="{00000000-0005-0000-0000-0000CF080000}"/>
    <cellStyle name="Output 2 2 5 2" xfId="1607" xr:uid="{00000000-0005-0000-0000-0000D0080000}"/>
    <cellStyle name="Output 2 2 5 2 2" xfId="2077" xr:uid="{00000000-0005-0000-0000-0000D1080000}"/>
    <cellStyle name="Output 2 2 5 2 2 2" xfId="2727" xr:uid="{00000000-0005-0000-0000-0000D2080000}"/>
    <cellStyle name="Output 2 2 5 2 3" xfId="2139" xr:uid="{00000000-0005-0000-0000-0000D3080000}"/>
    <cellStyle name="Output 2 2 5 3" xfId="1191" xr:uid="{00000000-0005-0000-0000-0000D4080000}"/>
    <cellStyle name="Output 2 2 5 3 2" xfId="2679" xr:uid="{00000000-0005-0000-0000-0000D5080000}"/>
    <cellStyle name="Output 2 2 5 4" xfId="1349" xr:uid="{00000000-0005-0000-0000-0000D6080000}"/>
    <cellStyle name="Output 2 2 6" xfId="1603" xr:uid="{00000000-0005-0000-0000-0000D7080000}"/>
    <cellStyle name="Output 2 2 6 2" xfId="2073" xr:uid="{00000000-0005-0000-0000-0000D8080000}"/>
    <cellStyle name="Output 2 2 6 2 2" xfId="2723" xr:uid="{00000000-0005-0000-0000-0000D9080000}"/>
    <cellStyle name="Output 2 2 6 3" xfId="1405" xr:uid="{00000000-0005-0000-0000-0000DA080000}"/>
    <cellStyle name="Output 2 2 7" xfId="1194" xr:uid="{00000000-0005-0000-0000-0000DB080000}"/>
    <cellStyle name="Output 2 2 7 2" xfId="2481" xr:uid="{00000000-0005-0000-0000-0000DC080000}"/>
    <cellStyle name="Output 2 2 8" xfId="2682" xr:uid="{00000000-0005-0000-0000-0000DD080000}"/>
    <cellStyle name="Output 2 2_Kosovo" xfId="863" xr:uid="{00000000-0005-0000-0000-0000DE080000}"/>
    <cellStyle name="Output 2 3" xfId="864" xr:uid="{00000000-0005-0000-0000-0000DF080000}"/>
    <cellStyle name="Output 2 3 2" xfId="1608" xr:uid="{00000000-0005-0000-0000-0000E0080000}"/>
    <cellStyle name="Output 2 3 2 2" xfId="2078" xr:uid="{00000000-0005-0000-0000-0000E1080000}"/>
    <cellStyle name="Output 2 3 2 2 2" xfId="2728" xr:uid="{00000000-0005-0000-0000-0000E2080000}"/>
    <cellStyle name="Output 2 3 2 3" xfId="2193" xr:uid="{00000000-0005-0000-0000-0000E3080000}"/>
    <cellStyle name="Output 2 3 3" xfId="1342" xr:uid="{00000000-0005-0000-0000-0000E4080000}"/>
    <cellStyle name="Output 2 3 3 2" xfId="1338" xr:uid="{00000000-0005-0000-0000-0000E5080000}"/>
    <cellStyle name="Output 2 3 4" xfId="1648" xr:uid="{00000000-0005-0000-0000-0000E6080000}"/>
    <cellStyle name="Output 2 4" xfId="1602" xr:uid="{00000000-0005-0000-0000-0000E7080000}"/>
    <cellStyle name="Output 2 4 2" xfId="2072" xr:uid="{00000000-0005-0000-0000-0000E8080000}"/>
    <cellStyle name="Output 2 4 2 2" xfId="2722" xr:uid="{00000000-0005-0000-0000-0000E9080000}"/>
    <cellStyle name="Output 2 4 3" xfId="2629" xr:uid="{00000000-0005-0000-0000-0000EA080000}"/>
    <cellStyle name="Output 2 5" xfId="1192" xr:uid="{00000000-0005-0000-0000-0000EB080000}"/>
    <cellStyle name="Output 2 5 2" xfId="1270" xr:uid="{00000000-0005-0000-0000-0000EC080000}"/>
    <cellStyle name="Output 2 6" xfId="2371" xr:uid="{00000000-0005-0000-0000-0000ED080000}"/>
    <cellStyle name="Output 2_Kosovo" xfId="865" xr:uid="{00000000-0005-0000-0000-0000EE080000}"/>
    <cellStyle name="Percent" xfId="1" builtinId="5"/>
    <cellStyle name="Percent [2]" xfId="866" xr:uid="{00000000-0005-0000-0000-0000F0080000}"/>
    <cellStyle name="Percent 10" xfId="867" xr:uid="{00000000-0005-0000-0000-0000F1080000}"/>
    <cellStyle name="Percent 11" xfId="868" xr:uid="{00000000-0005-0000-0000-0000F2080000}"/>
    <cellStyle name="Percent 12" xfId="869" xr:uid="{00000000-0005-0000-0000-0000F3080000}"/>
    <cellStyle name="Percent 13" xfId="870" xr:uid="{00000000-0005-0000-0000-0000F4080000}"/>
    <cellStyle name="Percent 14" xfId="871" xr:uid="{00000000-0005-0000-0000-0000F5080000}"/>
    <cellStyle name="Percent 15" xfId="872" xr:uid="{00000000-0005-0000-0000-0000F6080000}"/>
    <cellStyle name="Percent 16" xfId="873" xr:uid="{00000000-0005-0000-0000-0000F7080000}"/>
    <cellStyle name="Percent 17" xfId="874" xr:uid="{00000000-0005-0000-0000-0000F8080000}"/>
    <cellStyle name="Percent 18" xfId="875" xr:uid="{00000000-0005-0000-0000-0000F9080000}"/>
    <cellStyle name="Percent 19" xfId="876" xr:uid="{00000000-0005-0000-0000-0000FA080000}"/>
    <cellStyle name="Percent 19 2" xfId="877" xr:uid="{00000000-0005-0000-0000-0000FB080000}"/>
    <cellStyle name="Percent 2" xfId="878" xr:uid="{00000000-0005-0000-0000-0000FC080000}"/>
    <cellStyle name="Percent 2 2" xfId="879" xr:uid="{00000000-0005-0000-0000-0000FD080000}"/>
    <cellStyle name="Percent 2 2 2" xfId="880" xr:uid="{00000000-0005-0000-0000-0000FE080000}"/>
    <cellStyle name="Percent 2 2 2 2" xfId="881" xr:uid="{00000000-0005-0000-0000-0000FF080000}"/>
    <cellStyle name="Percent 2 2 2 3" xfId="882" xr:uid="{00000000-0005-0000-0000-000000090000}"/>
    <cellStyle name="Percent 2 2 2 4" xfId="883" xr:uid="{00000000-0005-0000-0000-000001090000}"/>
    <cellStyle name="Percent 2 2 2 5" xfId="884" xr:uid="{00000000-0005-0000-0000-000002090000}"/>
    <cellStyle name="Percent 2 2 2 6" xfId="885" xr:uid="{00000000-0005-0000-0000-000003090000}"/>
    <cellStyle name="Percent 2 2 2 6 10" xfId="886" xr:uid="{00000000-0005-0000-0000-000004090000}"/>
    <cellStyle name="Percent 2 2 2 6 11" xfId="887" xr:uid="{00000000-0005-0000-0000-000005090000}"/>
    <cellStyle name="Percent 2 2 2 6 12" xfId="888" xr:uid="{00000000-0005-0000-0000-000006090000}"/>
    <cellStyle name="Percent 2 2 2 6 13" xfId="889" xr:uid="{00000000-0005-0000-0000-000007090000}"/>
    <cellStyle name="Percent 2 2 2 6 14" xfId="890" xr:uid="{00000000-0005-0000-0000-000008090000}"/>
    <cellStyle name="Percent 2 2 2 6 15" xfId="891" xr:uid="{00000000-0005-0000-0000-000009090000}"/>
    <cellStyle name="Percent 2 2 2 6 16" xfId="892" xr:uid="{00000000-0005-0000-0000-00000A090000}"/>
    <cellStyle name="Percent 2 2 2 6 17" xfId="893" xr:uid="{00000000-0005-0000-0000-00000B090000}"/>
    <cellStyle name="Percent 2 2 2 6 18" xfId="894" xr:uid="{00000000-0005-0000-0000-00000C090000}"/>
    <cellStyle name="Percent 2 2 2 6 19" xfId="895" xr:uid="{00000000-0005-0000-0000-00000D090000}"/>
    <cellStyle name="Percent 2 2 2 6 2" xfId="896" xr:uid="{00000000-0005-0000-0000-00000E090000}"/>
    <cellStyle name="Percent 2 2 2 6 20" xfId="897" xr:uid="{00000000-0005-0000-0000-00000F090000}"/>
    <cellStyle name="Percent 2 2 2 6 21" xfId="898" xr:uid="{00000000-0005-0000-0000-000010090000}"/>
    <cellStyle name="Percent 2 2 2 6 22" xfId="899" xr:uid="{00000000-0005-0000-0000-000011090000}"/>
    <cellStyle name="Percent 2 2 2 6 23" xfId="900" xr:uid="{00000000-0005-0000-0000-000012090000}"/>
    <cellStyle name="Percent 2 2 2 6 24" xfId="901" xr:uid="{00000000-0005-0000-0000-000013090000}"/>
    <cellStyle name="Percent 2 2 2 6 25" xfId="902" xr:uid="{00000000-0005-0000-0000-000014090000}"/>
    <cellStyle name="Percent 2 2 2 6 26" xfId="903" xr:uid="{00000000-0005-0000-0000-000015090000}"/>
    <cellStyle name="Percent 2 2 2 6 27" xfId="904" xr:uid="{00000000-0005-0000-0000-000016090000}"/>
    <cellStyle name="Percent 2 2 2 6 28" xfId="905" xr:uid="{00000000-0005-0000-0000-000017090000}"/>
    <cellStyle name="Percent 2 2 2 6 29" xfId="906" xr:uid="{00000000-0005-0000-0000-000018090000}"/>
    <cellStyle name="Percent 2 2 2 6 3" xfId="907" xr:uid="{00000000-0005-0000-0000-000019090000}"/>
    <cellStyle name="Percent 2 2 2 6 30" xfId="908" xr:uid="{00000000-0005-0000-0000-00001A090000}"/>
    <cellStyle name="Percent 2 2 2 6 31" xfId="909" xr:uid="{00000000-0005-0000-0000-00001B090000}"/>
    <cellStyle name="Percent 2 2 2 6 32" xfId="910" xr:uid="{00000000-0005-0000-0000-00001C090000}"/>
    <cellStyle name="Percent 2 2 2 6 33" xfId="911" xr:uid="{00000000-0005-0000-0000-00001D090000}"/>
    <cellStyle name="Percent 2 2 2 6 34" xfId="912" xr:uid="{00000000-0005-0000-0000-00001E090000}"/>
    <cellStyle name="Percent 2 2 2 6 35" xfId="913" xr:uid="{00000000-0005-0000-0000-00001F090000}"/>
    <cellStyle name="Percent 2 2 2 6 36" xfId="914" xr:uid="{00000000-0005-0000-0000-000020090000}"/>
    <cellStyle name="Percent 2 2 2 6 37" xfId="915" xr:uid="{00000000-0005-0000-0000-000021090000}"/>
    <cellStyle name="Percent 2 2 2 6 38" xfId="916" xr:uid="{00000000-0005-0000-0000-000022090000}"/>
    <cellStyle name="Percent 2 2 2 6 39" xfId="917" xr:uid="{00000000-0005-0000-0000-000023090000}"/>
    <cellStyle name="Percent 2 2 2 6 4" xfId="918" xr:uid="{00000000-0005-0000-0000-000024090000}"/>
    <cellStyle name="Percent 2 2 2 6 40" xfId="919" xr:uid="{00000000-0005-0000-0000-000025090000}"/>
    <cellStyle name="Percent 2 2 2 6 41" xfId="920" xr:uid="{00000000-0005-0000-0000-000026090000}"/>
    <cellStyle name="Percent 2 2 2 6 42" xfId="921" xr:uid="{00000000-0005-0000-0000-000027090000}"/>
    <cellStyle name="Percent 2 2 2 6 43" xfId="922" xr:uid="{00000000-0005-0000-0000-000028090000}"/>
    <cellStyle name="Percent 2 2 2 6 44" xfId="923" xr:uid="{00000000-0005-0000-0000-000029090000}"/>
    <cellStyle name="Percent 2 2 2 6 45" xfId="924" xr:uid="{00000000-0005-0000-0000-00002A090000}"/>
    <cellStyle name="Percent 2 2 2 6 46" xfId="925" xr:uid="{00000000-0005-0000-0000-00002B090000}"/>
    <cellStyle name="Percent 2 2 2 6 5" xfId="926" xr:uid="{00000000-0005-0000-0000-00002C090000}"/>
    <cellStyle name="Percent 2 2 2 6 6" xfId="927" xr:uid="{00000000-0005-0000-0000-00002D090000}"/>
    <cellStyle name="Percent 2 2 2 6 7" xfId="928" xr:uid="{00000000-0005-0000-0000-00002E090000}"/>
    <cellStyle name="Percent 2 2 2 6 8" xfId="929" xr:uid="{00000000-0005-0000-0000-00002F090000}"/>
    <cellStyle name="Percent 2 2 2 6 9" xfId="930" xr:uid="{00000000-0005-0000-0000-000030090000}"/>
    <cellStyle name="Percent 2 2 3" xfId="931" xr:uid="{00000000-0005-0000-0000-000031090000}"/>
    <cellStyle name="Percent 2 2 4" xfId="932" xr:uid="{00000000-0005-0000-0000-000032090000}"/>
    <cellStyle name="Percent 2 2 5" xfId="933" xr:uid="{00000000-0005-0000-0000-000033090000}"/>
    <cellStyle name="Percent 2 2 6" xfId="934" xr:uid="{00000000-0005-0000-0000-000034090000}"/>
    <cellStyle name="Percent 2 2 7" xfId="935" xr:uid="{00000000-0005-0000-0000-000035090000}"/>
    <cellStyle name="Percent 2 2 8" xfId="936" xr:uid="{00000000-0005-0000-0000-000036090000}"/>
    <cellStyle name="Percent 2 2 9" xfId="937" xr:uid="{00000000-0005-0000-0000-000037090000}"/>
    <cellStyle name="Percent 2 3" xfId="938" xr:uid="{00000000-0005-0000-0000-000038090000}"/>
    <cellStyle name="Percent 2 4" xfId="939" xr:uid="{00000000-0005-0000-0000-000039090000}"/>
    <cellStyle name="Percent 2 5" xfId="940" xr:uid="{00000000-0005-0000-0000-00003A090000}"/>
    <cellStyle name="Percent 2 decimal calc" xfId="941" xr:uid="{00000000-0005-0000-0000-00003B090000}"/>
    <cellStyle name="Percent 2 decimal input" xfId="942" xr:uid="{00000000-0005-0000-0000-00003C090000}"/>
    <cellStyle name="Percent 20" xfId="943" xr:uid="{00000000-0005-0000-0000-00003D090000}"/>
    <cellStyle name="Percent 21" xfId="944" xr:uid="{00000000-0005-0000-0000-00003E090000}"/>
    <cellStyle name="Percent 22" xfId="1183" xr:uid="{00000000-0005-0000-0000-00003F090000}"/>
    <cellStyle name="Percent 3" xfId="945" xr:uid="{00000000-0005-0000-0000-000040090000}"/>
    <cellStyle name="Percent 3 2" xfId="946" xr:uid="{00000000-0005-0000-0000-000041090000}"/>
    <cellStyle name="Percent 3 3" xfId="947" xr:uid="{00000000-0005-0000-0000-000042090000}"/>
    <cellStyle name="Percent 4" xfId="948" xr:uid="{00000000-0005-0000-0000-000043090000}"/>
    <cellStyle name="Percent 4 2" xfId="949" xr:uid="{00000000-0005-0000-0000-000044090000}"/>
    <cellStyle name="Percent 4 3" xfId="950" xr:uid="{00000000-0005-0000-0000-000045090000}"/>
    <cellStyle name="Percent 5" xfId="951" xr:uid="{00000000-0005-0000-0000-000046090000}"/>
    <cellStyle name="Percent 6" xfId="952" xr:uid="{00000000-0005-0000-0000-000047090000}"/>
    <cellStyle name="Percent 7" xfId="953" xr:uid="{00000000-0005-0000-0000-000048090000}"/>
    <cellStyle name="Percent 8" xfId="954" xr:uid="{00000000-0005-0000-0000-000049090000}"/>
    <cellStyle name="Percent 9" xfId="955" xr:uid="{00000000-0005-0000-0000-00004A090000}"/>
    <cellStyle name="Percent1" xfId="956" xr:uid="{00000000-0005-0000-0000-00004B090000}"/>
    <cellStyle name="percentage difference" xfId="957" xr:uid="{00000000-0005-0000-0000-00004C090000}"/>
    <cellStyle name="percentage difference one decimal" xfId="958" xr:uid="{00000000-0005-0000-0000-00004D090000}"/>
    <cellStyle name="percentage difference zero decimal" xfId="959" xr:uid="{00000000-0005-0000-0000-00004E090000}"/>
    <cellStyle name="Percentual" xfId="960" xr:uid="{00000000-0005-0000-0000-00004F090000}"/>
    <cellStyle name="Ponto" xfId="961" xr:uid="{00000000-0005-0000-0000-000050090000}"/>
    <cellStyle name="Porcentagem_SEP1196" xfId="962" xr:uid="{00000000-0005-0000-0000-000051090000}"/>
    <cellStyle name="Porcentaje" xfId="963" xr:uid="{00000000-0005-0000-0000-000052090000}"/>
    <cellStyle name="Porcentaje 2" xfId="964" xr:uid="{00000000-0005-0000-0000-000053090000}"/>
    <cellStyle name="Porcentual 2" xfId="965" xr:uid="{00000000-0005-0000-0000-000054090000}"/>
    <cellStyle name="Porcentual 2 2" xfId="966" xr:uid="{00000000-0005-0000-0000-000055090000}"/>
    <cellStyle name="Porcentual 2 3" xfId="967" xr:uid="{00000000-0005-0000-0000-000056090000}"/>
    <cellStyle name="Porcentual 2 4" xfId="968" xr:uid="{00000000-0005-0000-0000-000057090000}"/>
    <cellStyle name="Porcentual 2 5" xfId="969" xr:uid="{00000000-0005-0000-0000-000058090000}"/>
    <cellStyle name="Porcentual 2 6" xfId="970" xr:uid="{00000000-0005-0000-0000-000059090000}"/>
    <cellStyle name="Porcentual 2 7" xfId="971" xr:uid="{00000000-0005-0000-0000-00005A090000}"/>
    <cellStyle name="Porcentual 3" xfId="972" xr:uid="{00000000-0005-0000-0000-00005B090000}"/>
    <cellStyle name="Porcentual 4" xfId="973" xr:uid="{00000000-0005-0000-0000-00005C090000}"/>
    <cellStyle name="Presentation" xfId="974" xr:uid="{00000000-0005-0000-0000-00005D090000}"/>
    <cellStyle name="Prozent_Imp02" xfId="975" xr:uid="{00000000-0005-0000-0000-00005E090000}"/>
    <cellStyle name="PSChar" xfId="976" xr:uid="{00000000-0005-0000-0000-00005F090000}"/>
    <cellStyle name="PSHeading" xfId="977" xr:uid="{00000000-0005-0000-0000-000060090000}"/>
    <cellStyle name="PSSpacer" xfId="978" xr:uid="{00000000-0005-0000-0000-000061090000}"/>
    <cellStyle name="Publication" xfId="979" xr:uid="{00000000-0005-0000-0000-000062090000}"/>
    <cellStyle name="Punto" xfId="980" xr:uid="{00000000-0005-0000-0000-000063090000}"/>
    <cellStyle name="Punto0" xfId="981" xr:uid="{00000000-0005-0000-0000-000064090000}"/>
    <cellStyle name="Punto0 - Estilo1" xfId="982" xr:uid="{00000000-0005-0000-0000-000065090000}"/>
    <cellStyle name="Punto0_Hoja1" xfId="983" xr:uid="{00000000-0005-0000-0000-000066090000}"/>
    <cellStyle name="Real $" xfId="984" xr:uid="{00000000-0005-0000-0000-000067090000}"/>
    <cellStyle name="Red Text" xfId="985" xr:uid="{00000000-0005-0000-0000-000068090000}"/>
    <cellStyle name="Reference" xfId="986" xr:uid="{00000000-0005-0000-0000-000069090000}"/>
    <cellStyle name="Row heading" xfId="987" xr:uid="{00000000-0005-0000-0000-00006A090000}"/>
    <cellStyle name="RTCP 1 - User Selected Input Cell" xfId="988" xr:uid="{00000000-0005-0000-0000-00006B090000}"/>
    <cellStyle name="RTCP 1 - User Selected Input Cell 2" xfId="989" xr:uid="{00000000-0005-0000-0000-00006C090000}"/>
    <cellStyle name="RTCP 1 - User Selected Input Cell 2 2" xfId="990" xr:uid="{00000000-0005-0000-0000-00006D090000}"/>
    <cellStyle name="RTCP 1 - User Selected Input Cell 2 2 2" xfId="991" xr:uid="{00000000-0005-0000-0000-00006E090000}"/>
    <cellStyle name="RTCP 1 - User Selected Input Cell 2 3" xfId="992" xr:uid="{00000000-0005-0000-0000-00006F090000}"/>
    <cellStyle name="RTCP 1 - User Selected Input Cell 2 3 2" xfId="993" xr:uid="{00000000-0005-0000-0000-000070090000}"/>
    <cellStyle name="RTCP 1 - User Selected Input Cell 2 4" xfId="994" xr:uid="{00000000-0005-0000-0000-000071090000}"/>
    <cellStyle name="RTCP 1 - User Selected Input Cell 2 4 2" xfId="995" xr:uid="{00000000-0005-0000-0000-000072090000}"/>
    <cellStyle name="RTCP 1 - User Selected Input Cell 2 5" xfId="996" xr:uid="{00000000-0005-0000-0000-000073090000}"/>
    <cellStyle name="RTCP 1 - User Selected Input Cell 2 5 2" xfId="997" xr:uid="{00000000-0005-0000-0000-000074090000}"/>
    <cellStyle name="RTCP 1 - User Selected Input Cell 2 6" xfId="998" xr:uid="{00000000-0005-0000-0000-000075090000}"/>
    <cellStyle name="RTCP 1 - User Selected Input Cell 2_Kosovo" xfId="999" xr:uid="{00000000-0005-0000-0000-000076090000}"/>
    <cellStyle name="RTCP 1 - User Selected Input Cell 3" xfId="1000" xr:uid="{00000000-0005-0000-0000-000077090000}"/>
    <cellStyle name="RTCP 1 - User Selected Input Cell 3 2" xfId="1001" xr:uid="{00000000-0005-0000-0000-000078090000}"/>
    <cellStyle name="RTCP 1 - User Selected Input Cell 3 2 2" xfId="1002" xr:uid="{00000000-0005-0000-0000-000079090000}"/>
    <cellStyle name="RTCP 1 - User Selected Input Cell 3 3" xfId="1003" xr:uid="{00000000-0005-0000-0000-00007A090000}"/>
    <cellStyle name="RTCP 1 - User Selected Input Cell 3_Kosovo" xfId="1004" xr:uid="{00000000-0005-0000-0000-00007B090000}"/>
    <cellStyle name="RTCP 1 - User Selected Input Cell 4" xfId="1005" xr:uid="{00000000-0005-0000-0000-00007C090000}"/>
    <cellStyle name="RTCP 1 - User Selected Input Cell_Kosovo" xfId="1006" xr:uid="{00000000-0005-0000-0000-00007D090000}"/>
    <cellStyle name="RTCP 2 - Formula linked to another worksheet" xfId="1007" xr:uid="{00000000-0005-0000-0000-00007E090000}"/>
    <cellStyle name="RTCP 2 - Formula linked to another worksheet 2" xfId="1008" xr:uid="{00000000-0005-0000-0000-00007F090000}"/>
    <cellStyle name="RTCP 2 - Formula linked to another worksheet 2 2" xfId="1009" xr:uid="{00000000-0005-0000-0000-000080090000}"/>
    <cellStyle name="RTCP 2 - Formula linked to another worksheet 2 3" xfId="1010" xr:uid="{00000000-0005-0000-0000-000081090000}"/>
    <cellStyle name="RTCP 2 - Formula linked to another worksheet 2 4" xfId="1011" xr:uid="{00000000-0005-0000-0000-000082090000}"/>
    <cellStyle name="RTCP 2 - Formula linked to another worksheet 2 5" xfId="1012" xr:uid="{00000000-0005-0000-0000-000083090000}"/>
    <cellStyle name="RTCP 2 - Formula linked to another worksheet 2_Kosovo" xfId="1013" xr:uid="{00000000-0005-0000-0000-000084090000}"/>
    <cellStyle name="RTCP 2 - Formula linked to another worksheet 3" xfId="1014" xr:uid="{00000000-0005-0000-0000-000085090000}"/>
    <cellStyle name="RTCP 2 - Formula linked to another worksheet 3 2" xfId="1015" xr:uid="{00000000-0005-0000-0000-000086090000}"/>
    <cellStyle name="RTCP 2 - Formula linked to another worksheet 3_Kosovo" xfId="1016" xr:uid="{00000000-0005-0000-0000-000087090000}"/>
    <cellStyle name="RTCP 2 - Formula linked to another worksheet_Kosovo" xfId="1017" xr:uid="{00000000-0005-0000-0000-000088090000}"/>
    <cellStyle name="RTCP 3 - Formula linked to cell on same worksheet" xfId="1018" xr:uid="{00000000-0005-0000-0000-000089090000}"/>
    <cellStyle name="RTCP 3 - Formula linked to cell on same worksheet 2" xfId="1019" xr:uid="{00000000-0005-0000-0000-00008A090000}"/>
    <cellStyle name="RTCP 3 - Formula linked to cell on same worksheet 2 2" xfId="1020" xr:uid="{00000000-0005-0000-0000-00008B090000}"/>
    <cellStyle name="RTCP 3 - Formula linked to cell on same worksheet 2 3" xfId="1021" xr:uid="{00000000-0005-0000-0000-00008C090000}"/>
    <cellStyle name="RTCP 3 - Formula linked to cell on same worksheet 2 4" xfId="1022" xr:uid="{00000000-0005-0000-0000-00008D090000}"/>
    <cellStyle name="RTCP 3 - Formula linked to cell on same worksheet 2 5" xfId="1023" xr:uid="{00000000-0005-0000-0000-00008E090000}"/>
    <cellStyle name="RTCP 3 - Formula linked to cell on same worksheet 2_Kosovo" xfId="1024" xr:uid="{00000000-0005-0000-0000-00008F090000}"/>
    <cellStyle name="RTCP 3 - Formula linked to cell on same worksheet 3" xfId="1025" xr:uid="{00000000-0005-0000-0000-000090090000}"/>
    <cellStyle name="RTCP 3 - Formula linked to cell on same worksheet 3 2" xfId="1026" xr:uid="{00000000-0005-0000-0000-000091090000}"/>
    <cellStyle name="RTCP 3 - Formula linked to cell on same worksheet_Kosovo" xfId="1027" xr:uid="{00000000-0005-0000-0000-000092090000}"/>
    <cellStyle name="RTCP 4 - NPV Calculation" xfId="1028" xr:uid="{00000000-0005-0000-0000-000093090000}"/>
    <cellStyle name="Rubrique" xfId="1029" xr:uid="{00000000-0005-0000-0000-000094090000}"/>
    <cellStyle name="Russian Normal" xfId="1030" xr:uid="{00000000-0005-0000-0000-000095090000}"/>
    <cellStyle name="SAPBEXaggData" xfId="1031" xr:uid="{00000000-0005-0000-0000-000096090000}"/>
    <cellStyle name="SAPBEXaggDataEmph" xfId="1032" xr:uid="{00000000-0005-0000-0000-000097090000}"/>
    <cellStyle name="SAPBEXaggItem" xfId="1033" xr:uid="{00000000-0005-0000-0000-000098090000}"/>
    <cellStyle name="SAPBEXaggItemX" xfId="1034" xr:uid="{00000000-0005-0000-0000-000099090000}"/>
    <cellStyle name="SAPBEXaggItemX 2" xfId="1609" xr:uid="{00000000-0005-0000-0000-00009A090000}"/>
    <cellStyle name="SAPBEXaggItemX 2 2" xfId="2079" xr:uid="{00000000-0005-0000-0000-00009B090000}"/>
    <cellStyle name="SAPBEXaggItemX 2 2 2" xfId="2729" xr:uid="{00000000-0005-0000-0000-00009C090000}"/>
    <cellStyle name="SAPBEXaggItemX 2 3" xfId="2378" xr:uid="{00000000-0005-0000-0000-00009D090000}"/>
    <cellStyle name="SAPBEXaggItemX 3" xfId="1823" xr:uid="{00000000-0005-0000-0000-00009E090000}"/>
    <cellStyle name="SAPBEXaggItemX 3 2" xfId="2241" xr:uid="{00000000-0005-0000-0000-00009F090000}"/>
    <cellStyle name="SAPBEXaggItemX 4" xfId="2681" xr:uid="{00000000-0005-0000-0000-0000A0090000}"/>
    <cellStyle name="SAPBEXchaText" xfId="1035" xr:uid="{00000000-0005-0000-0000-0000A1090000}"/>
    <cellStyle name="SAPBEXexcBad" xfId="1036" xr:uid="{00000000-0005-0000-0000-0000A2090000}"/>
    <cellStyle name="SAPBEXexcBad7" xfId="1037" xr:uid="{00000000-0005-0000-0000-0000A3090000}"/>
    <cellStyle name="SAPBEXexcBad7 2" xfId="1610" xr:uid="{00000000-0005-0000-0000-0000A4090000}"/>
    <cellStyle name="SAPBEXexcBad7 2 2" xfId="2080" xr:uid="{00000000-0005-0000-0000-0000A5090000}"/>
    <cellStyle name="SAPBEXexcBad7 2 2 2" xfId="2730" xr:uid="{00000000-0005-0000-0000-0000A6090000}"/>
    <cellStyle name="SAPBEXexcBad7 2 3" xfId="2627" xr:uid="{00000000-0005-0000-0000-0000A7090000}"/>
    <cellStyle name="SAPBEXexcBad7 3" xfId="1824" xr:uid="{00000000-0005-0000-0000-0000A8090000}"/>
    <cellStyle name="SAPBEXexcBad7 3 2" xfId="2390" xr:uid="{00000000-0005-0000-0000-0000A9090000}"/>
    <cellStyle name="SAPBEXexcBad7 4" xfId="2372" xr:uid="{00000000-0005-0000-0000-0000AA090000}"/>
    <cellStyle name="SAPBEXexcBad8" xfId="1038" xr:uid="{00000000-0005-0000-0000-0000AB090000}"/>
    <cellStyle name="SAPBEXexcBad8 2" xfId="1611" xr:uid="{00000000-0005-0000-0000-0000AC090000}"/>
    <cellStyle name="SAPBEXexcBad8 2 2" xfId="2081" xr:uid="{00000000-0005-0000-0000-0000AD090000}"/>
    <cellStyle name="SAPBEXexcBad8 2 2 2" xfId="2731" xr:uid="{00000000-0005-0000-0000-0000AE090000}"/>
    <cellStyle name="SAPBEXexcBad8 2 3" xfId="2187" xr:uid="{00000000-0005-0000-0000-0000AF090000}"/>
    <cellStyle name="SAPBEXexcBad8 3" xfId="1825" xr:uid="{00000000-0005-0000-0000-0000B0090000}"/>
    <cellStyle name="SAPBEXexcBad8 3 2" xfId="2591" xr:uid="{00000000-0005-0000-0000-0000B1090000}"/>
    <cellStyle name="SAPBEXexcBad8 4" xfId="1268" xr:uid="{00000000-0005-0000-0000-0000B2090000}"/>
    <cellStyle name="SAPBEXexcBad9" xfId="1039" xr:uid="{00000000-0005-0000-0000-0000B3090000}"/>
    <cellStyle name="SAPBEXexcBad9 2" xfId="1612" xr:uid="{00000000-0005-0000-0000-0000B4090000}"/>
    <cellStyle name="SAPBEXexcBad9 2 2" xfId="2082" xr:uid="{00000000-0005-0000-0000-0000B5090000}"/>
    <cellStyle name="SAPBEXexcBad9 2 2 2" xfId="2732" xr:uid="{00000000-0005-0000-0000-0000B6090000}"/>
    <cellStyle name="SAPBEXexcBad9 2 3" xfId="2194" xr:uid="{00000000-0005-0000-0000-0000B7090000}"/>
    <cellStyle name="SAPBEXexcBad9 3" xfId="1826" xr:uid="{00000000-0005-0000-0000-0000B8090000}"/>
    <cellStyle name="SAPBEXexcBad9 3 2" xfId="2365" xr:uid="{00000000-0005-0000-0000-0000B9090000}"/>
    <cellStyle name="SAPBEXexcBad9 4" xfId="2373" xr:uid="{00000000-0005-0000-0000-0000BA090000}"/>
    <cellStyle name="SAPBEXexcCritical" xfId="1040" xr:uid="{00000000-0005-0000-0000-0000BB090000}"/>
    <cellStyle name="SAPBEXexcCritical4" xfId="1041" xr:uid="{00000000-0005-0000-0000-0000BC090000}"/>
    <cellStyle name="SAPBEXexcCritical4 2" xfId="1613" xr:uid="{00000000-0005-0000-0000-0000BD090000}"/>
    <cellStyle name="SAPBEXexcCritical4 2 2" xfId="2083" xr:uid="{00000000-0005-0000-0000-0000BE090000}"/>
    <cellStyle name="SAPBEXexcCritical4 2 2 2" xfId="2733" xr:uid="{00000000-0005-0000-0000-0000BF090000}"/>
    <cellStyle name="SAPBEXexcCritical4 2 3" xfId="2195" xr:uid="{00000000-0005-0000-0000-0000C0090000}"/>
    <cellStyle name="SAPBEXexcCritical4 3" xfId="1827" xr:uid="{00000000-0005-0000-0000-0000C1090000}"/>
    <cellStyle name="SAPBEXexcCritical4 3 2" xfId="2242" xr:uid="{00000000-0005-0000-0000-0000C2090000}"/>
    <cellStyle name="SAPBEXexcCritical4 4" xfId="1666" xr:uid="{00000000-0005-0000-0000-0000C3090000}"/>
    <cellStyle name="SAPBEXexcCritical5" xfId="1042" xr:uid="{00000000-0005-0000-0000-0000C4090000}"/>
    <cellStyle name="SAPBEXexcCritical5 2" xfId="1614" xr:uid="{00000000-0005-0000-0000-0000C5090000}"/>
    <cellStyle name="SAPBEXexcCritical5 2 2" xfId="2084" xr:uid="{00000000-0005-0000-0000-0000C6090000}"/>
    <cellStyle name="SAPBEXexcCritical5 2 2 2" xfId="2734" xr:uid="{00000000-0005-0000-0000-0000C7090000}"/>
    <cellStyle name="SAPBEXexcCritical5 2 3" xfId="2196" xr:uid="{00000000-0005-0000-0000-0000C8090000}"/>
    <cellStyle name="SAPBEXexcCritical5 3" xfId="1828" xr:uid="{00000000-0005-0000-0000-0000C9090000}"/>
    <cellStyle name="SAPBEXexcCritical5 3 2" xfId="2172" xr:uid="{00000000-0005-0000-0000-0000CA090000}"/>
    <cellStyle name="SAPBEXexcCritical5 4" xfId="1396" xr:uid="{00000000-0005-0000-0000-0000CB090000}"/>
    <cellStyle name="SAPBEXexcCritical6" xfId="1043" xr:uid="{00000000-0005-0000-0000-0000CC090000}"/>
    <cellStyle name="SAPBEXexcCritical6 2" xfId="1615" xr:uid="{00000000-0005-0000-0000-0000CD090000}"/>
    <cellStyle name="SAPBEXexcCritical6 2 2" xfId="2085" xr:uid="{00000000-0005-0000-0000-0000CE090000}"/>
    <cellStyle name="SAPBEXexcCritical6 2 2 2" xfId="2735" xr:uid="{00000000-0005-0000-0000-0000CF090000}"/>
    <cellStyle name="SAPBEXexcCritical6 2 3" xfId="1662" xr:uid="{00000000-0005-0000-0000-0000D0090000}"/>
    <cellStyle name="SAPBEXexcCritical6 3" xfId="1829" xr:uid="{00000000-0005-0000-0000-0000D1090000}"/>
    <cellStyle name="SAPBEXexcCritical6 3 2" xfId="2590" xr:uid="{00000000-0005-0000-0000-0000D2090000}"/>
    <cellStyle name="SAPBEXexcCritical6 4" xfId="2422" xr:uid="{00000000-0005-0000-0000-0000D3090000}"/>
    <cellStyle name="SAPBEXexcGood" xfId="1044" xr:uid="{00000000-0005-0000-0000-0000D4090000}"/>
    <cellStyle name="SAPBEXexcGood1" xfId="1045" xr:uid="{00000000-0005-0000-0000-0000D5090000}"/>
    <cellStyle name="SAPBEXexcGood1 2" xfId="1616" xr:uid="{00000000-0005-0000-0000-0000D6090000}"/>
    <cellStyle name="SAPBEXexcGood1 2 2" xfId="2086" xr:uid="{00000000-0005-0000-0000-0000D7090000}"/>
    <cellStyle name="SAPBEXexcGood1 2 2 2" xfId="2736" xr:uid="{00000000-0005-0000-0000-0000D8090000}"/>
    <cellStyle name="SAPBEXexcGood1 2 3" xfId="2621" xr:uid="{00000000-0005-0000-0000-0000D9090000}"/>
    <cellStyle name="SAPBEXexcGood1 3" xfId="1830" xr:uid="{00000000-0005-0000-0000-0000DA090000}"/>
    <cellStyle name="SAPBEXexcGood1 3 2" xfId="2174" xr:uid="{00000000-0005-0000-0000-0000DB090000}"/>
    <cellStyle name="SAPBEXexcGood1 4" xfId="1850" xr:uid="{00000000-0005-0000-0000-0000DC090000}"/>
    <cellStyle name="SAPBEXexcGood2" xfId="1046" xr:uid="{00000000-0005-0000-0000-0000DD090000}"/>
    <cellStyle name="SAPBEXexcGood2 2" xfId="1617" xr:uid="{00000000-0005-0000-0000-0000DE090000}"/>
    <cellStyle name="SAPBEXexcGood2 2 2" xfId="2087" xr:uid="{00000000-0005-0000-0000-0000DF090000}"/>
    <cellStyle name="SAPBEXexcGood2 2 2 2" xfId="2737" xr:uid="{00000000-0005-0000-0000-0000E0090000}"/>
    <cellStyle name="SAPBEXexcGood2 2 3" xfId="2122" xr:uid="{00000000-0005-0000-0000-0000E1090000}"/>
    <cellStyle name="SAPBEXexcGood2 3" xfId="1831" xr:uid="{00000000-0005-0000-0000-0000E2090000}"/>
    <cellStyle name="SAPBEXexcGood2 3 2" xfId="2466" xr:uid="{00000000-0005-0000-0000-0000E3090000}"/>
    <cellStyle name="SAPBEXexcGood2 4" xfId="2463" xr:uid="{00000000-0005-0000-0000-0000E4090000}"/>
    <cellStyle name="SAPBEXexcGood3" xfId="1047" xr:uid="{00000000-0005-0000-0000-0000E5090000}"/>
    <cellStyle name="SAPBEXexcGood3 2" xfId="1618" xr:uid="{00000000-0005-0000-0000-0000E6090000}"/>
    <cellStyle name="SAPBEXexcGood3 2 2" xfId="2088" xr:uid="{00000000-0005-0000-0000-0000E7090000}"/>
    <cellStyle name="SAPBEXexcGood3 2 2 2" xfId="2738" xr:uid="{00000000-0005-0000-0000-0000E8090000}"/>
    <cellStyle name="SAPBEXexcGood3 2 3" xfId="2426" xr:uid="{00000000-0005-0000-0000-0000E9090000}"/>
    <cellStyle name="SAPBEXexcGood3 3" xfId="1832" xr:uid="{00000000-0005-0000-0000-0000EA090000}"/>
    <cellStyle name="SAPBEXexcGood3 3 2" xfId="2243" xr:uid="{00000000-0005-0000-0000-0000EB090000}"/>
    <cellStyle name="SAPBEXexcGood3 4" xfId="2462" xr:uid="{00000000-0005-0000-0000-0000EC090000}"/>
    <cellStyle name="SAPBEXexcVeryBad" xfId="1048" xr:uid="{00000000-0005-0000-0000-0000ED090000}"/>
    <cellStyle name="SAPBEXfilterDrill" xfId="1049" xr:uid="{00000000-0005-0000-0000-0000EE090000}"/>
    <cellStyle name="SAPBEXfilterItem" xfId="1050" xr:uid="{00000000-0005-0000-0000-0000EF090000}"/>
    <cellStyle name="SAPBEXfilterText" xfId="1051" xr:uid="{00000000-0005-0000-0000-0000F0090000}"/>
    <cellStyle name="SAPBEXformats" xfId="1052" xr:uid="{00000000-0005-0000-0000-0000F1090000}"/>
    <cellStyle name="SAPBEXheaderData" xfId="1053" xr:uid="{00000000-0005-0000-0000-0000F2090000}"/>
    <cellStyle name="SAPBEXheaderItem" xfId="1054" xr:uid="{00000000-0005-0000-0000-0000F3090000}"/>
    <cellStyle name="SAPBEXheaderText" xfId="1055" xr:uid="{00000000-0005-0000-0000-0000F4090000}"/>
    <cellStyle name="SAPBEXHLevel0" xfId="1056" xr:uid="{00000000-0005-0000-0000-0000F5090000}"/>
    <cellStyle name="SAPBEXHLevel0 2" xfId="1619" xr:uid="{00000000-0005-0000-0000-0000F6090000}"/>
    <cellStyle name="SAPBEXHLevel0 2 2" xfId="2089" xr:uid="{00000000-0005-0000-0000-0000F7090000}"/>
    <cellStyle name="SAPBEXHLevel0 2 2 2" xfId="2739" xr:uid="{00000000-0005-0000-0000-0000F8090000}"/>
    <cellStyle name="SAPBEXHLevel0 2 3" xfId="2625" xr:uid="{00000000-0005-0000-0000-0000F9090000}"/>
    <cellStyle name="SAPBEXHLevel0 3" xfId="1833" xr:uid="{00000000-0005-0000-0000-0000FA090000}"/>
    <cellStyle name="SAPBEXHLevel0 3 2" xfId="2467" xr:uid="{00000000-0005-0000-0000-0000FB090000}"/>
    <cellStyle name="SAPBEXHLevel0 4" xfId="2680" xr:uid="{00000000-0005-0000-0000-0000FC090000}"/>
    <cellStyle name="SAPBEXHLevel0X" xfId="1057" xr:uid="{00000000-0005-0000-0000-0000FD090000}"/>
    <cellStyle name="SAPBEXHLevel0X 2" xfId="1620" xr:uid="{00000000-0005-0000-0000-0000FE090000}"/>
    <cellStyle name="SAPBEXHLevel0X 2 2" xfId="2090" xr:uid="{00000000-0005-0000-0000-0000FF090000}"/>
    <cellStyle name="SAPBEXHLevel0X 2 2 2" xfId="2740" xr:uid="{00000000-0005-0000-0000-0000000A0000}"/>
    <cellStyle name="SAPBEXHLevel0X 2 3" xfId="1389" xr:uid="{00000000-0005-0000-0000-0000010A0000}"/>
    <cellStyle name="SAPBEXHLevel0X 3" xfId="1834" xr:uid="{00000000-0005-0000-0000-0000020A0000}"/>
    <cellStyle name="SAPBEXHLevel0X 3 2" xfId="2244" xr:uid="{00000000-0005-0000-0000-0000030A0000}"/>
    <cellStyle name="SAPBEXHLevel0X 4" xfId="1199" xr:uid="{00000000-0005-0000-0000-0000040A0000}"/>
    <cellStyle name="SAPBEXHLevel1" xfId="1058" xr:uid="{00000000-0005-0000-0000-0000050A0000}"/>
    <cellStyle name="SAPBEXHLevel1 2" xfId="1621" xr:uid="{00000000-0005-0000-0000-0000060A0000}"/>
    <cellStyle name="SAPBEXHLevel1 2 2" xfId="2091" xr:uid="{00000000-0005-0000-0000-0000070A0000}"/>
    <cellStyle name="SAPBEXHLevel1 2 2 2" xfId="2741" xr:uid="{00000000-0005-0000-0000-0000080A0000}"/>
    <cellStyle name="SAPBEXHLevel1 2 3" xfId="2197" xr:uid="{00000000-0005-0000-0000-0000090A0000}"/>
    <cellStyle name="SAPBEXHLevel1 3" xfId="1835" xr:uid="{00000000-0005-0000-0000-00000A0A0000}"/>
    <cellStyle name="SAPBEXHLevel1 3 2" xfId="2468" xr:uid="{00000000-0005-0000-0000-00000B0A0000}"/>
    <cellStyle name="SAPBEXHLevel1 4" xfId="2176" xr:uid="{00000000-0005-0000-0000-00000C0A0000}"/>
    <cellStyle name="SAPBEXHLevel1X" xfId="1059" xr:uid="{00000000-0005-0000-0000-00000D0A0000}"/>
    <cellStyle name="SAPBEXHLevel1X 2" xfId="1622" xr:uid="{00000000-0005-0000-0000-00000E0A0000}"/>
    <cellStyle name="SAPBEXHLevel1X 2 2" xfId="2092" xr:uid="{00000000-0005-0000-0000-00000F0A0000}"/>
    <cellStyle name="SAPBEXHLevel1X 2 2 2" xfId="2742" xr:uid="{00000000-0005-0000-0000-0000100A0000}"/>
    <cellStyle name="SAPBEXHLevel1X 2 3" xfId="2379" xr:uid="{00000000-0005-0000-0000-0000110A0000}"/>
    <cellStyle name="SAPBEXHLevel1X 3" xfId="1836" xr:uid="{00000000-0005-0000-0000-0000120A0000}"/>
    <cellStyle name="SAPBEXHLevel1X 3 2" xfId="2245" xr:uid="{00000000-0005-0000-0000-0000130A0000}"/>
    <cellStyle name="SAPBEXHLevel1X 4" xfId="2118" xr:uid="{00000000-0005-0000-0000-0000140A0000}"/>
    <cellStyle name="SAPBEXHLevel2" xfId="1060" xr:uid="{00000000-0005-0000-0000-0000150A0000}"/>
    <cellStyle name="SAPBEXHLevel2 2" xfId="1623" xr:uid="{00000000-0005-0000-0000-0000160A0000}"/>
    <cellStyle name="SAPBEXHLevel2 2 2" xfId="2093" xr:uid="{00000000-0005-0000-0000-0000170A0000}"/>
    <cellStyle name="SAPBEXHLevel2 2 2 2" xfId="2743" xr:uid="{00000000-0005-0000-0000-0000180A0000}"/>
    <cellStyle name="SAPBEXHLevel2 2 3" xfId="2624" xr:uid="{00000000-0005-0000-0000-0000190A0000}"/>
    <cellStyle name="SAPBEXHLevel2 3" xfId="1837" xr:uid="{00000000-0005-0000-0000-00001A0A0000}"/>
    <cellStyle name="SAPBEXHLevel2 3 2" xfId="2246" xr:uid="{00000000-0005-0000-0000-00001B0A0000}"/>
    <cellStyle name="SAPBEXHLevel2 4" xfId="1847" xr:uid="{00000000-0005-0000-0000-00001C0A0000}"/>
    <cellStyle name="SAPBEXHLevel2X" xfId="1061" xr:uid="{00000000-0005-0000-0000-00001D0A0000}"/>
    <cellStyle name="SAPBEXHLevel2X 2" xfId="1624" xr:uid="{00000000-0005-0000-0000-00001E0A0000}"/>
    <cellStyle name="SAPBEXHLevel2X 2 2" xfId="2094" xr:uid="{00000000-0005-0000-0000-00001F0A0000}"/>
    <cellStyle name="SAPBEXHLevel2X 2 2 2" xfId="2744" xr:uid="{00000000-0005-0000-0000-0000200A0000}"/>
    <cellStyle name="SAPBEXHLevel2X 2 3" xfId="2411" xr:uid="{00000000-0005-0000-0000-0000210A0000}"/>
    <cellStyle name="SAPBEXHLevel2X 3" xfId="1838" xr:uid="{00000000-0005-0000-0000-0000220A0000}"/>
    <cellStyle name="SAPBEXHLevel2X 3 2" xfId="2469" xr:uid="{00000000-0005-0000-0000-0000230A0000}"/>
    <cellStyle name="SAPBEXHLevel2X 4" xfId="2127" xr:uid="{00000000-0005-0000-0000-0000240A0000}"/>
    <cellStyle name="SAPBEXHLevel3" xfId="1062" xr:uid="{00000000-0005-0000-0000-0000250A0000}"/>
    <cellStyle name="SAPBEXHLevel3 2" xfId="1625" xr:uid="{00000000-0005-0000-0000-0000260A0000}"/>
    <cellStyle name="SAPBEXHLevel3 2 2" xfId="2095" xr:uid="{00000000-0005-0000-0000-0000270A0000}"/>
    <cellStyle name="SAPBEXHLevel3 2 2 2" xfId="2745" xr:uid="{00000000-0005-0000-0000-0000280A0000}"/>
    <cellStyle name="SAPBEXHLevel3 2 3" xfId="2198" xr:uid="{00000000-0005-0000-0000-0000290A0000}"/>
    <cellStyle name="SAPBEXHLevel3 3" xfId="1839" xr:uid="{00000000-0005-0000-0000-00002A0A0000}"/>
    <cellStyle name="SAPBEXHLevel3 3 2" xfId="2247" xr:uid="{00000000-0005-0000-0000-00002B0A0000}"/>
    <cellStyle name="SAPBEXHLevel3 4" xfId="2464" xr:uid="{00000000-0005-0000-0000-00002C0A0000}"/>
    <cellStyle name="SAPBEXHLevel3X" xfId="1063" xr:uid="{00000000-0005-0000-0000-00002D0A0000}"/>
    <cellStyle name="SAPBEXHLevel3X 2" xfId="1626" xr:uid="{00000000-0005-0000-0000-00002E0A0000}"/>
    <cellStyle name="SAPBEXHLevel3X 2 2" xfId="2096" xr:uid="{00000000-0005-0000-0000-00002F0A0000}"/>
    <cellStyle name="SAPBEXHLevel3X 2 2 2" xfId="2746" xr:uid="{00000000-0005-0000-0000-0000300A0000}"/>
    <cellStyle name="SAPBEXHLevel3X 2 3" xfId="1352" xr:uid="{00000000-0005-0000-0000-0000310A0000}"/>
    <cellStyle name="SAPBEXHLevel3X 3" xfId="1840" xr:uid="{00000000-0005-0000-0000-0000320A0000}"/>
    <cellStyle name="SAPBEXHLevel3X 3 2" xfId="2470" xr:uid="{00000000-0005-0000-0000-0000330A0000}"/>
    <cellStyle name="SAPBEXHLevel3X 4" xfId="2421" xr:uid="{00000000-0005-0000-0000-0000340A0000}"/>
    <cellStyle name="SAPBEXinputData" xfId="1064" xr:uid="{00000000-0005-0000-0000-0000350A0000}"/>
    <cellStyle name="SAPBEXresData" xfId="1065" xr:uid="{00000000-0005-0000-0000-0000360A0000}"/>
    <cellStyle name="SAPBEXresDataEmph" xfId="1066" xr:uid="{00000000-0005-0000-0000-0000370A0000}"/>
    <cellStyle name="SAPBEXresItem" xfId="1067" xr:uid="{00000000-0005-0000-0000-0000380A0000}"/>
    <cellStyle name="SAPBEXresItemX" xfId="1068" xr:uid="{00000000-0005-0000-0000-0000390A0000}"/>
    <cellStyle name="SAPBEXresItemX 2" xfId="1627" xr:uid="{00000000-0005-0000-0000-00003A0A0000}"/>
    <cellStyle name="SAPBEXresItemX 2 2" xfId="2097" xr:uid="{00000000-0005-0000-0000-00003B0A0000}"/>
    <cellStyle name="SAPBEXresItemX 2 2 2" xfId="2747" xr:uid="{00000000-0005-0000-0000-00003C0A0000}"/>
    <cellStyle name="SAPBEXresItemX 2 3" xfId="2623" xr:uid="{00000000-0005-0000-0000-00003D0A0000}"/>
    <cellStyle name="SAPBEXresItemX 3" xfId="1841" xr:uid="{00000000-0005-0000-0000-00003E0A0000}"/>
    <cellStyle name="SAPBEXresItemX 3 2" xfId="2248" xr:uid="{00000000-0005-0000-0000-00003F0A0000}"/>
    <cellStyle name="SAPBEXresItemX 4" xfId="2374" xr:uid="{00000000-0005-0000-0000-0000400A0000}"/>
    <cellStyle name="SAPBEXstdData" xfId="1069" xr:uid="{00000000-0005-0000-0000-0000410A0000}"/>
    <cellStyle name="SAPBEXstdDataEmph" xfId="1070" xr:uid="{00000000-0005-0000-0000-0000420A0000}"/>
    <cellStyle name="SAPBEXstdItem" xfId="1071" xr:uid="{00000000-0005-0000-0000-0000430A0000}"/>
    <cellStyle name="SAPBEXstdItemX" xfId="1072" xr:uid="{00000000-0005-0000-0000-0000440A0000}"/>
    <cellStyle name="SAPBEXstdItemX 2" xfId="1628" xr:uid="{00000000-0005-0000-0000-0000450A0000}"/>
    <cellStyle name="SAPBEXstdItemX 2 2" xfId="2098" xr:uid="{00000000-0005-0000-0000-0000460A0000}"/>
    <cellStyle name="SAPBEXstdItemX 2 2 2" xfId="2748" xr:uid="{00000000-0005-0000-0000-0000470A0000}"/>
    <cellStyle name="SAPBEXstdItemX 2 3" xfId="2138" xr:uid="{00000000-0005-0000-0000-0000480A0000}"/>
    <cellStyle name="SAPBEXstdItemX 3" xfId="1842" xr:uid="{00000000-0005-0000-0000-0000490A0000}"/>
    <cellStyle name="SAPBEXstdItemX 3 2" xfId="2579" xr:uid="{00000000-0005-0000-0000-00004A0A0000}"/>
    <cellStyle name="SAPBEXstdItemX 4" xfId="1391" xr:uid="{00000000-0005-0000-0000-00004B0A0000}"/>
    <cellStyle name="SAPBEXsubData" xfId="1073" xr:uid="{00000000-0005-0000-0000-00004C0A0000}"/>
    <cellStyle name="SAPBEXsubDataEmph" xfId="1074" xr:uid="{00000000-0005-0000-0000-00004D0A0000}"/>
    <cellStyle name="SAPBEXsubItem" xfId="1075" xr:uid="{00000000-0005-0000-0000-00004E0A0000}"/>
    <cellStyle name="SAPBEXtitle" xfId="1076" xr:uid="{00000000-0005-0000-0000-00004F0A0000}"/>
    <cellStyle name="SAPBEXundefined" xfId="1077" xr:uid="{00000000-0005-0000-0000-0000500A0000}"/>
    <cellStyle name="Schlecht" xfId="1078" xr:uid="{00000000-0005-0000-0000-0000510A0000}"/>
    <cellStyle name="Sep. milhar [2]" xfId="1079" xr:uid="{00000000-0005-0000-0000-0000520A0000}"/>
    <cellStyle name="Separador de m" xfId="1080" xr:uid="{00000000-0005-0000-0000-0000530A0000}"/>
    <cellStyle name="Separador de milhares [0]_A" xfId="1081" xr:uid="{00000000-0005-0000-0000-0000540A0000}"/>
    <cellStyle name="Separador de milhares_A" xfId="1082" xr:uid="{00000000-0005-0000-0000-0000550A0000}"/>
    <cellStyle name="Shade" xfId="1083" xr:uid="{00000000-0005-0000-0000-0000560A0000}"/>
    <cellStyle name="Shaded" xfId="1084" xr:uid="{00000000-0005-0000-0000-0000570A0000}"/>
    <cellStyle name="Sheet Link" xfId="1085" xr:uid="{00000000-0005-0000-0000-0000580A0000}"/>
    <cellStyle name="Sheet Title" xfId="1086" xr:uid="{00000000-0005-0000-0000-0000590A0000}"/>
    <cellStyle name="Source Hed" xfId="1087" xr:uid="{00000000-0005-0000-0000-00005A0A0000}"/>
    <cellStyle name="Source Letter" xfId="1088" xr:uid="{00000000-0005-0000-0000-00005B0A0000}"/>
    <cellStyle name="Source Superscript" xfId="1089" xr:uid="{00000000-0005-0000-0000-00005C0A0000}"/>
    <cellStyle name="Source Text" xfId="1090" xr:uid="{00000000-0005-0000-0000-00005D0A0000}"/>
    <cellStyle name="Sous-rubrique" xfId="1091" xr:uid="{00000000-0005-0000-0000-00005E0A0000}"/>
    <cellStyle name="Standard_0 - Inhalt, Erläuterungen, Einheiten" xfId="1092" xr:uid="{00000000-0005-0000-0000-00005F0A0000}"/>
    <cellStyle name="State" xfId="1093" xr:uid="{00000000-0005-0000-0000-0000600A0000}"/>
    <cellStyle name="Style 1" xfId="1094" xr:uid="{00000000-0005-0000-0000-0000610A0000}"/>
    <cellStyle name="Style 21" xfId="1095" xr:uid="{00000000-0005-0000-0000-0000620A0000}"/>
    <cellStyle name="Style 22" xfId="1096" xr:uid="{00000000-0005-0000-0000-0000630A0000}"/>
    <cellStyle name="Style 23" xfId="1097" xr:uid="{00000000-0005-0000-0000-0000640A0000}"/>
    <cellStyle name="Style 24" xfId="1098" xr:uid="{00000000-0005-0000-0000-0000650A0000}"/>
    <cellStyle name="Style 25" xfId="1099" xr:uid="{00000000-0005-0000-0000-0000660A0000}"/>
    <cellStyle name="Style 26" xfId="1100" xr:uid="{00000000-0005-0000-0000-0000670A0000}"/>
    <cellStyle name="Style 35" xfId="1101" xr:uid="{00000000-0005-0000-0000-0000680A0000}"/>
    <cellStyle name="SubHead1" xfId="1102" xr:uid="{00000000-0005-0000-0000-0000690A0000}"/>
    <cellStyle name="SubHead2" xfId="1103" xr:uid="{00000000-0005-0000-0000-00006A0A0000}"/>
    <cellStyle name="SubHead2 2" xfId="1104" xr:uid="{00000000-0005-0000-0000-00006B0A0000}"/>
    <cellStyle name="SubHead2 3" xfId="1105" xr:uid="{00000000-0005-0000-0000-00006C0A0000}"/>
    <cellStyle name="SubHeading" xfId="1106" xr:uid="{00000000-0005-0000-0000-00006D0A0000}"/>
    <cellStyle name="Superscript" xfId="1107" xr:uid="{00000000-0005-0000-0000-00006E0A0000}"/>
    <cellStyle name="Superscript- regular" xfId="1108" xr:uid="{00000000-0005-0000-0000-00006F0A0000}"/>
    <cellStyle name="Table Data" xfId="1109" xr:uid="{00000000-0005-0000-0000-0000700A0000}"/>
    <cellStyle name="Table Head Aligned" xfId="1110" xr:uid="{00000000-0005-0000-0000-0000710A0000}"/>
    <cellStyle name="Table Head Top" xfId="1111" xr:uid="{00000000-0005-0000-0000-0000720A0000}"/>
    <cellStyle name="Table Hed Side" xfId="1112" xr:uid="{00000000-0005-0000-0000-0000730A0000}"/>
    <cellStyle name="Table Hed Side 2" xfId="1113" xr:uid="{00000000-0005-0000-0000-0000740A0000}"/>
    <cellStyle name="Table Title" xfId="1114" xr:uid="{00000000-0005-0000-0000-0000750A0000}"/>
    <cellStyle name="Table Units" xfId="1115" xr:uid="{00000000-0005-0000-0000-0000760A0000}"/>
    <cellStyle name="Text" xfId="1116" xr:uid="{00000000-0005-0000-0000-0000770A0000}"/>
    <cellStyle name="Title Text" xfId="1117" xr:uid="{00000000-0005-0000-0000-0000780A0000}"/>
    <cellStyle name="Title Text 1" xfId="1118" xr:uid="{00000000-0005-0000-0000-0000790A0000}"/>
    <cellStyle name="Title Text 2" xfId="1119" xr:uid="{00000000-0005-0000-0000-00007A0A0000}"/>
    <cellStyle name="Title-1" xfId="1120" xr:uid="{00000000-0005-0000-0000-00007B0A0000}"/>
    <cellStyle name="Title-2" xfId="1121" xr:uid="{00000000-0005-0000-0000-00007C0A0000}"/>
    <cellStyle name="Title-3" xfId="1122" xr:uid="{00000000-0005-0000-0000-00007D0A0000}"/>
    <cellStyle name="Titre" xfId="1123" xr:uid="{00000000-0005-0000-0000-00007E0A0000}"/>
    <cellStyle name="Titulo1" xfId="1124" xr:uid="{00000000-0005-0000-0000-00007F0A0000}"/>
    <cellStyle name="Titulo2" xfId="1125" xr:uid="{00000000-0005-0000-0000-0000800A0000}"/>
    <cellStyle name="TopGrey" xfId="1126" xr:uid="{00000000-0005-0000-0000-0000810A0000}"/>
    <cellStyle name="Total 2" xfId="1127" xr:uid="{00000000-0005-0000-0000-0000820A0000}"/>
    <cellStyle name="Überschrift" xfId="1128" xr:uid="{00000000-0005-0000-0000-0000830A0000}"/>
    <cellStyle name="Überschrift 1" xfId="1129" xr:uid="{00000000-0005-0000-0000-0000840A0000}"/>
    <cellStyle name="Überschrift 2" xfId="1130" xr:uid="{00000000-0005-0000-0000-0000850A0000}"/>
    <cellStyle name="Überschrift 3" xfId="1131" xr:uid="{00000000-0005-0000-0000-0000860A0000}"/>
    <cellStyle name="Überschrift 3 2" xfId="1132" xr:uid="{00000000-0005-0000-0000-0000870A0000}"/>
    <cellStyle name="Überschrift 4" xfId="1133" xr:uid="{00000000-0005-0000-0000-0000880A0000}"/>
    <cellStyle name="User_Defined_A" xfId="1134" xr:uid="{00000000-0005-0000-0000-0000890A0000}"/>
    <cellStyle name="V¡rgula" xfId="1135" xr:uid="{00000000-0005-0000-0000-00008A0A0000}"/>
    <cellStyle name="V¡rgula0" xfId="1136" xr:uid="{00000000-0005-0000-0000-00008B0A0000}"/>
    <cellStyle name="vaca" xfId="1137" xr:uid="{00000000-0005-0000-0000-00008C0A0000}"/>
    <cellStyle name="Verknüpfte Zelle" xfId="1138" xr:uid="{00000000-0005-0000-0000-00008D0A0000}"/>
    <cellStyle name="Vírgula" xfId="1139" xr:uid="{00000000-0005-0000-0000-00008E0A0000}"/>
    <cellStyle name="Währung [0]_Imp02" xfId="1140" xr:uid="{00000000-0005-0000-0000-00008F0A0000}"/>
    <cellStyle name="Währung_Imp02" xfId="1141" xr:uid="{00000000-0005-0000-0000-0000900A0000}"/>
    <cellStyle name="Warnender Text" xfId="1142" xr:uid="{00000000-0005-0000-0000-0000910A0000}"/>
    <cellStyle name="Warning Text 2" xfId="1143" xr:uid="{00000000-0005-0000-0000-0000920A0000}"/>
    <cellStyle name="WebAnchor1" xfId="1144" xr:uid="{00000000-0005-0000-0000-0000930A0000}"/>
    <cellStyle name="WebAnchor2" xfId="1145" xr:uid="{00000000-0005-0000-0000-0000940A0000}"/>
    <cellStyle name="WebAnchor3" xfId="1146" xr:uid="{00000000-0005-0000-0000-0000950A0000}"/>
    <cellStyle name="WebAnchor4" xfId="1147" xr:uid="{00000000-0005-0000-0000-0000960A0000}"/>
    <cellStyle name="WebAnchor5" xfId="1148" xr:uid="{00000000-0005-0000-0000-0000970A0000}"/>
    <cellStyle name="WebAnchor6" xfId="1149" xr:uid="{00000000-0005-0000-0000-0000980A0000}"/>
    <cellStyle name="WebAnchor7" xfId="1150" xr:uid="{00000000-0005-0000-0000-0000990A0000}"/>
    <cellStyle name="Webexclude" xfId="1151" xr:uid="{00000000-0005-0000-0000-00009A0A0000}"/>
    <cellStyle name="WebFN" xfId="1152" xr:uid="{00000000-0005-0000-0000-00009B0A0000}"/>
    <cellStyle name="WebFN1" xfId="1153" xr:uid="{00000000-0005-0000-0000-00009C0A0000}"/>
    <cellStyle name="WebFN2" xfId="1154" xr:uid="{00000000-0005-0000-0000-00009D0A0000}"/>
    <cellStyle name="WebFN3" xfId="1155" xr:uid="{00000000-0005-0000-0000-00009E0A0000}"/>
    <cellStyle name="WebFN4" xfId="1156" xr:uid="{00000000-0005-0000-0000-00009F0A0000}"/>
    <cellStyle name="WebHR" xfId="1157" xr:uid="{00000000-0005-0000-0000-0000A00A0000}"/>
    <cellStyle name="WebIndent1" xfId="1158" xr:uid="{00000000-0005-0000-0000-0000A10A0000}"/>
    <cellStyle name="WebIndent1wFN3" xfId="1159" xr:uid="{00000000-0005-0000-0000-0000A20A0000}"/>
    <cellStyle name="WebIndent2" xfId="1160" xr:uid="{00000000-0005-0000-0000-0000A30A0000}"/>
    <cellStyle name="WebNoBR" xfId="1161" xr:uid="{00000000-0005-0000-0000-0000A40A0000}"/>
    <cellStyle name="Wrap" xfId="1162" xr:uid="{00000000-0005-0000-0000-0000A50A0000}"/>
    <cellStyle name="Wrap Bold" xfId="1163" xr:uid="{00000000-0005-0000-0000-0000A60A0000}"/>
    <cellStyle name="Wrap Bold 2" xfId="1164" xr:uid="{00000000-0005-0000-0000-0000A70A0000}"/>
    <cellStyle name="Wrap Bold 3" xfId="1165" xr:uid="{00000000-0005-0000-0000-0000A80A0000}"/>
    <cellStyle name="Wrap Title" xfId="1166" xr:uid="{00000000-0005-0000-0000-0000A90A0000}"/>
    <cellStyle name="Wrap_NTS99-~11" xfId="1167" xr:uid="{00000000-0005-0000-0000-0000AA0A0000}"/>
    <cellStyle name="Year" xfId="1168" xr:uid="{00000000-0005-0000-0000-0000AB0A0000}"/>
    <cellStyle name="Years" xfId="1169" xr:uid="{00000000-0005-0000-0000-0000AC0A0000}"/>
    <cellStyle name="Years 2" xfId="1629" xr:uid="{00000000-0005-0000-0000-0000AD0A0000}"/>
    <cellStyle name="Years 2 2" xfId="2099" xr:uid="{00000000-0005-0000-0000-0000AE0A0000}"/>
    <cellStyle name="Years 2 2 2" xfId="2749" xr:uid="{00000000-0005-0000-0000-0000AF0A0000}"/>
    <cellStyle name="Years 2 3" xfId="2199" xr:uid="{00000000-0005-0000-0000-0000B00A0000}"/>
    <cellStyle name="Years 3" xfId="1402" xr:uid="{00000000-0005-0000-0000-0000B10A0000}"/>
    <cellStyle name="Years 3 2" xfId="2147" xr:uid="{00000000-0005-0000-0000-0000B20A0000}"/>
    <cellStyle name="Years 4" xfId="1843" xr:uid="{00000000-0005-0000-0000-0000B30A0000}"/>
    <cellStyle name="Years 4 2" xfId="2583" xr:uid="{00000000-0005-0000-0000-0000B40A0000}"/>
    <cellStyle name="Years 4 3" xfId="2587" xr:uid="{00000000-0005-0000-0000-0000B50A0000}"/>
    <cellStyle name="Zelle überprüfen" xfId="1170" xr:uid="{00000000-0005-0000-0000-0000B60A0000}"/>
    <cellStyle name="Гиперссылка" xfId="1171" xr:uid="{00000000-0005-0000-0000-0000B70A0000}"/>
    <cellStyle name="ДАТА" xfId="1172" xr:uid="{00000000-0005-0000-0000-0000B80A0000}"/>
    <cellStyle name="ЗАГОЛОВОК1" xfId="1173" xr:uid="{00000000-0005-0000-0000-0000B90A0000}"/>
    <cellStyle name="ЗАГОЛОВОК2" xfId="1174" xr:uid="{00000000-0005-0000-0000-0000BA0A0000}"/>
    <cellStyle name="ИТОГОВЫЙ" xfId="1175" xr:uid="{00000000-0005-0000-0000-0000BB0A0000}"/>
    <cellStyle name="ТЕКСТ" xfId="1176" xr:uid="{00000000-0005-0000-0000-0000BC0A0000}"/>
    <cellStyle name="ФИКСИРОВАННЫЙ" xfId="1177" xr:uid="{00000000-0005-0000-0000-0000BD0A0000}"/>
    <cellStyle name="常规_0-3报价汇总表" xfId="1178" xr:uid="{00000000-0005-0000-0000-0000BE0A0000}"/>
  </cellStyles>
  <dxfs count="19">
    <dxf>
      <fill>
        <patternFill>
          <bgColor rgb="FFFF0000"/>
        </patternFill>
      </fill>
    </dxf>
    <dxf>
      <fill>
        <patternFill>
          <bgColor rgb="FFFF0000"/>
        </patternFill>
      </fill>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b/>
        <i val="0"/>
        <color theme="0"/>
      </font>
      <fill>
        <patternFill>
          <bgColor rgb="FFFF0000"/>
        </patternFill>
      </fill>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ill>
        <patternFill>
          <bgColor rgb="FFFF0000"/>
        </patternFill>
      </fill>
    </dxf>
    <dxf>
      <fill>
        <patternFill>
          <bgColor rgb="FF92D050"/>
        </patternFill>
      </fill>
    </dxf>
  </dxfs>
  <tableStyles count="0" defaultTableStyle="TableStyleMedium9" defaultPivotStyle="PivotStyleLight16"/>
  <colors>
    <mruColors>
      <color rgb="FFC5325D"/>
      <color rgb="FFFFD66D"/>
      <color rgb="FF00545A"/>
      <color rgb="FFB3EFEF"/>
      <color rgb="FF00C9C8"/>
      <color rgb="FFFF7D5F"/>
      <color rgb="FF9E284A"/>
      <color rgb="FF00A1A0"/>
      <color rgb="FFCCAB57"/>
      <color rgb="FFD67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75000"/>
                    <a:lumOff val="25000"/>
                  </a:schemeClr>
                </a:solidFill>
                <a:latin typeface="Noto Sans" panose="020B0502040504020204" pitchFamily="34" charset="0"/>
                <a:ea typeface="Noto Sans" panose="020B0502040504020204" pitchFamily="34" charset="0"/>
                <a:cs typeface="Noto Sans" panose="020B0502040504020204" pitchFamily="34" charset="0"/>
              </a:defRPr>
            </a:pPr>
            <a:r>
              <a:rPr lang="en-US" sz="1300" b="1">
                <a:latin typeface="Noto Sans" panose="020B0502040504020204" pitchFamily="34" charset="0"/>
                <a:ea typeface="Noto Sans" panose="020B0502040504020204" pitchFamily="34" charset="0"/>
                <a:cs typeface="Noto Sans" panose="020B0502040504020204" pitchFamily="34" charset="0"/>
              </a:rPr>
              <a:t>Pre-tax project cashflows</a:t>
            </a:r>
          </a:p>
        </c:rich>
      </c:tx>
      <c:layout>
        <c:manualLayout>
          <c:xMode val="edge"/>
          <c:yMode val="edge"/>
          <c:x val="0.36506673631072611"/>
          <c:y val="1.762052224053123E-2"/>
        </c:manualLayout>
      </c:layout>
      <c:overlay val="1"/>
      <c:spPr>
        <a:noFill/>
        <a:ln>
          <a:noFill/>
        </a:ln>
        <a:effectLst/>
      </c:spPr>
      <c:txPr>
        <a:bodyPr rot="0" spcFirstLastPara="1" vertOverflow="ellipsis" vert="horz" wrap="square" anchor="ctr" anchorCtr="1"/>
        <a:lstStyle/>
        <a:p>
          <a:pPr>
            <a:defRPr sz="1300" b="1" i="0" u="none" strike="noStrike" kern="1200" spc="0" baseline="0">
              <a:solidFill>
                <a:schemeClr val="tx1">
                  <a:lumMod val="75000"/>
                  <a:lumOff val="25000"/>
                </a:schemeClr>
              </a:solidFill>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0.10680532320931105"/>
          <c:y val="8.4773395421455067E-2"/>
          <c:w val="0.86292550314359662"/>
          <c:h val="0.78791409368736842"/>
        </c:manualLayout>
      </c:layout>
      <c:barChart>
        <c:barDir val="col"/>
        <c:grouping val="clustered"/>
        <c:varyColors val="0"/>
        <c:ser>
          <c:idx val="4"/>
          <c:order val="0"/>
          <c:tx>
            <c:v>Pre-tax cash flow (real)</c:v>
          </c:tx>
          <c:spPr>
            <a:solidFill>
              <a:srgbClr val="00C9C8"/>
            </a:solidFill>
            <a:ln>
              <a:noFill/>
            </a:ln>
            <a:effectLst/>
          </c:spPr>
          <c:invertIfNegative val="0"/>
          <c:cat>
            <c:numRef>
              <c:f>Model!$G$11:$AT$11</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Model!$G$25:$AT$25</c:f>
              <c:numCache>
                <c:formatCode>#,##0;\-#,##0;\-</c:formatCode>
                <c:ptCount val="40"/>
                <c:pt idx="0">
                  <c:v>-20</c:v>
                </c:pt>
                <c:pt idx="1">
                  <c:v>-20</c:v>
                </c:pt>
                <c:pt idx="2">
                  <c:v>-75</c:v>
                </c:pt>
                <c:pt idx="3">
                  <c:v>-300</c:v>
                </c:pt>
                <c:pt idx="4">
                  <c:v>59.550000000000011</c:v>
                </c:pt>
                <c:pt idx="5">
                  <c:v>273.95000000000005</c:v>
                </c:pt>
                <c:pt idx="6">
                  <c:v>273.95000000000005</c:v>
                </c:pt>
                <c:pt idx="7">
                  <c:v>273.95000000000005</c:v>
                </c:pt>
                <c:pt idx="8">
                  <c:v>273.95000000000005</c:v>
                </c:pt>
                <c:pt idx="9">
                  <c:v>273.95000000000005</c:v>
                </c:pt>
                <c:pt idx="10">
                  <c:v>273.95000000000005</c:v>
                </c:pt>
                <c:pt idx="11">
                  <c:v>273.95000000000005</c:v>
                </c:pt>
                <c:pt idx="12">
                  <c:v>273.95000000000005</c:v>
                </c:pt>
                <c:pt idx="13">
                  <c:v>273.95000000000005</c:v>
                </c:pt>
                <c:pt idx="14">
                  <c:v>273.95000000000005</c:v>
                </c:pt>
                <c:pt idx="15">
                  <c:v>273.95000000000005</c:v>
                </c:pt>
                <c:pt idx="16">
                  <c:v>273.95000000000005</c:v>
                </c:pt>
                <c:pt idx="17">
                  <c:v>273.95000000000005</c:v>
                </c:pt>
                <c:pt idx="18">
                  <c:v>273.95000000000005</c:v>
                </c:pt>
                <c:pt idx="19">
                  <c:v>273.95000000000005</c:v>
                </c:pt>
                <c:pt idx="20">
                  <c:v>273.95000000000005</c:v>
                </c:pt>
                <c:pt idx="21">
                  <c:v>273.95000000000005</c:v>
                </c:pt>
                <c:pt idx="22">
                  <c:v>273.95000000000005</c:v>
                </c:pt>
                <c:pt idx="23">
                  <c:v>271.5</c:v>
                </c:pt>
                <c:pt idx="24">
                  <c:v>271.5</c:v>
                </c:pt>
                <c:pt idx="25">
                  <c:v>271.5</c:v>
                </c:pt>
                <c:pt idx="26">
                  <c:v>291.5</c:v>
                </c:pt>
                <c:pt idx="27">
                  <c:v>133.5</c:v>
                </c:pt>
                <c:pt idx="28">
                  <c:v>-15</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68D2-48AD-9CFB-E8D4A138D3B9}"/>
            </c:ext>
          </c:extLst>
        </c:ser>
        <c:dLbls>
          <c:showLegendKey val="0"/>
          <c:showVal val="0"/>
          <c:showCatName val="0"/>
          <c:showSerName val="0"/>
          <c:showPercent val="0"/>
          <c:showBubbleSize val="0"/>
        </c:dLbls>
        <c:gapWidth val="150"/>
        <c:axId val="419016648"/>
        <c:axId val="419014688"/>
      </c:barChart>
      <c:lineChart>
        <c:grouping val="standard"/>
        <c:varyColors val="0"/>
        <c:ser>
          <c:idx val="5"/>
          <c:order val="1"/>
          <c:tx>
            <c:v>Pre-tax cash flow (nominal)</c:v>
          </c:tx>
          <c:spPr>
            <a:ln w="28575" cap="rnd">
              <a:solidFill>
                <a:srgbClr val="FF7D5F"/>
              </a:solidFill>
              <a:round/>
            </a:ln>
            <a:effectLst/>
          </c:spPr>
          <c:marker>
            <c:symbol val="none"/>
          </c:marker>
          <c:cat>
            <c:numRef>
              <c:f>Model!$H$11:$AJ$11</c:f>
              <c:numCache>
                <c:formatCode>General</c:formatCode>
                <c:ptCount val="2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numCache>
              <c:extLst/>
            </c:numRef>
          </c:cat>
          <c:val>
            <c:numRef>
              <c:f>Model!$G$59:$AT$59</c:f>
              <c:numCache>
                <c:formatCode>#,##0;\-#,##0;\-</c:formatCode>
                <c:ptCount val="40"/>
                <c:pt idx="0">
                  <c:v>-20</c:v>
                </c:pt>
                <c:pt idx="1">
                  <c:v>-20.399999999999999</c:v>
                </c:pt>
                <c:pt idx="2">
                  <c:v>-78.03</c:v>
                </c:pt>
                <c:pt idx="3">
                  <c:v>-318.36239999999998</c:v>
                </c:pt>
                <c:pt idx="4">
                  <c:v>64.458835128000032</c:v>
                </c:pt>
                <c:pt idx="5">
                  <c:v>302.46293603664009</c:v>
                </c:pt>
                <c:pt idx="6">
                  <c:v>308.51219475737287</c:v>
                </c:pt>
                <c:pt idx="7">
                  <c:v>314.6824386525202</c:v>
                </c:pt>
                <c:pt idx="8">
                  <c:v>320.97608742557065</c:v>
                </c:pt>
                <c:pt idx="9">
                  <c:v>327.3956091740821</c:v>
                </c:pt>
                <c:pt idx="10">
                  <c:v>333.94352135756378</c:v>
                </c:pt>
                <c:pt idx="11">
                  <c:v>340.62239178471492</c:v>
                </c:pt>
                <c:pt idx="12">
                  <c:v>347.43483962040932</c:v>
                </c:pt>
                <c:pt idx="13">
                  <c:v>354.38353641281753</c:v>
                </c:pt>
                <c:pt idx="14">
                  <c:v>361.47120714107388</c:v>
                </c:pt>
                <c:pt idx="15">
                  <c:v>368.70063128389523</c:v>
                </c:pt>
                <c:pt idx="16">
                  <c:v>376.07464390957324</c:v>
                </c:pt>
                <c:pt idx="17">
                  <c:v>383.59613678776475</c:v>
                </c:pt>
                <c:pt idx="18">
                  <c:v>391.26805952351998</c:v>
                </c:pt>
                <c:pt idx="19">
                  <c:v>399.09342071399033</c:v>
                </c:pt>
                <c:pt idx="20">
                  <c:v>407.07528912827019</c:v>
                </c:pt>
                <c:pt idx="21">
                  <c:v>415.21679491083563</c:v>
                </c:pt>
                <c:pt idx="22">
                  <c:v>423.52113080905235</c:v>
                </c:pt>
                <c:pt idx="23">
                  <c:v>428.12815022796428</c:v>
                </c:pt>
                <c:pt idx="24">
                  <c:v>436.69071323252354</c:v>
                </c:pt>
                <c:pt idx="25">
                  <c:v>445.42452749717404</c:v>
                </c:pt>
                <c:pt idx="26">
                  <c:v>487.80138033419814</c:v>
                </c:pt>
                <c:pt idx="27">
                  <c:v>227.86934463158744</c:v>
                </c:pt>
                <c:pt idx="28">
                  <c:v>-26.115363092608906</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1-68D2-48AD-9CFB-E8D4A138D3B9}"/>
            </c:ext>
          </c:extLst>
        </c:ser>
        <c:dLbls>
          <c:showLegendKey val="0"/>
          <c:showVal val="0"/>
          <c:showCatName val="0"/>
          <c:showSerName val="0"/>
          <c:showPercent val="0"/>
          <c:showBubbleSize val="0"/>
        </c:dLbls>
        <c:marker val="1"/>
        <c:smooth val="0"/>
        <c:axId val="419016648"/>
        <c:axId val="419014688"/>
        <c:extLst/>
      </c:lineChart>
      <c:catAx>
        <c:axId val="419016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419014688"/>
        <c:crosses val="autoZero"/>
        <c:auto val="1"/>
        <c:lblAlgn val="ctr"/>
        <c:lblOffset val="100"/>
        <c:tickLblSkip val="2"/>
        <c:tickMarkSkip val="1"/>
        <c:noMultiLvlLbl val="0"/>
      </c:catAx>
      <c:valAx>
        <c:axId val="419014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r>
                  <a:rPr lang="en-US"/>
                  <a:t>USD millions</a:t>
                </a:r>
              </a:p>
            </c:rich>
          </c:tx>
          <c:layout>
            <c:manualLayout>
              <c:xMode val="edge"/>
              <c:yMode val="edge"/>
              <c:x val="4.8926312056152615E-3"/>
              <c:y val="0.35371597462692128"/>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41901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sz="1100">
          <a:solidFill>
            <a:schemeClr val="tx1">
              <a:lumMod val="75000"/>
              <a:lumOff val="25000"/>
            </a:schemeClr>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Model!#REF!</c:f>
          <c:strCache>
            <c:ptCount val="1"/>
            <c:pt idx="0">
              <c:v>#REF!</c:v>
            </c:pt>
          </c:strCache>
        </c:strRef>
      </c:tx>
      <c:overlay val="1"/>
      <c:txPr>
        <a:bodyPr/>
        <a:lstStyle/>
        <a:p>
          <a:pPr>
            <a:defRPr sz="1400"/>
          </a:pPr>
          <a:endParaRPr lang="en-US"/>
        </a:p>
      </c:txPr>
    </c:title>
    <c:autoTitleDeleted val="0"/>
    <c:plotArea>
      <c:layout>
        <c:manualLayout>
          <c:layoutTarget val="inner"/>
          <c:xMode val="edge"/>
          <c:yMode val="edge"/>
          <c:x val="5.1340500969174419E-2"/>
          <c:y val="0.10373444495908705"/>
          <c:w val="0.9220212720837393"/>
          <c:h val="0.70077196232824313"/>
        </c:manualLayout>
      </c:layout>
      <c:areaChart>
        <c:grouping val="stacked"/>
        <c:varyColors val="0"/>
        <c:ser>
          <c:idx val="1"/>
          <c:order val="1"/>
          <c:tx>
            <c:strRef>
              <c:f>Model!$D$970</c:f>
              <c:strCache>
                <c:ptCount val="1"/>
                <c:pt idx="0">
                  <c:v>VAT</c:v>
                </c:pt>
              </c:strCache>
            </c:strRef>
          </c:tx>
          <c:cat>
            <c:numRef>
              <c:f>Model!$G$968:$BD$968</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cat>
          <c:val>
            <c:numRef>
              <c:f>Model!$G$970:$BD$970</c:f>
              <c:numCache>
                <c:formatCode>#,##0_);[Red]\(#,##0\);\-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AF29-4F98-8F73-17F124CB411B}"/>
            </c:ext>
          </c:extLst>
        </c:ser>
        <c:ser>
          <c:idx val="0"/>
          <c:order val="2"/>
          <c:tx>
            <c:strRef>
              <c:f>Model!$D$974</c:f>
              <c:strCache>
                <c:ptCount val="1"/>
                <c:pt idx="0">
                  <c:v>South Africa variable royalty</c:v>
                </c:pt>
              </c:strCache>
            </c:strRef>
          </c:tx>
          <c:cat>
            <c:numRef>
              <c:f>Model!$G$968:$BD$968</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cat>
          <c:val>
            <c:numRef>
              <c:f>Model!$G$974:$BD$974</c:f>
              <c:numCache>
                <c:formatCode>#,##0_);[Red]\(#,##0\);\-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1-AF29-4F98-8F73-17F124CB411B}"/>
            </c:ext>
          </c:extLst>
        </c:ser>
        <c:ser>
          <c:idx val="4"/>
          <c:order val="4"/>
          <c:tx>
            <c:strRef>
              <c:f>Model!$D$978</c:f>
              <c:strCache>
                <c:ptCount val="1"/>
                <c:pt idx="0">
                  <c:v>Corporate income tax</c:v>
                </c:pt>
              </c:strCache>
            </c:strRef>
          </c:tx>
          <c:cat>
            <c:numRef>
              <c:f>Model!$G$968:$BD$968</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cat>
          <c:val>
            <c:numRef>
              <c:f>Model!$G$978:$BD$978</c:f>
              <c:numCache>
                <c:formatCode>#,##0_);[Red]\(#,##0\);\-</c:formatCode>
                <c:ptCount val="50"/>
                <c:pt idx="0">
                  <c:v>0</c:v>
                </c:pt>
                <c:pt idx="1">
                  <c:v>0</c:v>
                </c:pt>
                <c:pt idx="2">
                  <c:v>0</c:v>
                </c:pt>
                <c:pt idx="3">
                  <c:v>0</c:v>
                </c:pt>
                <c:pt idx="4">
                  <c:v>0</c:v>
                </c:pt>
                <c:pt idx="5">
                  <c:v>34.820393049614836</c:v>
                </c:pt>
                <c:pt idx="6">
                  <c:v>46.675021858108884</c:v>
                </c:pt>
                <c:pt idx="7">
                  <c:v>45.794511955951009</c:v>
                </c:pt>
                <c:pt idx="8">
                  <c:v>44.914112199184174</c:v>
                </c:pt>
                <c:pt idx="9">
                  <c:v>68.010951123181727</c:v>
                </c:pt>
                <c:pt idx="10">
                  <c:v>68.010951123181712</c:v>
                </c:pt>
                <c:pt idx="11">
                  <c:v>68.010951123181698</c:v>
                </c:pt>
                <c:pt idx="12">
                  <c:v>68.010951123181712</c:v>
                </c:pt>
                <c:pt idx="13">
                  <c:v>68.010951123181727</c:v>
                </c:pt>
                <c:pt idx="14">
                  <c:v>68.010951123181712</c:v>
                </c:pt>
                <c:pt idx="15">
                  <c:v>68.010951123181712</c:v>
                </c:pt>
                <c:pt idx="16">
                  <c:v>68.010951123181727</c:v>
                </c:pt>
                <c:pt idx="17">
                  <c:v>68.010951123181727</c:v>
                </c:pt>
                <c:pt idx="18">
                  <c:v>67.533678395908993</c:v>
                </c:pt>
                <c:pt idx="19">
                  <c:v>67.532568090461695</c:v>
                </c:pt>
                <c:pt idx="20">
                  <c:v>67.5300703218725</c:v>
                </c:pt>
                <c:pt idx="21">
                  <c:v>67.525773866996218</c:v>
                </c:pt>
                <c:pt idx="22">
                  <c:v>67.519033276560208</c:v>
                </c:pt>
                <c:pt idx="23">
                  <c:v>66.773754625861415</c:v>
                </c:pt>
                <c:pt idx="24">
                  <c:v>66.757866321887349</c:v>
                </c:pt>
                <c:pt idx="25">
                  <c:v>66.731692667472117</c:v>
                </c:pt>
                <c:pt idx="26">
                  <c:v>68.105599696015446</c:v>
                </c:pt>
                <c:pt idx="27">
                  <c:v>15.265443241264967</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2-AF29-4F98-8F73-17F124CB411B}"/>
            </c:ext>
          </c:extLst>
        </c:ser>
        <c:ser>
          <c:idx val="5"/>
          <c:order val="5"/>
          <c:tx>
            <c:strRef>
              <c:f>Model!#REF!</c:f>
              <c:strCache>
                <c:ptCount val="1"/>
                <c:pt idx="0">
                  <c:v>#REF!</c:v>
                </c:pt>
              </c:strCache>
            </c:strRef>
          </c:tx>
          <c:cat>
            <c:numRef>
              <c:f>Model!$G$968:$BD$968</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cat>
          <c:val>
            <c:numRef>
              <c:f>Model!#REF!</c:f>
              <c:numCache>
                <c:formatCode>General</c:formatCode>
                <c:ptCount val="1"/>
                <c:pt idx="0">
                  <c:v>1</c:v>
                </c:pt>
              </c:numCache>
            </c:numRef>
          </c:val>
          <c:extLst>
            <c:ext xmlns:c16="http://schemas.microsoft.com/office/drawing/2014/chart" uri="{C3380CC4-5D6E-409C-BE32-E72D297353CC}">
              <c16:uniqueId val="{00000003-AF29-4F98-8F73-17F124CB411B}"/>
            </c:ext>
          </c:extLst>
        </c:ser>
        <c:dLbls>
          <c:showLegendKey val="0"/>
          <c:showVal val="0"/>
          <c:showCatName val="0"/>
          <c:showSerName val="0"/>
          <c:showPercent val="0"/>
          <c:showBubbleSize val="0"/>
        </c:dLbls>
        <c:axId val="419015864"/>
        <c:axId val="419019392"/>
        <c:extLst>
          <c:ext xmlns:c15="http://schemas.microsoft.com/office/drawing/2012/chart" uri="{02D57815-91ED-43cb-92C2-25804820EDAC}">
            <c15:filteredAreaSeries>
              <c15:ser>
                <c:idx val="7"/>
                <c:order val="0"/>
                <c:tx>
                  <c:strRef>
                    <c:extLst>
                      <c:ext uri="{02D57815-91ED-43cb-92C2-25804820EDAC}">
                        <c15:formulaRef>
                          <c15:sqref>Model!#REF!</c15:sqref>
                        </c15:formulaRef>
                      </c:ext>
                    </c:extLst>
                    <c:strCache>
                      <c:ptCount val="1"/>
                      <c:pt idx="0">
                        <c:v>#REF!</c:v>
                      </c:pt>
                    </c:strCache>
                  </c:strRef>
                </c:tx>
                <c:cat>
                  <c:numRef>
                    <c:extLst>
                      <c:ext uri="{02D57815-91ED-43cb-92C2-25804820EDAC}">
                        <c15:formulaRef>
                          <c15:sqref>Model!$G$968:$BD$968</c15:sqref>
                        </c15:formulaRef>
                      </c:ext>
                    </c:extLst>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cat>
                <c:val>
                  <c:numRef>
                    <c:extLst>
                      <c:ext uri="{02D57815-91ED-43cb-92C2-25804820EDAC}">
                        <c15:formulaRef>
                          <c15:sqref>Model!#REF!</c15:sqref>
                        </c15:formulaRef>
                      </c:ext>
                    </c:extLst>
                    <c:numCache>
                      <c:formatCode>General</c:formatCode>
                      <c:ptCount val="1"/>
                      <c:pt idx="0">
                        <c:v>1</c:v>
                      </c:pt>
                    </c:numCache>
                  </c:numRef>
                </c:val>
                <c:extLst>
                  <c:ext xmlns:c16="http://schemas.microsoft.com/office/drawing/2014/chart" uri="{C3380CC4-5D6E-409C-BE32-E72D297353CC}">
                    <c16:uniqueId val="{00000005-AF29-4F98-8F73-17F124CB411B}"/>
                  </c:ext>
                </c:extLst>
              </c15:ser>
            </c15:filteredAreaSeries>
            <c15:filteredAreaSeries>
              <c15:ser>
                <c:idx val="2"/>
                <c:order val="3"/>
                <c:tx>
                  <c:strRef>
                    <c:extLst xmlns:c15="http://schemas.microsoft.com/office/drawing/2012/chart">
                      <c:ext xmlns:c15="http://schemas.microsoft.com/office/drawing/2012/chart" uri="{02D57815-91ED-43cb-92C2-25804820EDAC}">
                        <c15:formulaRef>
                          <c15:sqref>Model!#REF!</c15:sqref>
                        </c15:formulaRef>
                      </c:ext>
                    </c:extLst>
                    <c:strCache>
                      <c:ptCount val="1"/>
                      <c:pt idx="0">
                        <c:v>#REF!</c:v>
                      </c:pt>
                    </c:strCache>
                  </c:strRef>
                </c:tx>
                <c:cat>
                  <c:numRef>
                    <c:extLst xmlns:c15="http://schemas.microsoft.com/office/drawing/2012/chart">
                      <c:ext xmlns:c15="http://schemas.microsoft.com/office/drawing/2012/chart" uri="{02D57815-91ED-43cb-92C2-25804820EDAC}">
                        <c15:formulaRef>
                          <c15:sqref>Model!$G$968:$BD$968</c15:sqref>
                        </c15:formulaRef>
                      </c:ext>
                    </c:extLst>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cat>
                <c:val>
                  <c:numRef>
                    <c:extLst xmlns:c15="http://schemas.microsoft.com/office/drawing/2012/chart">
                      <c:ext xmlns:c15="http://schemas.microsoft.com/office/drawing/2012/chart" uri="{02D57815-91ED-43cb-92C2-25804820EDAC}">
                        <c15:formulaRef>
                          <c15:sqref>Model!#REF!</c15:sqref>
                        </c15:formulaRef>
                      </c:ext>
                    </c:extLst>
                    <c:numCache>
                      <c:formatCode>General</c:formatCode>
                      <c:ptCount val="1"/>
                      <c:pt idx="0">
                        <c:v>1</c:v>
                      </c:pt>
                    </c:numCache>
                  </c:numRef>
                </c:val>
                <c:extLst xmlns:c15="http://schemas.microsoft.com/office/drawing/2012/chart">
                  <c:ext xmlns:c16="http://schemas.microsoft.com/office/drawing/2014/chart" uri="{C3380CC4-5D6E-409C-BE32-E72D297353CC}">
                    <c16:uniqueId val="{00000006-AF29-4F98-8F73-17F124CB411B}"/>
                  </c:ext>
                </c:extLst>
              </c15:ser>
            </c15:filteredAreaSeries>
            <c15:filteredAreaSeries>
              <c15:ser>
                <c:idx val="6"/>
                <c:order val="6"/>
                <c:tx>
                  <c:strRef>
                    <c:extLst xmlns:c15="http://schemas.microsoft.com/office/drawing/2012/chart">
                      <c:ext xmlns:c15="http://schemas.microsoft.com/office/drawing/2012/chart" uri="{02D57815-91ED-43cb-92C2-25804820EDAC}">
                        <c15:formulaRef>
                          <c15:sqref>Model!$D$984</c15:sqref>
                        </c15:formulaRef>
                      </c:ext>
                    </c:extLst>
                    <c:strCache>
                      <c:ptCount val="1"/>
                      <c:pt idx="0">
                        <c:v>Dividend withholding tax</c:v>
                      </c:pt>
                    </c:strCache>
                  </c:strRef>
                </c:tx>
                <c:cat>
                  <c:numRef>
                    <c:extLst xmlns:c15="http://schemas.microsoft.com/office/drawing/2012/chart">
                      <c:ext xmlns:c15="http://schemas.microsoft.com/office/drawing/2012/chart" uri="{02D57815-91ED-43cb-92C2-25804820EDAC}">
                        <c15:formulaRef>
                          <c15:sqref>Model!$G$968:$BD$968</c15:sqref>
                        </c15:formulaRef>
                      </c:ext>
                    </c:extLst>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cat>
                <c:val>
                  <c:numRef>
                    <c:extLst xmlns:c15="http://schemas.microsoft.com/office/drawing/2012/chart">
                      <c:ext xmlns:c15="http://schemas.microsoft.com/office/drawing/2012/chart" uri="{02D57815-91ED-43cb-92C2-25804820EDAC}">
                        <c15:formulaRef>
                          <c15:sqref>Model!$G$984:$BD$984</c15:sqref>
                        </c15:formulaRef>
                      </c:ext>
                    </c:extLst>
                    <c:numCache>
                      <c:formatCode>#,##0_);[Red]\(#,##0\);\-</c:formatCode>
                      <c:ptCount val="50"/>
                      <c:pt idx="0">
                        <c:v>0</c:v>
                      </c:pt>
                      <c:pt idx="1">
                        <c:v>0</c:v>
                      </c:pt>
                      <c:pt idx="2">
                        <c:v>0</c:v>
                      </c:pt>
                      <c:pt idx="3">
                        <c:v>0</c:v>
                      </c:pt>
                      <c:pt idx="4">
                        <c:v>0</c:v>
                      </c:pt>
                      <c:pt idx="5">
                        <c:v>0</c:v>
                      </c:pt>
                      <c:pt idx="6">
                        <c:v>2.3392422185625694</c:v>
                      </c:pt>
                      <c:pt idx="7">
                        <c:v>11.515057497599797</c:v>
                      </c:pt>
                      <c:pt idx="8">
                        <c:v>11.898825946170883</c:v>
                      </c:pt>
                      <c:pt idx="9">
                        <c:v>13.200940105652743</c:v>
                      </c:pt>
                      <c:pt idx="10">
                        <c:v>13.200940105652744</c:v>
                      </c:pt>
                      <c:pt idx="11">
                        <c:v>13.200940105652734</c:v>
                      </c:pt>
                      <c:pt idx="12">
                        <c:v>13.200940105652741</c:v>
                      </c:pt>
                      <c:pt idx="13">
                        <c:v>13.200940105652741</c:v>
                      </c:pt>
                      <c:pt idx="14">
                        <c:v>13.200940105652741</c:v>
                      </c:pt>
                      <c:pt idx="15">
                        <c:v>13.200940105652737</c:v>
                      </c:pt>
                      <c:pt idx="16">
                        <c:v>13.200940105652743</c:v>
                      </c:pt>
                      <c:pt idx="17">
                        <c:v>13.200940105652744</c:v>
                      </c:pt>
                      <c:pt idx="18">
                        <c:v>13.10739465110729</c:v>
                      </c:pt>
                      <c:pt idx="19">
                        <c:v>13.107177031239615</c:v>
                      </c:pt>
                      <c:pt idx="20">
                        <c:v>13.106687468596132</c:v>
                      </c:pt>
                      <c:pt idx="21">
                        <c:v>13.105845363440379</c:v>
                      </c:pt>
                      <c:pt idx="22">
                        <c:v>13.104524207714931</c:v>
                      </c:pt>
                      <c:pt idx="23">
                        <c:v>12.958449592177971</c:v>
                      </c:pt>
                      <c:pt idx="24">
                        <c:v>12.95533548459904</c:v>
                      </c:pt>
                      <c:pt idx="25">
                        <c:v>12.950205448333659</c:v>
                      </c:pt>
                      <c:pt idx="26">
                        <c:v>14.563491225928157</c:v>
                      </c:pt>
                      <c:pt idx="27">
                        <c:v>8.1346955410083002</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5="http://schemas.microsoft.com/office/drawing/2012/chart">
                  <c:ext xmlns:c16="http://schemas.microsoft.com/office/drawing/2014/chart" uri="{C3380CC4-5D6E-409C-BE32-E72D297353CC}">
                    <c16:uniqueId val="{00000007-AF29-4F98-8F73-17F124CB411B}"/>
                  </c:ext>
                </c:extLst>
              </c15:ser>
            </c15:filteredAreaSeries>
          </c:ext>
        </c:extLst>
      </c:areaChart>
      <c:lineChart>
        <c:grouping val="standard"/>
        <c:varyColors val="0"/>
        <c:ser>
          <c:idx val="3"/>
          <c:order val="7"/>
          <c:tx>
            <c:v>Project pre-tax cash flow</c:v>
          </c:tx>
          <c:spPr>
            <a:ln>
              <a:solidFill>
                <a:schemeClr val="tx1"/>
              </a:solidFill>
              <a:prstDash val="dash"/>
            </a:ln>
          </c:spPr>
          <c:marker>
            <c:symbol val="none"/>
          </c:marker>
          <c:cat>
            <c:numLit>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Lit>
          </c:cat>
          <c:val>
            <c:numRef>
              <c:f>Model!$G$923:$BD$923</c:f>
              <c:numCache>
                <c:formatCode>#,##0;\-#,##0;\-</c:formatCode>
                <c:ptCount val="50"/>
                <c:pt idx="0">
                  <c:v>-20</c:v>
                </c:pt>
                <c:pt idx="1">
                  <c:v>-20</c:v>
                </c:pt>
                <c:pt idx="2">
                  <c:v>-75</c:v>
                </c:pt>
                <c:pt idx="3">
                  <c:v>-300</c:v>
                </c:pt>
                <c:pt idx="4">
                  <c:v>59.550000000000011</c:v>
                </c:pt>
                <c:pt idx="5">
                  <c:v>273.95000000000005</c:v>
                </c:pt>
                <c:pt idx="6">
                  <c:v>273.95000000000005</c:v>
                </c:pt>
                <c:pt idx="7">
                  <c:v>273.95000000000005</c:v>
                </c:pt>
                <c:pt idx="8">
                  <c:v>273.95000000000005</c:v>
                </c:pt>
                <c:pt idx="9">
                  <c:v>273.95000000000005</c:v>
                </c:pt>
                <c:pt idx="10">
                  <c:v>273.95000000000005</c:v>
                </c:pt>
                <c:pt idx="11">
                  <c:v>273.95000000000005</c:v>
                </c:pt>
                <c:pt idx="12">
                  <c:v>273.95000000000005</c:v>
                </c:pt>
                <c:pt idx="13">
                  <c:v>273.95000000000005</c:v>
                </c:pt>
                <c:pt idx="14">
                  <c:v>273.95000000000005</c:v>
                </c:pt>
                <c:pt idx="15">
                  <c:v>273.95000000000005</c:v>
                </c:pt>
                <c:pt idx="16">
                  <c:v>273.95000000000005</c:v>
                </c:pt>
                <c:pt idx="17">
                  <c:v>273.95000000000005</c:v>
                </c:pt>
                <c:pt idx="18">
                  <c:v>273.95000000000005</c:v>
                </c:pt>
                <c:pt idx="19">
                  <c:v>273.95000000000005</c:v>
                </c:pt>
                <c:pt idx="20">
                  <c:v>273.95000000000005</c:v>
                </c:pt>
                <c:pt idx="21">
                  <c:v>273.95000000000005</c:v>
                </c:pt>
                <c:pt idx="22">
                  <c:v>273.95000000000005</c:v>
                </c:pt>
                <c:pt idx="23">
                  <c:v>271.5</c:v>
                </c:pt>
                <c:pt idx="24">
                  <c:v>271.5</c:v>
                </c:pt>
                <c:pt idx="25">
                  <c:v>271.5</c:v>
                </c:pt>
                <c:pt idx="26">
                  <c:v>291.5</c:v>
                </c:pt>
                <c:pt idx="27">
                  <c:v>133.5</c:v>
                </c:pt>
                <c:pt idx="28">
                  <c:v>-15</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mooth val="0"/>
          <c:extLst>
            <c:ext xmlns:c16="http://schemas.microsoft.com/office/drawing/2014/chart" uri="{C3380CC4-5D6E-409C-BE32-E72D297353CC}">
              <c16:uniqueId val="{00000004-AF29-4F98-8F73-17F124CB411B}"/>
            </c:ext>
          </c:extLst>
        </c:ser>
        <c:dLbls>
          <c:showLegendKey val="0"/>
          <c:showVal val="0"/>
          <c:showCatName val="0"/>
          <c:showSerName val="0"/>
          <c:showPercent val="0"/>
          <c:showBubbleSize val="0"/>
        </c:dLbls>
        <c:marker val="1"/>
        <c:smooth val="0"/>
        <c:axId val="419015864"/>
        <c:axId val="419019392"/>
      </c:lineChart>
      <c:catAx>
        <c:axId val="419015864"/>
        <c:scaling>
          <c:orientation val="minMax"/>
        </c:scaling>
        <c:delete val="0"/>
        <c:axPos val="b"/>
        <c:numFmt formatCode="General" sourceLinked="1"/>
        <c:majorTickMark val="out"/>
        <c:minorTickMark val="none"/>
        <c:tickLblPos val="nextTo"/>
        <c:crossAx val="419019392"/>
        <c:crosses val="autoZero"/>
        <c:auto val="1"/>
        <c:lblAlgn val="ctr"/>
        <c:lblOffset val="100"/>
        <c:tickMarkSkip val="1"/>
        <c:noMultiLvlLbl val="0"/>
      </c:catAx>
      <c:valAx>
        <c:axId val="419019392"/>
        <c:scaling>
          <c:orientation val="minMax"/>
          <c:min val="-40"/>
        </c:scaling>
        <c:delete val="0"/>
        <c:axPos val="l"/>
        <c:majorGridlines>
          <c:spPr>
            <a:ln>
              <a:prstDash val="dash"/>
            </a:ln>
          </c:spPr>
        </c:majorGridlines>
        <c:title>
          <c:tx>
            <c:rich>
              <a:bodyPr rot="-5400000" vert="horz"/>
              <a:lstStyle/>
              <a:p>
                <a:pPr>
                  <a:defRPr/>
                </a:pPr>
                <a:r>
                  <a:rPr lang="en-US"/>
                  <a:t>$mm constant</a:t>
                </a:r>
              </a:p>
            </c:rich>
          </c:tx>
          <c:overlay val="0"/>
        </c:title>
        <c:numFmt formatCode="General" sourceLinked="0"/>
        <c:majorTickMark val="out"/>
        <c:minorTickMark val="none"/>
        <c:tickLblPos val="nextTo"/>
        <c:crossAx val="419015864"/>
        <c:crosses val="autoZero"/>
        <c:crossBetween val="between"/>
      </c:valAx>
    </c:plotArea>
    <c:legend>
      <c:legendPos val="b"/>
      <c:layout>
        <c:manualLayout>
          <c:xMode val="edge"/>
          <c:yMode val="edge"/>
          <c:x val="3.8511958477983416E-2"/>
          <c:y val="0.8085817508105605"/>
          <c:w val="0.95854486506272951"/>
          <c:h val="0.17573197467963564"/>
        </c:manualLayout>
      </c:layout>
      <c:overlay val="0"/>
      <c:txPr>
        <a:bodyPr/>
        <a:lstStyle/>
        <a:p>
          <a:pPr>
            <a:defRPr sz="900"/>
          </a:pPr>
          <a:endParaRPr lang="en-US"/>
        </a:p>
      </c:txPr>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Government revenue composition, share of NPV</a:t>
            </a:r>
          </a:p>
        </c:rich>
      </c:tx>
      <c:layout>
        <c:manualLayout>
          <c:xMode val="edge"/>
          <c:yMode val="edge"/>
          <c:x val="0.19971313519788936"/>
          <c:y val="1.1377872278157621E-2"/>
        </c:manualLayout>
      </c:layout>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0.29051039891892094"/>
          <c:y val="9.5251903404552044E-2"/>
          <c:w val="0.67114755565708728"/>
          <c:h val="0.82163880829145519"/>
        </c:manualLayout>
      </c:layout>
      <c:barChart>
        <c:barDir val="bar"/>
        <c:grouping val="clustered"/>
        <c:varyColors val="0"/>
        <c:ser>
          <c:idx val="0"/>
          <c:order val="0"/>
          <c:tx>
            <c:strRef>
              <c:f>Results!$D$197</c:f>
              <c:strCache>
                <c:ptCount val="1"/>
                <c:pt idx="0">
                  <c:v>Share</c:v>
                </c:pt>
              </c:strCache>
            </c:strRef>
          </c:tx>
          <c:spPr>
            <a:solidFill>
              <a:srgbClr val="00C9C8"/>
            </a:solidFill>
            <a:ln w="19050">
              <a:noFill/>
            </a:ln>
            <a:effectLst/>
          </c:spPr>
          <c:invertIfNegative val="0"/>
          <c:dPt>
            <c:idx val="1"/>
            <c:invertIfNegative val="0"/>
            <c:bubble3D val="0"/>
            <c:extLst>
              <c:ext xmlns:c16="http://schemas.microsoft.com/office/drawing/2014/chart" uri="{C3380CC4-5D6E-409C-BE32-E72D297353CC}">
                <c16:uniqueId val="{00000001-5171-4110-B2BE-F21CA89952B7}"/>
              </c:ext>
            </c:extLst>
          </c:dPt>
          <c:dPt>
            <c:idx val="2"/>
            <c:invertIfNegative val="0"/>
            <c:bubble3D val="0"/>
            <c:extLst>
              <c:ext xmlns:c16="http://schemas.microsoft.com/office/drawing/2014/chart" uri="{C3380CC4-5D6E-409C-BE32-E72D297353CC}">
                <c16:uniqueId val="{00000003-5171-4110-B2BE-F21CA89952B7}"/>
              </c:ext>
            </c:extLst>
          </c:dPt>
          <c:dPt>
            <c:idx val="5"/>
            <c:invertIfNegative val="0"/>
            <c:bubble3D val="0"/>
            <c:extLst>
              <c:ext xmlns:c16="http://schemas.microsoft.com/office/drawing/2014/chart" uri="{C3380CC4-5D6E-409C-BE32-E72D297353CC}">
                <c16:uniqueId val="{00000005-5171-4110-B2BE-F21CA89952B7}"/>
              </c:ext>
            </c:extLst>
          </c:dPt>
          <c:dPt>
            <c:idx val="6"/>
            <c:invertIfNegative val="0"/>
            <c:bubble3D val="0"/>
            <c:extLst>
              <c:ext xmlns:c16="http://schemas.microsoft.com/office/drawing/2014/chart" uri="{C3380CC4-5D6E-409C-BE32-E72D297353CC}">
                <c16:uniqueId val="{00000007-5171-4110-B2BE-F21CA89952B7}"/>
              </c:ext>
            </c:extLst>
          </c:dPt>
          <c:dPt>
            <c:idx val="7"/>
            <c:invertIfNegative val="0"/>
            <c:bubble3D val="0"/>
            <c:extLst>
              <c:ext xmlns:c16="http://schemas.microsoft.com/office/drawing/2014/chart" uri="{C3380CC4-5D6E-409C-BE32-E72D297353CC}">
                <c16:uniqueId val="{00000009-5171-4110-B2BE-F21CA89952B7}"/>
              </c:ext>
            </c:extLst>
          </c:dPt>
          <c:dPt>
            <c:idx val="8"/>
            <c:invertIfNegative val="0"/>
            <c:bubble3D val="0"/>
            <c:extLst>
              <c:ext xmlns:c16="http://schemas.microsoft.com/office/drawing/2014/chart" uri="{C3380CC4-5D6E-409C-BE32-E72D297353CC}">
                <c16:uniqueId val="{0000000B-5171-4110-B2BE-F21CA89952B7}"/>
              </c:ext>
            </c:extLst>
          </c:dPt>
          <c:dPt>
            <c:idx val="9"/>
            <c:invertIfNegative val="0"/>
            <c:bubble3D val="0"/>
            <c:extLst>
              <c:ext xmlns:c16="http://schemas.microsoft.com/office/drawing/2014/chart" uri="{C3380CC4-5D6E-409C-BE32-E72D297353CC}">
                <c16:uniqueId val="{0000000D-5171-4110-B2BE-F21CA89952B7}"/>
              </c:ext>
            </c:extLst>
          </c:dPt>
          <c:dLbls>
            <c:spPr>
              <a:noFill/>
              <a:ln>
                <a:noFill/>
              </a:ln>
              <a:effectLst/>
            </c:spPr>
            <c:txPr>
              <a:bodyPr rot="0" spcFirstLastPara="1" vertOverflow="ellipsis" vert="horz" wrap="square" anchor="ctr" anchorCtr="1"/>
              <a:lstStyle/>
              <a:p>
                <a:pPr>
                  <a:defRPr lang="en-US"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Results!$B$198:$B$213</c:f>
              <c:strCache>
                <c:ptCount val="16"/>
                <c:pt idx="0">
                  <c:v>Import duties</c:v>
                </c:pt>
                <c:pt idx="1">
                  <c:v>VAT</c:v>
                </c:pt>
                <c:pt idx="2">
                  <c:v>Skills development levy</c:v>
                </c:pt>
                <c:pt idx="3">
                  <c:v>Royalty</c:v>
                </c:pt>
                <c:pt idx="4">
                  <c:v>Variable rate royalty</c:v>
                </c:pt>
                <c:pt idx="5">
                  <c:v>South Africa variable royalty</c:v>
                </c:pt>
                <c:pt idx="6">
                  <c:v>Operating profit tax</c:v>
                </c:pt>
                <c:pt idx="7">
                  <c:v>DRC excess profits tax</c:v>
                </c:pt>
                <c:pt idx="8">
                  <c:v>Corporate income tax</c:v>
                </c:pt>
                <c:pt idx="9">
                  <c:v>Resource rent tax</c:v>
                </c:pt>
                <c:pt idx="10">
                  <c:v>South Africa gold profit tax</c:v>
                </c:pt>
                <c:pt idx="11">
                  <c:v>Zimbabwe additional profits tax</c:v>
                </c:pt>
                <c:pt idx="12">
                  <c:v>Govt share of repaid loans</c:v>
                </c:pt>
                <c:pt idx="13">
                  <c:v>State dividends</c:v>
                </c:pt>
                <c:pt idx="14">
                  <c:v>Dividend withholding tax</c:v>
                </c:pt>
                <c:pt idx="15">
                  <c:v>Interest withholding tax</c:v>
                </c:pt>
              </c:strCache>
            </c:strRef>
          </c:cat>
          <c:val>
            <c:numRef>
              <c:f>Results!$D$198:$D$213</c:f>
              <c:numCache>
                <c:formatCode>0%</c:formatCode>
                <c:ptCount val="16"/>
                <c:pt idx="0">
                  <c:v>5.6809308061615431E-2</c:v>
                </c:pt>
                <c:pt idx="1">
                  <c:v>0</c:v>
                </c:pt>
                <c:pt idx="2">
                  <c:v>1.345700992021347E-2</c:v>
                </c:pt>
                <c:pt idx="3">
                  <c:v>0.26914019840426934</c:v>
                </c:pt>
                <c:pt idx="4">
                  <c:v>0</c:v>
                </c:pt>
                <c:pt idx="5">
                  <c:v>0</c:v>
                </c:pt>
                <c:pt idx="6">
                  <c:v>0</c:v>
                </c:pt>
                <c:pt idx="7">
                  <c:v>0</c:v>
                </c:pt>
                <c:pt idx="8">
                  <c:v>0.42220710182660187</c:v>
                </c:pt>
                <c:pt idx="9">
                  <c:v>0</c:v>
                </c:pt>
                <c:pt idx="10">
                  <c:v>0</c:v>
                </c:pt>
                <c:pt idx="11">
                  <c:v>0</c:v>
                </c:pt>
                <c:pt idx="12">
                  <c:v>0</c:v>
                </c:pt>
                <c:pt idx="13">
                  <c:v>0.15542811706912324</c:v>
                </c:pt>
                <c:pt idx="14">
                  <c:v>8.159976146128968E-2</c:v>
                </c:pt>
                <c:pt idx="15">
                  <c:v>1.3585032568867947E-3</c:v>
                </c:pt>
              </c:numCache>
            </c:numRef>
          </c:val>
          <c:extLst>
            <c:ext xmlns:c16="http://schemas.microsoft.com/office/drawing/2014/chart" uri="{C3380CC4-5D6E-409C-BE32-E72D297353CC}">
              <c16:uniqueId val="{0000000E-50D2-4395-BB9E-2A5811A9B7DC}"/>
            </c:ext>
          </c:extLst>
        </c:ser>
        <c:dLbls>
          <c:dLblPos val="inEnd"/>
          <c:showLegendKey val="0"/>
          <c:showVal val="1"/>
          <c:showCatName val="0"/>
          <c:showSerName val="0"/>
          <c:showPercent val="0"/>
          <c:showBubbleSize val="0"/>
        </c:dLbls>
        <c:gapWidth val="100"/>
        <c:axId val="575777056"/>
        <c:axId val="575779800"/>
      </c:barChart>
      <c:valAx>
        <c:axId val="5757798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1100" b="0" i="0" u="none" strike="noStrike" kern="1200" baseline="0">
                <a:solidFill>
                  <a:schemeClr val="tx1">
                    <a:lumMod val="75000"/>
                    <a:lumOff val="25000"/>
                  </a:schemeClr>
                </a:solidFill>
                <a:latin typeface="+mn-lt"/>
                <a:ea typeface="+mn-ea"/>
                <a:cs typeface="+mn-cs"/>
              </a:defRPr>
            </a:pPr>
            <a:endParaRPr lang="en-US"/>
          </a:p>
        </c:txPr>
        <c:crossAx val="575777056"/>
        <c:crosses val="autoZero"/>
        <c:crossBetween val="between"/>
      </c:valAx>
      <c:catAx>
        <c:axId val="5757770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baseline="0">
                <a:solidFill>
                  <a:schemeClr val="tx1">
                    <a:lumMod val="75000"/>
                    <a:lumOff val="25000"/>
                  </a:schemeClr>
                </a:solidFill>
                <a:latin typeface="+mn-lt"/>
                <a:ea typeface="+mn-ea"/>
                <a:cs typeface="+mn-cs"/>
              </a:defRPr>
            </a:pPr>
            <a:endParaRPr lang="en-US"/>
          </a:p>
        </c:txPr>
        <c:crossAx val="57577980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lang="en-US" sz="1100" b="0" i="0" u="none" strike="noStrike" kern="1200" baseline="0">
          <a:solidFill>
            <a:schemeClr val="tx1">
              <a:lumMod val="75000"/>
              <a:lumOff val="25000"/>
            </a:schemeClr>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Government share of total benefits as price changes</a:t>
            </a:r>
          </a:p>
        </c:rich>
      </c:tx>
      <c:layout>
        <c:manualLayout>
          <c:xMode val="edge"/>
          <c:yMode val="edge"/>
          <c:x val="0.21772003280436777"/>
          <c:y val="1.3963335518032647E-2"/>
        </c:manualLayout>
      </c:layout>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6.3475868293592197E-2"/>
          <c:y val="0.12997678695335049"/>
          <c:w val="0.71478760550653075"/>
          <c:h val="0.60420764210778599"/>
        </c:manualLayout>
      </c:layout>
      <c:lineChart>
        <c:grouping val="standard"/>
        <c:varyColors val="0"/>
        <c:ser>
          <c:idx val="0"/>
          <c:order val="0"/>
          <c:tx>
            <c:strRef>
              <c:f>Model!$D$1194</c:f>
              <c:strCache>
                <c:ptCount val="1"/>
                <c:pt idx="0">
                  <c:v>Tanzania w/o sharing</c:v>
                </c:pt>
              </c:strCache>
            </c:strRef>
          </c:tx>
          <c:spPr>
            <a:ln w="28575" cap="rnd" cmpd="sng" algn="ctr">
              <a:solidFill>
                <a:srgbClr val="FF7D5F"/>
              </a:solidFill>
              <a:prstDash val="solid"/>
              <a:round/>
            </a:ln>
            <a:effectLst/>
          </c:spPr>
          <c:marker>
            <c:symbol val="none"/>
          </c:marker>
          <c:cat>
            <c:multiLvlStrRef>
              <c:extLst>
                <c:ext xmlns:c15="http://schemas.microsoft.com/office/drawing/2012/chart" uri="{02D57815-91ED-43cb-92C2-25804820EDAC}">
                  <c15:fullRef>
                    <c15:sqref>Model!$G$1114:$AI$1115</c15:sqref>
                  </c15:fullRef>
                </c:ext>
              </c:extLst>
              <c:f>Model!$R$1114:$AI$1115</c:f>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Model!$G$1194:$AI$1194</c15:sqref>
                  </c15:fullRef>
                </c:ext>
              </c:extLst>
              <c:f>Model!$R$1194:$AA$1194</c:f>
              <c:numCache>
                <c:formatCode>0%</c:formatCode>
                <c:ptCount val="10"/>
                <c:pt idx="0">
                  <c:v>0.70205198651180822</c:v>
                </c:pt>
                <c:pt idx="1">
                  <c:v>0.50474546799271491</c:v>
                </c:pt>
                <c:pt idx="2">
                  <c:v>0.49268815979970237</c:v>
                </c:pt>
                <c:pt idx="3">
                  <c:v>0.49271851602196898</c:v>
                </c:pt>
                <c:pt idx="4" formatCode="0.00%">
                  <c:v>0.4943408889267713</c:v>
                </c:pt>
                <c:pt idx="5">
                  <c:v>0.4958398981922354</c:v>
                </c:pt>
                <c:pt idx="6">
                  <c:v>0.49694726249826016</c:v>
                </c:pt>
                <c:pt idx="7">
                  <c:v>0.49817746414147474</c:v>
                </c:pt>
                <c:pt idx="8">
                  <c:v>0.49917057315970065</c:v>
                </c:pt>
                <c:pt idx="9">
                  <c:v>0.49996361272298495</c:v>
                </c:pt>
              </c:numCache>
            </c:numRef>
          </c:val>
          <c:smooth val="0"/>
          <c:extLst>
            <c:ext xmlns:c16="http://schemas.microsoft.com/office/drawing/2014/chart" uri="{C3380CC4-5D6E-409C-BE32-E72D297353CC}">
              <c16:uniqueId val="{00000000-C360-44BA-8AF2-B684089DA374}"/>
            </c:ext>
          </c:extLst>
        </c:ser>
        <c:ser>
          <c:idx val="4"/>
          <c:order val="1"/>
          <c:tx>
            <c:strRef>
              <c:f>Model!$D$1195</c:f>
              <c:strCache>
                <c:ptCount val="1"/>
                <c:pt idx="0">
                  <c:v>Tanzania w 50/50 sharing</c:v>
                </c:pt>
              </c:strCache>
            </c:strRef>
          </c:tx>
          <c:spPr>
            <a:ln w="28575" cap="rnd" cmpd="sng" algn="ctr">
              <a:solidFill>
                <a:srgbClr val="00545A"/>
              </a:solidFill>
              <a:prstDash val="solid"/>
              <a:round/>
            </a:ln>
            <a:effectLst/>
          </c:spPr>
          <c:marker>
            <c:symbol val="none"/>
          </c:marker>
          <c:cat>
            <c:multiLvlStrRef>
              <c:extLst>
                <c:ext xmlns:c15="http://schemas.microsoft.com/office/drawing/2012/chart" uri="{02D57815-91ED-43cb-92C2-25804820EDAC}">
                  <c15:fullRef>
                    <c15:sqref>Model!$G$1114:$AI$1115</c15:sqref>
                  </c15:fullRef>
                </c:ext>
              </c:extLst>
              <c:f>Model!$R$1114:$AI$1115</c:f>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Model!$G$1195:$AI$1195</c15:sqref>
                  </c15:fullRef>
                </c:ext>
              </c:extLst>
              <c:f>Model!$R$1195:$AA$1195</c:f>
              <c:numCache>
                <c:formatCode>0%</c:formatCode>
                <c:ptCount val="10"/>
                <c:pt idx="0">
                  <c:v>0.43059077032616022</c:v>
                </c:pt>
                <c:pt idx="1">
                  <c:v>0.4190628014739412</c:v>
                </c:pt>
                <c:pt idx="2">
                  <c:v>0.40476228025592048</c:v>
                </c:pt>
                <c:pt idx="3">
                  <c:v>0.41473850964563874</c:v>
                </c:pt>
                <c:pt idx="4">
                  <c:v>0.42615964608095719</c:v>
                </c:pt>
                <c:pt idx="5">
                  <c:v>0.43800534992606577</c:v>
                </c:pt>
                <c:pt idx="6">
                  <c:v>0.44647233363127392</c:v>
                </c:pt>
                <c:pt idx="7">
                  <c:v>0.45090129067883195</c:v>
                </c:pt>
                <c:pt idx="8">
                  <c:v>0.45641074473005977</c:v>
                </c:pt>
                <c:pt idx="9">
                  <c:v>0.46081027686050569</c:v>
                </c:pt>
              </c:numCache>
            </c:numRef>
          </c:val>
          <c:smooth val="0"/>
          <c:extLst xmlns:c15="http://schemas.microsoft.com/office/drawing/2012/chart">
            <c:ext xmlns:c16="http://schemas.microsoft.com/office/drawing/2014/chart" uri="{C3380CC4-5D6E-409C-BE32-E72D297353CC}">
              <c16:uniqueId val="{00000004-71A6-43F4-9BFC-54A19BFBEE71}"/>
            </c:ext>
          </c:extLst>
        </c:ser>
        <c:ser>
          <c:idx val="2"/>
          <c:order val="2"/>
          <c:tx>
            <c:strRef>
              <c:f>Model!$D$1196</c:f>
              <c:strCache>
                <c:ptCount val="1"/>
                <c:pt idx="0">
                  <c:v>Ecuador</c:v>
                </c:pt>
              </c:strCache>
            </c:strRef>
          </c:tx>
          <c:spPr>
            <a:ln w="28575" cap="rnd" cmpd="sng" algn="ctr">
              <a:solidFill>
                <a:srgbClr val="00C9C8"/>
              </a:solidFill>
              <a:prstDash val="solid"/>
              <a:round/>
            </a:ln>
            <a:effectLst/>
          </c:spPr>
          <c:marker>
            <c:symbol val="none"/>
          </c:marker>
          <c:cat>
            <c:multiLvlStrRef>
              <c:extLst>
                <c:ext xmlns:c15="http://schemas.microsoft.com/office/drawing/2012/chart" uri="{02D57815-91ED-43cb-92C2-25804820EDAC}">
                  <c15:fullRef>
                    <c15:sqref>Model!$G$1114:$AI$1115</c15:sqref>
                  </c15:fullRef>
                </c:ext>
              </c:extLst>
              <c:f>Model!$R$1114:$AI$1115</c:f>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Model!$G$1196:$AI$1196</c15:sqref>
                  </c15:fullRef>
                </c:ext>
              </c:extLst>
              <c:f>Model!$R$1196:$AA$1196</c:f>
              <c:numCache>
                <c:formatCode>0%</c:formatCode>
                <c:ptCount val="10"/>
                <c:pt idx="0">
                  <c:v>0.59612354205922957</c:v>
                </c:pt>
                <c:pt idx="1">
                  <c:v>0.49103525800780512</c:v>
                </c:pt>
                <c:pt idx="2">
                  <c:v>0.48315393757676256</c:v>
                </c:pt>
                <c:pt idx="3">
                  <c:v>0.48612101722106843</c:v>
                </c:pt>
                <c:pt idx="4">
                  <c:v>0.49147151688704949</c:v>
                </c:pt>
                <c:pt idx="5">
                  <c:v>0.49630780933707741</c:v>
                </c:pt>
                <c:pt idx="6">
                  <c:v>0.50034855696995384</c:v>
                </c:pt>
                <c:pt idx="7">
                  <c:v>0.50375036421738406</c:v>
                </c:pt>
                <c:pt idx="8">
                  <c:v>0.50647752962403259</c:v>
                </c:pt>
                <c:pt idx="9">
                  <c:v>0.5090464682979956</c:v>
                </c:pt>
              </c:numCache>
            </c:numRef>
          </c:val>
          <c:smooth val="0"/>
          <c:extLst xmlns:c15="http://schemas.microsoft.com/office/drawing/2012/chart">
            <c:ext xmlns:c16="http://schemas.microsoft.com/office/drawing/2014/chart" uri="{C3380CC4-5D6E-409C-BE32-E72D297353CC}">
              <c16:uniqueId val="{00000002-71A6-43F4-9BFC-54A19BFBEE71}"/>
            </c:ext>
          </c:extLst>
        </c:ser>
        <c:ser>
          <c:idx val="1"/>
          <c:order val="3"/>
          <c:tx>
            <c:strRef>
              <c:f>Model!$D$1197</c:f>
              <c:strCache>
                <c:ptCount val="1"/>
                <c:pt idx="0">
                  <c:v>Philippines FTAA</c:v>
                </c:pt>
              </c:strCache>
            </c:strRef>
          </c:tx>
          <c:spPr>
            <a:ln w="28575" cap="rnd" cmpd="sng" algn="ctr">
              <a:solidFill>
                <a:srgbClr val="C5325D"/>
              </a:solidFill>
              <a:prstDash val="solid"/>
              <a:round/>
            </a:ln>
            <a:effectLst/>
          </c:spPr>
          <c:marker>
            <c:symbol val="none"/>
          </c:marker>
          <c:cat>
            <c:multiLvlStrRef>
              <c:extLst>
                <c:ext xmlns:c15="http://schemas.microsoft.com/office/drawing/2012/chart" uri="{02D57815-91ED-43cb-92C2-25804820EDAC}">
                  <c15:fullRef>
                    <c15:sqref>Model!$G$1114:$AI$1115</c15:sqref>
                  </c15:fullRef>
                </c:ext>
              </c:extLst>
              <c:f>Model!$R$1114:$AI$1115</c:f>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Model!$G$1197:$AI$1197</c15:sqref>
                  </c15:fullRef>
                </c:ext>
              </c:extLst>
              <c:f>Model!$R$1197:$AA$1197</c:f>
              <c:numCache>
                <c:formatCode>0%</c:formatCode>
                <c:ptCount val="10"/>
                <c:pt idx="0">
                  <c:v>0.55281108521291256</c:v>
                </c:pt>
                <c:pt idx="1">
                  <c:v>0.43873407562165517</c:v>
                </c:pt>
                <c:pt idx="2">
                  <c:v>0.41267001459987684</c:v>
                </c:pt>
                <c:pt idx="3">
                  <c:v>0.44901942512726212</c:v>
                </c:pt>
                <c:pt idx="4">
                  <c:v>0.44381162879585007</c:v>
                </c:pt>
                <c:pt idx="5">
                  <c:v>0.47674615563504014</c:v>
                </c:pt>
                <c:pt idx="6">
                  <c:v>0.47722636218618925</c:v>
                </c:pt>
                <c:pt idx="7">
                  <c:v>0.47758542136034027</c:v>
                </c:pt>
                <c:pt idx="8">
                  <c:v>0.47786404291131912</c:v>
                </c:pt>
                <c:pt idx="9">
                  <c:v>0.47808653400651113</c:v>
                </c:pt>
              </c:numCache>
            </c:numRef>
          </c:val>
          <c:smooth val="0"/>
          <c:extLst>
            <c:ext xmlns:c16="http://schemas.microsoft.com/office/drawing/2014/chart" uri="{C3380CC4-5D6E-409C-BE32-E72D297353CC}">
              <c16:uniqueId val="{00000002-976A-4A2A-8352-498C03507F71}"/>
            </c:ext>
          </c:extLst>
        </c:ser>
        <c:dLbls>
          <c:showLegendKey val="0"/>
          <c:showVal val="0"/>
          <c:showCatName val="0"/>
          <c:showSerName val="0"/>
          <c:showPercent val="0"/>
          <c:showBubbleSize val="0"/>
        </c:dLbls>
        <c:smooth val="0"/>
        <c:axId val="575781760"/>
        <c:axId val="575776272"/>
        <c:extLst>
          <c:ext xmlns:c15="http://schemas.microsoft.com/office/drawing/2012/chart" uri="{02D57815-91ED-43cb-92C2-25804820EDAC}">
            <c15:filteredLineSeries>
              <c15:ser>
                <c:idx val="6"/>
                <c:order val="4"/>
                <c:tx>
                  <c:strRef>
                    <c:extLst>
                      <c:ext uri="{02D57815-91ED-43cb-92C2-25804820EDAC}">
                        <c15:formulaRef>
                          <c15:sqref>Model!$D$1198</c15:sqref>
                        </c15:formulaRef>
                      </c:ext>
                    </c:extLst>
                    <c:strCache>
                      <c:ptCount val="1"/>
                      <c:pt idx="0">
                        <c:v>Burkina Faso</c:v>
                      </c:pt>
                    </c:strCache>
                  </c:strRef>
                </c:tx>
                <c:spPr>
                  <a:ln w="28575" cap="rnd" cmpd="sng" algn="ctr">
                    <a:solidFill>
                      <a:srgbClr val="00B050"/>
                    </a:solidFill>
                    <a:prstDash val="solid"/>
                    <a:round/>
                  </a:ln>
                  <a:effectLst/>
                </c:spPr>
                <c:marker>
                  <c:symbol val="none"/>
                </c:marker>
                <c:cat>
                  <c:multiLvlStrRef>
                    <c:extLst>
                      <c:ext uri="{02D57815-91ED-43cb-92C2-25804820EDAC}">
                        <c15:fullRef>
                          <c15:sqref>Model!$G$1114:$AI$1115</c15:sqref>
                        </c15:fullRef>
                        <c15:formulaRef>
                          <c15:sqref>Model!$R$1114:$AI$1115</c15:sqref>
                        </c15:formulaRef>
                      </c:ext>
                    </c:extLst>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uri="{02D57815-91ED-43cb-92C2-25804820EDAC}">
                        <c15:fullRef>
                          <c15:sqref>Model!$G$1198:$AI$1198</c15:sqref>
                        </c15:fullRef>
                        <c15:formulaRef>
                          <c15:sqref>Model!$R$1198:$AA$1198</c15:sqref>
                        </c15:formulaRef>
                      </c:ext>
                    </c:extLst>
                    <c:numCache>
                      <c:formatCode>0%</c:formatCode>
                      <c:ptCount val="10"/>
                      <c:pt idx="0">
                        <c:v>0.53942891956699823</c:v>
                      </c:pt>
                      <c:pt idx="1">
                        <c:v>0.44227855684728018</c:v>
                      </c:pt>
                      <c:pt idx="2">
                        <c:v>0.42614098701485242</c:v>
                      </c:pt>
                      <c:pt idx="3">
                        <c:v>0.43550932005926007</c:v>
                      </c:pt>
                      <c:pt idx="4">
                        <c:v>0.43189252016832397</c:v>
                      </c:pt>
                      <c:pt idx="5">
                        <c:v>0.43014414974749487</c:v>
                      </c:pt>
                      <c:pt idx="6">
                        <c:v>0.42908438440141111</c:v>
                      </c:pt>
                      <c:pt idx="7">
                        <c:v>0.42833521308009292</c:v>
                      </c:pt>
                      <c:pt idx="8">
                        <c:v>0.42775387359478795</c:v>
                      </c:pt>
                      <c:pt idx="9">
                        <c:v>0.42728964942293474</c:v>
                      </c:pt>
                    </c:numCache>
                  </c:numRef>
                </c:val>
                <c:smooth val="0"/>
                <c:extLst>
                  <c:ext xmlns:c16="http://schemas.microsoft.com/office/drawing/2014/chart" uri="{C3380CC4-5D6E-409C-BE32-E72D297353CC}">
                    <c16:uniqueId val="{00000003-C905-475D-9736-8C8931F7370F}"/>
                  </c:ext>
                </c:extLst>
              </c15:ser>
            </c15:filteredLineSeries>
            <c15:filteredLineSeries>
              <c15:ser>
                <c:idx val="3"/>
                <c:order val="5"/>
                <c:tx>
                  <c:strRef>
                    <c:extLst xmlns:c15="http://schemas.microsoft.com/office/drawing/2012/chart">
                      <c:ext xmlns:c15="http://schemas.microsoft.com/office/drawing/2012/chart" uri="{02D57815-91ED-43cb-92C2-25804820EDAC}">
                        <c15:formulaRef>
                          <c15:sqref>Model!$D$1199</c15:sqref>
                        </c15:formulaRef>
                      </c:ext>
                    </c:extLst>
                    <c:strCache>
                      <c:ptCount val="1"/>
                      <c:pt idx="0">
                        <c:v>DRC</c:v>
                      </c:pt>
                    </c:strCache>
                  </c:strRef>
                </c:tx>
                <c:spPr>
                  <a:ln w="28575" cap="rnd" cmpd="sng" algn="ctr">
                    <a:solidFill>
                      <a:schemeClr val="accent4">
                        <a:shade val="95000"/>
                        <a:satMod val="105000"/>
                      </a:schemeClr>
                    </a:solidFill>
                    <a:prstDash val="solid"/>
                    <a:round/>
                  </a:ln>
                  <a:effectLst/>
                </c:spPr>
                <c:marker>
                  <c:symbol val="none"/>
                </c:marker>
                <c:cat>
                  <c:multiLvlStrRef>
                    <c:extLst>
                      <c:ext xmlns:c15="http://schemas.microsoft.com/office/drawing/2012/chart" uri="{02D57815-91ED-43cb-92C2-25804820EDAC}">
                        <c15:fullRef>
                          <c15:sqref>Model!$G$1114:$AI$1115</c15:sqref>
                        </c15:fullRef>
                        <c15:formulaRef>
                          <c15:sqref>Model!$R$1114:$AI$1115</c15:sqref>
                        </c15:formulaRef>
                      </c:ext>
                    </c:extLst>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Model!$G$1199:$AI$1199</c15:sqref>
                        </c15:fullRef>
                        <c15:formulaRef>
                          <c15:sqref>Model!$R$1199:$AA$1199</c15:sqref>
                        </c15:formulaRef>
                      </c:ext>
                    </c:extLst>
                    <c:numCache>
                      <c:formatCode>0%</c:formatCode>
                      <c:ptCount val="10"/>
                      <c:pt idx="0">
                        <c:v>0.49815063488742112</c:v>
                      </c:pt>
                      <c:pt idx="1">
                        <c:v>0.43675036770949632</c:v>
                      </c:pt>
                      <c:pt idx="2">
                        <c:v>0.43852579667890262</c:v>
                      </c:pt>
                      <c:pt idx="3">
                        <c:v>0.43953092781249592</c:v>
                      </c:pt>
                      <c:pt idx="4" formatCode="0.00%">
                        <c:v>0.44115816927862772</c:v>
                      </c:pt>
                      <c:pt idx="5">
                        <c:v>0.49982727721998166</c:v>
                      </c:pt>
                      <c:pt idx="6">
                        <c:v>0.51665521829159844</c:v>
                      </c:pt>
                      <c:pt idx="7">
                        <c:v>0.52923777596261112</c:v>
                      </c:pt>
                      <c:pt idx="8">
                        <c:v>0.53907955778564443</c:v>
                      </c:pt>
                      <c:pt idx="9">
                        <c:v>0.5470054643135196</c:v>
                      </c:pt>
                    </c:numCache>
                  </c:numRef>
                </c:val>
                <c:smooth val="0"/>
                <c:extLst xmlns:c15="http://schemas.microsoft.com/office/drawing/2012/chart">
                  <c:ext xmlns:c16="http://schemas.microsoft.com/office/drawing/2014/chart" uri="{C3380CC4-5D6E-409C-BE32-E72D297353CC}">
                    <c16:uniqueId val="{00000001-41BD-4896-96BC-783FB6C88354}"/>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Model!$D$1200</c15:sqref>
                        </c15:formulaRef>
                      </c:ext>
                    </c:extLst>
                    <c:strCache>
                      <c:ptCount val="1"/>
                      <c:pt idx="0">
                        <c:v>Ghana</c:v>
                      </c:pt>
                    </c:strCache>
                  </c:strRef>
                </c:tx>
                <c:spPr>
                  <a:ln w="28575" cap="rnd" cmpd="sng" algn="ctr">
                    <a:solidFill>
                      <a:schemeClr val="accent6">
                        <a:shade val="95000"/>
                        <a:satMod val="105000"/>
                      </a:schemeClr>
                    </a:solidFill>
                    <a:prstDash val="solid"/>
                    <a:round/>
                  </a:ln>
                  <a:effectLst/>
                </c:spPr>
                <c:marker>
                  <c:symbol val="none"/>
                </c:marker>
                <c:cat>
                  <c:multiLvlStrRef>
                    <c:extLst>
                      <c:ext xmlns:c15="http://schemas.microsoft.com/office/drawing/2012/chart" uri="{02D57815-91ED-43cb-92C2-25804820EDAC}">
                        <c15:fullRef>
                          <c15:sqref>Model!$G$1114:$AI$1115</c15:sqref>
                        </c15:fullRef>
                        <c15:formulaRef>
                          <c15:sqref>Model!$R$1114:$AI$1115</c15:sqref>
                        </c15:formulaRef>
                      </c:ext>
                    </c:extLst>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Model!$G$1200:$AI$1200</c15:sqref>
                        </c15:fullRef>
                        <c15:formulaRef>
                          <c15:sqref>Model!$R$1200:$AA$1200</c15:sqref>
                        </c15:formulaRef>
                      </c:ext>
                    </c:extLst>
                    <c:numCache>
                      <c:formatCode>0%</c:formatCode>
                      <c:ptCount val="10"/>
                      <c:pt idx="0">
                        <c:v>0.60132682240994861</c:v>
                      </c:pt>
                      <c:pt idx="1">
                        <c:v>0.45860718081540702</c:v>
                      </c:pt>
                      <c:pt idx="2">
                        <c:v>0.45763675962482708</c:v>
                      </c:pt>
                      <c:pt idx="3">
                        <c:v>0.46312877563212507</c:v>
                      </c:pt>
                      <c:pt idx="4">
                        <c:v>0.46722955717544978</c:v>
                      </c:pt>
                      <c:pt idx="5">
                        <c:v>0.47020840333192249</c:v>
                      </c:pt>
                      <c:pt idx="6">
                        <c:v>0.47235299784869816</c:v>
                      </c:pt>
                      <c:pt idx="7">
                        <c:v>0.47432433544784158</c:v>
                      </c:pt>
                      <c:pt idx="8">
                        <c:v>0.47587574985531833</c:v>
                      </c:pt>
                      <c:pt idx="9">
                        <c:v>0.47711461989032833</c:v>
                      </c:pt>
                    </c:numCache>
                  </c:numRef>
                </c:val>
                <c:smooth val="0"/>
                <c:extLst xmlns:c15="http://schemas.microsoft.com/office/drawing/2012/chart">
                  <c:ext xmlns:c16="http://schemas.microsoft.com/office/drawing/2014/chart" uri="{C3380CC4-5D6E-409C-BE32-E72D297353CC}">
                    <c16:uniqueId val="{00000002-41BD-4896-96BC-783FB6C8835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Model!$D$1201</c15:sqref>
                        </c15:formulaRef>
                      </c:ext>
                    </c:extLst>
                    <c:strCache>
                      <c:ptCount val="1"/>
                      <c:pt idx="0">
                        <c:v>South Africa (gold)</c:v>
                      </c:pt>
                    </c:strCache>
                  </c:strRef>
                </c:tx>
                <c:spPr>
                  <a:ln w="28575" cap="rnd" cmpd="sng" algn="ctr">
                    <a:solidFill>
                      <a:schemeClr val="accent2">
                        <a:lumMod val="60000"/>
                        <a:shade val="95000"/>
                        <a:satMod val="105000"/>
                      </a:schemeClr>
                    </a:solidFill>
                    <a:prstDash val="solid"/>
                    <a:round/>
                  </a:ln>
                  <a:effectLst/>
                </c:spPr>
                <c:marker>
                  <c:symbol val="none"/>
                </c:marker>
                <c:cat>
                  <c:multiLvlStrRef>
                    <c:extLst>
                      <c:ext xmlns:c15="http://schemas.microsoft.com/office/drawing/2012/chart" uri="{02D57815-91ED-43cb-92C2-25804820EDAC}">
                        <c15:fullRef>
                          <c15:sqref>Model!$G$1114:$AI$1115</c15:sqref>
                        </c15:fullRef>
                        <c15:formulaRef>
                          <c15:sqref>Model!$R$1114:$AI$1115</c15:sqref>
                        </c15:formulaRef>
                      </c:ext>
                    </c:extLst>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Model!$G$1201:$AI$1201</c15:sqref>
                        </c15:fullRef>
                        <c15:formulaRef>
                          <c15:sqref>Model!$R$1201:$AA$1201</c15:sqref>
                        </c15:formulaRef>
                      </c:ext>
                    </c:extLst>
                    <c:numCache>
                      <c:formatCode>0%</c:formatCode>
                      <c:ptCount val="10"/>
                      <c:pt idx="0">
                        <c:v>0.45711725208092391</c:v>
                      </c:pt>
                      <c:pt idx="1">
                        <c:v>0.40896562815728715</c:v>
                      </c:pt>
                      <c:pt idx="2">
                        <c:v>0.42905898488088146</c:v>
                      </c:pt>
                      <c:pt idx="3">
                        <c:v>0.44447810135611049</c:v>
                      </c:pt>
                      <c:pt idx="4">
                        <c:v>0.45500296741377666</c:v>
                      </c:pt>
                      <c:pt idx="5">
                        <c:v>0.46435247436401289</c:v>
                      </c:pt>
                      <c:pt idx="6">
                        <c:v>0.4679944827173787</c:v>
                      </c:pt>
                      <c:pt idx="7">
                        <c:v>0.46893208893169658</c:v>
                      </c:pt>
                      <c:pt idx="8">
                        <c:v>0.47151969128501942</c:v>
                      </c:pt>
                      <c:pt idx="9">
                        <c:v>0.47358600122941857</c:v>
                      </c:pt>
                    </c:numCache>
                  </c:numRef>
                </c:val>
                <c:smooth val="0"/>
                <c:extLst xmlns:c15="http://schemas.microsoft.com/office/drawing/2012/chart">
                  <c:ext xmlns:c16="http://schemas.microsoft.com/office/drawing/2014/chart" uri="{C3380CC4-5D6E-409C-BE32-E72D297353CC}">
                    <c16:uniqueId val="{00000003-41BD-4896-96BC-783FB6C88354}"/>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Model!$D$1202</c15:sqref>
                        </c15:formulaRef>
                      </c:ext>
                    </c:extLst>
                    <c:strCache>
                      <c:ptCount val="1"/>
                      <c:pt idx="0">
                        <c:v>Indonesia</c:v>
                      </c:pt>
                    </c:strCache>
                  </c:strRef>
                </c:tx>
                <c:spPr>
                  <a:ln w="28575" cap="rnd" cmpd="sng" algn="ctr">
                    <a:solidFill>
                      <a:schemeClr val="accent3">
                        <a:lumMod val="60000"/>
                        <a:shade val="95000"/>
                        <a:satMod val="105000"/>
                      </a:schemeClr>
                    </a:solidFill>
                    <a:prstDash val="solid"/>
                    <a:round/>
                  </a:ln>
                  <a:effectLst/>
                </c:spPr>
                <c:marker>
                  <c:symbol val="none"/>
                </c:marker>
                <c:cat>
                  <c:multiLvlStrRef>
                    <c:extLst>
                      <c:ext xmlns:c15="http://schemas.microsoft.com/office/drawing/2012/chart" uri="{02D57815-91ED-43cb-92C2-25804820EDAC}">
                        <c15:fullRef>
                          <c15:sqref>Model!$G$1114:$AI$1115</c15:sqref>
                        </c15:fullRef>
                        <c15:formulaRef>
                          <c15:sqref>Model!$R$1114:$AI$1115</c15:sqref>
                        </c15:formulaRef>
                      </c:ext>
                    </c:extLst>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Model!$G$1202:$AI$1202</c15:sqref>
                        </c15:fullRef>
                        <c15:formulaRef>
                          <c15:sqref>Model!$R$1202:$AA$1202</c15:sqref>
                        </c15:formulaRef>
                      </c:ext>
                    </c:extLst>
                    <c:numCache>
                      <c:formatCode>0%</c:formatCode>
                      <c:ptCount val="10"/>
                      <c:pt idx="0">
                        <c:v>0.59678430397595639</c:v>
                      </c:pt>
                      <c:pt idx="1">
                        <c:v>0.47179392705041606</c:v>
                      </c:pt>
                      <c:pt idx="2">
                        <c:v>0.44841521071688967</c:v>
                      </c:pt>
                      <c:pt idx="3">
                        <c:v>0.43841800572777645</c:v>
                      </c:pt>
                      <c:pt idx="4">
                        <c:v>0.43380780863897794</c:v>
                      </c:pt>
                      <c:pt idx="5">
                        <c:v>0.43123964260046621</c:v>
                      </c:pt>
                      <c:pt idx="6">
                        <c:v>0.4294129022389076</c:v>
                      </c:pt>
                      <c:pt idx="7">
                        <c:v>0.4283083950882583</c:v>
                      </c:pt>
                      <c:pt idx="8">
                        <c:v>0.42746470471215398</c:v>
                      </c:pt>
                      <c:pt idx="9">
                        <c:v>0.42679098225557199</c:v>
                      </c:pt>
                    </c:numCache>
                  </c:numRef>
                </c:val>
                <c:smooth val="0"/>
                <c:extLst xmlns:c15="http://schemas.microsoft.com/office/drawing/2012/chart">
                  <c:ext xmlns:c16="http://schemas.microsoft.com/office/drawing/2014/chart" uri="{C3380CC4-5D6E-409C-BE32-E72D297353CC}">
                    <c16:uniqueId val="{00000004-41BD-4896-96BC-783FB6C8835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Model!$D$1203</c15:sqref>
                        </c15:formulaRef>
                      </c:ext>
                    </c:extLst>
                    <c:strCache>
                      <c:ptCount val="1"/>
                      <c:pt idx="0">
                        <c:v>Peru</c:v>
                      </c:pt>
                    </c:strCache>
                  </c:strRef>
                </c:tx>
                <c:spPr>
                  <a:ln w="28575" cap="rnd" cmpd="sng" algn="ctr">
                    <a:solidFill>
                      <a:schemeClr val="accent4">
                        <a:lumMod val="60000"/>
                        <a:shade val="95000"/>
                        <a:satMod val="105000"/>
                      </a:schemeClr>
                    </a:solidFill>
                    <a:prstDash val="solid"/>
                    <a:round/>
                  </a:ln>
                  <a:effectLst/>
                </c:spPr>
                <c:marker>
                  <c:symbol val="none"/>
                </c:marker>
                <c:cat>
                  <c:multiLvlStrRef>
                    <c:extLst>
                      <c:ext xmlns:c15="http://schemas.microsoft.com/office/drawing/2012/chart" uri="{02D57815-91ED-43cb-92C2-25804820EDAC}">
                        <c15:fullRef>
                          <c15:sqref>Model!$G$1114:$AI$1115</c15:sqref>
                        </c15:fullRef>
                        <c15:formulaRef>
                          <c15:sqref>Model!$R$1114:$AI$1115</c15:sqref>
                        </c15:formulaRef>
                      </c:ext>
                    </c:extLst>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Model!$G$1203:$AI$1203</c15:sqref>
                        </c15:fullRef>
                        <c15:formulaRef>
                          <c15:sqref>Model!$R$1203:$AA$1203</c15:sqref>
                        </c15:formulaRef>
                      </c:ext>
                    </c:extLst>
                    <c:numCache>
                      <c:formatCode>0%</c:formatCode>
                      <c:ptCount val="10"/>
                      <c:pt idx="0">
                        <c:v>0.22961349695411487</c:v>
                      </c:pt>
                      <c:pt idx="1">
                        <c:v>0.30134646407678994</c:v>
                      </c:pt>
                      <c:pt idx="2">
                        <c:v>0.33085574225815545</c:v>
                      </c:pt>
                      <c:pt idx="3">
                        <c:v>0.34633068009122203</c:v>
                      </c:pt>
                      <c:pt idx="4">
                        <c:v>0.35668082639443238</c:v>
                      </c:pt>
                      <c:pt idx="5">
                        <c:v>0.36406414490534106</c:v>
                      </c:pt>
                      <c:pt idx="6">
                        <c:v>0.36988504935536004</c:v>
                      </c:pt>
                      <c:pt idx="7">
                        <c:v>0.37449565232933646</c:v>
                      </c:pt>
                      <c:pt idx="8">
                        <c:v>0.37824309285864743</c:v>
                      </c:pt>
                      <c:pt idx="9">
                        <c:v>0.38131576786534394</c:v>
                      </c:pt>
                    </c:numCache>
                  </c:numRef>
                </c:val>
                <c:smooth val="0"/>
                <c:extLst xmlns:c15="http://schemas.microsoft.com/office/drawing/2012/chart">
                  <c:ext xmlns:c16="http://schemas.microsoft.com/office/drawing/2014/chart" uri="{C3380CC4-5D6E-409C-BE32-E72D297353CC}">
                    <c16:uniqueId val="{00000005-41BD-4896-96BC-783FB6C8835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Model!$D$1204</c15:sqref>
                        </c15:formulaRef>
                      </c:ext>
                    </c:extLst>
                    <c:strCache>
                      <c:ptCount val="1"/>
                      <c:pt idx="0">
                        <c:v>Western Australia</c:v>
                      </c:pt>
                    </c:strCache>
                  </c:strRef>
                </c:tx>
                <c:spPr>
                  <a:ln w="28575" cap="rnd" cmpd="sng" algn="ctr">
                    <a:solidFill>
                      <a:schemeClr val="accent5">
                        <a:lumMod val="60000"/>
                        <a:shade val="95000"/>
                        <a:satMod val="105000"/>
                      </a:schemeClr>
                    </a:solidFill>
                    <a:prstDash val="solid"/>
                    <a:round/>
                  </a:ln>
                  <a:effectLst/>
                </c:spPr>
                <c:marker>
                  <c:symbol val="none"/>
                </c:marker>
                <c:cat>
                  <c:multiLvlStrRef>
                    <c:extLst>
                      <c:ext xmlns:c15="http://schemas.microsoft.com/office/drawing/2012/chart" uri="{02D57815-91ED-43cb-92C2-25804820EDAC}">
                        <c15:fullRef>
                          <c15:sqref>Model!$G$1114:$AI$1115</c15:sqref>
                        </c15:fullRef>
                        <c15:formulaRef>
                          <c15:sqref>Model!$R$1114:$AI$1115</c15:sqref>
                        </c15:formulaRef>
                      </c:ext>
                    </c:extLst>
                    <c:multiLvlStrCache>
                      <c:ptCount val="10"/>
                      <c:lvl>
                        <c:pt idx="0">
                          <c:v>8%</c:v>
                        </c:pt>
                        <c:pt idx="1">
                          <c:v>19%</c:v>
                        </c:pt>
                        <c:pt idx="2">
                          <c:v>27%</c:v>
                        </c:pt>
                        <c:pt idx="3">
                          <c:v>35%</c:v>
                        </c:pt>
                        <c:pt idx="4">
                          <c:v>42%</c:v>
                        </c:pt>
                        <c:pt idx="5">
                          <c:v>48%</c:v>
                        </c:pt>
                        <c:pt idx="6">
                          <c:v>54%</c:v>
                        </c:pt>
                        <c:pt idx="7">
                          <c:v>59%</c:v>
                        </c:pt>
                        <c:pt idx="8">
                          <c:v>64%</c:v>
                        </c:pt>
                        <c:pt idx="9">
                          <c:v>69%</c:v>
                        </c:pt>
                      </c:lvl>
                      <c:lvl>
                        <c:pt idx="0">
                          <c:v>960 </c:v>
                        </c:pt>
                        <c:pt idx="1">
                          <c:v>1,120 </c:v>
                        </c:pt>
                        <c:pt idx="2">
                          <c:v>1,280 </c:v>
                        </c:pt>
                        <c:pt idx="3">
                          <c:v>1,440 </c:v>
                        </c:pt>
                        <c:pt idx="4">
                          <c:v>1,600 </c:v>
                        </c:pt>
                        <c:pt idx="5">
                          <c:v>1,760 </c:v>
                        </c:pt>
                        <c:pt idx="6">
                          <c:v>1,920 </c:v>
                        </c:pt>
                        <c:pt idx="7">
                          <c:v>2,080 </c:v>
                        </c:pt>
                        <c:pt idx="8">
                          <c:v>2,240 </c:v>
                        </c:pt>
                        <c:pt idx="9">
                          <c:v>2,400 </c:v>
                        </c:pt>
                      </c:lvl>
                    </c:multiLvlStrCache>
                  </c:multiLvlStrRef>
                </c:cat>
                <c:val>
                  <c:numRef>
                    <c:extLst>
                      <c:ext xmlns:c15="http://schemas.microsoft.com/office/drawing/2012/chart" uri="{02D57815-91ED-43cb-92C2-25804820EDAC}">
                        <c15:fullRef>
                          <c15:sqref>Model!$G$1204:$AI$1204</c15:sqref>
                        </c15:fullRef>
                        <c15:formulaRef>
                          <c15:sqref>Model!$R$1204:$AA$1204</c15:sqref>
                        </c15:formulaRef>
                      </c:ext>
                    </c:extLst>
                    <c:numCache>
                      <c:formatCode>0%</c:formatCode>
                      <c:ptCount val="10"/>
                      <c:pt idx="0">
                        <c:v>0.42297649685647892</c:v>
                      </c:pt>
                      <c:pt idx="1">
                        <c:v>0.36187355404815902</c:v>
                      </c:pt>
                      <c:pt idx="2">
                        <c:v>0.3469726474814957</c:v>
                      </c:pt>
                      <c:pt idx="3">
                        <c:v>0.33870805627145872</c:v>
                      </c:pt>
                      <c:pt idx="4">
                        <c:v>0.33395713770778668</c:v>
                      </c:pt>
                      <c:pt idx="5">
                        <c:v>0.33092541888988186</c:v>
                      </c:pt>
                      <c:pt idx="6">
                        <c:v>0.32896170956124399</c:v>
                      </c:pt>
                      <c:pt idx="7">
                        <c:v>0.32751591915507478</c:v>
                      </c:pt>
                      <c:pt idx="8">
                        <c:v>0.32639401949519214</c:v>
                      </c:pt>
                      <c:pt idx="9">
                        <c:v>0.32549813515621884</c:v>
                      </c:pt>
                    </c:numCache>
                  </c:numRef>
                </c:val>
                <c:smooth val="0"/>
                <c:extLst xmlns:c15="http://schemas.microsoft.com/office/drawing/2012/chart">
                  <c:ext xmlns:c16="http://schemas.microsoft.com/office/drawing/2014/chart" uri="{C3380CC4-5D6E-409C-BE32-E72D297353CC}">
                    <c16:uniqueId val="{00000006-41BD-4896-96BC-783FB6C88354}"/>
                  </c:ext>
                </c:extLst>
              </c15:ser>
            </c15:filteredLineSeries>
          </c:ext>
        </c:extLst>
      </c:lineChart>
      <c:catAx>
        <c:axId val="575781760"/>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r>
                  <a:rPr lang="en-US" b="0"/>
                  <a:t>Pre-tax IRR and Price (USD/ounce) </a:t>
                </a:r>
              </a:p>
            </c:rich>
          </c:tx>
          <c:layout>
            <c:manualLayout>
              <c:xMode val="edge"/>
              <c:yMode val="edge"/>
              <c:x val="0.28446839988702233"/>
              <c:y val="0.92327781099242845"/>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5776272"/>
        <c:crosses val="autoZero"/>
        <c:auto val="1"/>
        <c:lblAlgn val="ctr"/>
        <c:lblOffset val="100"/>
        <c:noMultiLvlLbl val="0"/>
      </c:catAx>
      <c:valAx>
        <c:axId val="575776272"/>
        <c:scaling>
          <c:orientation val="minMax"/>
          <c:max val="0.60000000000000009"/>
        </c:scaling>
        <c:delete val="0"/>
        <c:axPos val="l"/>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5781760"/>
        <c:crosses val="autoZero"/>
        <c:crossBetween val="between"/>
      </c:valAx>
      <c:spPr>
        <a:solidFill>
          <a:schemeClr val="bg1"/>
        </a:solidFill>
        <a:ln>
          <a:noFill/>
        </a:ln>
        <a:effectLst/>
      </c:spPr>
    </c:plotArea>
    <c:legend>
      <c:legendPos val="b"/>
      <c:layout>
        <c:manualLayout>
          <c:xMode val="edge"/>
          <c:yMode val="edge"/>
          <c:x val="0.7877925699114583"/>
          <c:y val="0.1054355295346472"/>
          <c:w val="0.21050742035753367"/>
          <c:h val="0.8039253572575170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50000"/>
          <a:lumOff val="50000"/>
        </a:schemeClr>
      </a:solidFill>
      <a:prstDash val="solid"/>
      <a:round/>
    </a:ln>
    <a:effectLst/>
  </c:spPr>
  <c:txPr>
    <a:bodyPr/>
    <a:lstStyle/>
    <a:p>
      <a:pPr>
        <a:defRPr sz="1100">
          <a:solidFill>
            <a:schemeClr val="tx1">
              <a:lumMod val="75000"/>
              <a:lumOff val="25000"/>
            </a:schemeClr>
          </a:solidFill>
        </a:defRPr>
      </a:pPr>
      <a:endParaRPr lang="en-US"/>
    </a:p>
  </c:txPr>
  <c:printSettings>
    <c:headerFooter/>
    <c:pageMargins b="0.75000000000000133" l="0.70000000000000062" r="0.70000000000000062" t="0.750000000000001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Share of benefits</a:t>
            </a:r>
          </a:p>
        </c:rich>
      </c:tx>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0.20731619888446948"/>
          <c:y val="0.14504472222222223"/>
          <c:w val="0.76510708773832159"/>
          <c:h val="0.73565066445317562"/>
        </c:manualLayout>
      </c:layout>
      <c:barChart>
        <c:barDir val="bar"/>
        <c:grouping val="clustered"/>
        <c:varyColors val="0"/>
        <c:ser>
          <c:idx val="2"/>
          <c:order val="0"/>
          <c:spPr>
            <a:solidFill>
              <a:srgbClr val="00545A"/>
            </a:solidFill>
            <a:ln w="19050">
              <a:noFill/>
            </a:ln>
            <a:effectLst/>
          </c:spPr>
          <c:invertIfNegative val="0"/>
          <c:cat>
            <c:strRef>
              <c:f>Model!$D$960:$D$964</c:f>
              <c:strCache>
                <c:ptCount val="5"/>
                <c:pt idx="0">
                  <c:v>Costs</c:v>
                </c:pt>
                <c:pt idx="1">
                  <c:v>Lender</c:v>
                </c:pt>
                <c:pt idx="2">
                  <c:v>Contractor</c:v>
                </c:pt>
                <c:pt idx="3">
                  <c:v>State Shareholder</c:v>
                </c:pt>
                <c:pt idx="4">
                  <c:v>Government</c:v>
                </c:pt>
              </c:strCache>
            </c:strRef>
          </c:cat>
          <c:val>
            <c:numRef>
              <c:f>Model!$G$960:$G$964</c:f>
              <c:numCache>
                <c:formatCode>0%</c:formatCode>
                <c:ptCount val="5"/>
                <c:pt idx="0">
                  <c:v>7.8164612445547066E-2</c:v>
                </c:pt>
                <c:pt idx="1">
                  <c:v>6.2305587999910853E-3</c:v>
                </c:pt>
                <c:pt idx="2">
                  <c:v>0.3863456003293757</c:v>
                </c:pt>
                <c:pt idx="3">
                  <c:v>8.2261765315568128E-2</c:v>
                </c:pt>
                <c:pt idx="4">
                  <c:v>0.44699746310951805</c:v>
                </c:pt>
              </c:numCache>
            </c:numRef>
          </c:val>
          <c:extLst>
            <c:ext xmlns:c16="http://schemas.microsoft.com/office/drawing/2014/chart" uri="{C3380CC4-5D6E-409C-BE32-E72D297353CC}">
              <c16:uniqueId val="{00000005-C941-4BA7-8BC7-4C66BACB57CF}"/>
            </c:ext>
          </c:extLst>
        </c:ser>
        <c:dLbls>
          <c:showLegendKey val="0"/>
          <c:showVal val="0"/>
          <c:showCatName val="0"/>
          <c:showSerName val="0"/>
          <c:showPercent val="0"/>
          <c:showBubbleSize val="0"/>
        </c:dLbls>
        <c:gapWidth val="100"/>
        <c:axId val="575777448"/>
        <c:axId val="575774704"/>
      </c:barChart>
      <c:valAx>
        <c:axId val="57577470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5777448"/>
        <c:crosses val="autoZero"/>
        <c:crossBetween val="between"/>
      </c:valAx>
      <c:catAx>
        <c:axId val="5757774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577470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sz="1100">
          <a:solidFill>
            <a:schemeClr val="tx1">
              <a:lumMod val="75000"/>
              <a:lumOff val="25000"/>
            </a:schemeClr>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Change in NPV of government revenue from price change of +/-20%</a:t>
            </a:r>
          </a:p>
        </c:rich>
      </c:tx>
      <c:layout>
        <c:manualLayout>
          <c:xMode val="edge"/>
          <c:yMode val="edge"/>
          <c:x val="0.13720570483680808"/>
          <c:y val="1.7896486275108255E-2"/>
        </c:manualLayout>
      </c:layout>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3.2673799797703157E-2"/>
          <c:y val="0.11243027777777778"/>
          <c:w val="0.93766755040619287"/>
          <c:h val="0.74924888888888885"/>
        </c:manualLayout>
      </c:layout>
      <c:barChart>
        <c:barDir val="bar"/>
        <c:grouping val="clustered"/>
        <c:varyColors val="0"/>
        <c:ser>
          <c:idx val="0"/>
          <c:order val="0"/>
          <c:tx>
            <c:strRef>
              <c:f>Results!$C$235</c:f>
              <c:strCache>
                <c:ptCount val="1"/>
                <c:pt idx="0">
                  <c:v>Minus 20% ($mm)</c:v>
                </c:pt>
              </c:strCache>
            </c:strRef>
          </c:tx>
          <c:spPr>
            <a:solidFill>
              <a:srgbClr val="00C9C8"/>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Results!$B$236:$B$246</c:f>
              <c:strCache>
                <c:ptCount val="11"/>
                <c:pt idx="0">
                  <c:v>Peru</c:v>
                </c:pt>
                <c:pt idx="1">
                  <c:v>South Africa (gold)</c:v>
                </c:pt>
                <c:pt idx="2">
                  <c:v>Western Australia</c:v>
                </c:pt>
                <c:pt idx="3">
                  <c:v>DRC</c:v>
                </c:pt>
                <c:pt idx="4">
                  <c:v>Indonesia</c:v>
                </c:pt>
                <c:pt idx="5">
                  <c:v>Burkina Faso</c:v>
                </c:pt>
                <c:pt idx="6">
                  <c:v>Tanzania w 50/50 sharing</c:v>
                </c:pt>
                <c:pt idx="7">
                  <c:v>Ghana</c:v>
                </c:pt>
                <c:pt idx="8">
                  <c:v>Ecuador</c:v>
                </c:pt>
                <c:pt idx="9">
                  <c:v>Tanzania w/o sharing</c:v>
                </c:pt>
                <c:pt idx="10">
                  <c:v>Philippines FTAA</c:v>
                </c:pt>
              </c:strCache>
            </c:strRef>
          </c:cat>
          <c:val>
            <c:numRef>
              <c:f>Results!$C$236:$C$246</c:f>
              <c:numCache>
                <c:formatCode>_(* #,##0_);_(* \(#,##0\);_(* "-"??_);_(@_)</c:formatCode>
                <c:ptCount val="11"/>
                <c:pt idx="0">
                  <c:v>-14.539788391694064</c:v>
                </c:pt>
                <c:pt idx="1">
                  <c:v>-24.623907506509525</c:v>
                </c:pt>
                <c:pt idx="2">
                  <c:v>-35.763979782055998</c:v>
                </c:pt>
                <c:pt idx="3">
                  <c:v>-53.7659672488507</c:v>
                </c:pt>
                <c:pt idx="4">
                  <c:v>-54.62505194261432</c:v>
                </c:pt>
                <c:pt idx="5">
                  <c:v>-57.085296133555403</c:v>
                </c:pt>
                <c:pt idx="6">
                  <c:v>-61.706423554331607</c:v>
                </c:pt>
                <c:pt idx="7">
                  <c:v>-71.371306400987166</c:v>
                </c:pt>
                <c:pt idx="8">
                  <c:v>-72.70285828754848</c:v>
                </c:pt>
                <c:pt idx="9">
                  <c:v>-99.82583706350718</c:v>
                </c:pt>
                <c:pt idx="10">
                  <c:v>-100.6091028791314</c:v>
                </c:pt>
              </c:numCache>
            </c:numRef>
          </c:val>
          <c:extLst>
            <c:ext xmlns:c16="http://schemas.microsoft.com/office/drawing/2014/chart" uri="{C3380CC4-5D6E-409C-BE32-E72D297353CC}">
              <c16:uniqueId val="{00000000-7853-494F-823F-5D24E8F5ABD3}"/>
            </c:ext>
          </c:extLst>
        </c:ser>
        <c:ser>
          <c:idx val="1"/>
          <c:order val="1"/>
          <c:tx>
            <c:strRef>
              <c:f>Results!$D$235</c:f>
              <c:strCache>
                <c:ptCount val="1"/>
                <c:pt idx="0">
                  <c:v>Plus 20% ($mm)</c:v>
                </c:pt>
              </c:strCache>
            </c:strRef>
          </c:tx>
          <c:spPr>
            <a:solidFill>
              <a:srgbClr val="FF7D5F"/>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Results!$B$236:$B$246</c:f>
              <c:strCache>
                <c:ptCount val="11"/>
                <c:pt idx="0">
                  <c:v>Peru</c:v>
                </c:pt>
                <c:pt idx="1">
                  <c:v>South Africa (gold)</c:v>
                </c:pt>
                <c:pt idx="2">
                  <c:v>Western Australia</c:v>
                </c:pt>
                <c:pt idx="3">
                  <c:v>DRC</c:v>
                </c:pt>
                <c:pt idx="4">
                  <c:v>Indonesia</c:v>
                </c:pt>
                <c:pt idx="5">
                  <c:v>Burkina Faso</c:v>
                </c:pt>
                <c:pt idx="6">
                  <c:v>Tanzania w 50/50 sharing</c:v>
                </c:pt>
                <c:pt idx="7">
                  <c:v>Ghana</c:v>
                </c:pt>
                <c:pt idx="8">
                  <c:v>Ecuador</c:v>
                </c:pt>
                <c:pt idx="9">
                  <c:v>Tanzania w/o sharing</c:v>
                </c:pt>
                <c:pt idx="10">
                  <c:v>Philippines FTAA</c:v>
                </c:pt>
              </c:strCache>
            </c:strRef>
          </c:cat>
          <c:val>
            <c:numRef>
              <c:f>Results!$D$236:$D$246</c:f>
              <c:numCache>
                <c:formatCode>_(* #,##0_);_(* \(#,##0\);_(* "-"??_);_(@_)</c:formatCode>
                <c:ptCount val="11"/>
                <c:pt idx="0">
                  <c:v>463.07996613946494</c:v>
                </c:pt>
                <c:pt idx="1">
                  <c:v>518.0661155837596</c:v>
                </c:pt>
                <c:pt idx="2">
                  <c:v>365.64997402941191</c:v>
                </c:pt>
                <c:pt idx="3">
                  <c:v>423.9912433490403</c:v>
                </c:pt>
                <c:pt idx="4">
                  <c:v>458.26407837119177</c:v>
                </c:pt>
                <c:pt idx="5">
                  <c:v>392.63728475987193</c:v>
                </c:pt>
                <c:pt idx="6">
                  <c:v>377.21655792534801</c:v>
                </c:pt>
                <c:pt idx="7">
                  <c:v>432.82563769075119</c:v>
                </c:pt>
                <c:pt idx="8">
                  <c:v>525.0520623079417</c:v>
                </c:pt>
                <c:pt idx="9">
                  <c:v>401.10375354711334</c:v>
                </c:pt>
                <c:pt idx="10">
                  <c:v>483.25228149239717</c:v>
                </c:pt>
              </c:numCache>
            </c:numRef>
          </c:val>
          <c:extLst>
            <c:ext xmlns:c16="http://schemas.microsoft.com/office/drawing/2014/chart" uri="{C3380CC4-5D6E-409C-BE32-E72D297353CC}">
              <c16:uniqueId val="{00000001-7853-494F-823F-5D24E8F5ABD3}"/>
            </c:ext>
          </c:extLst>
        </c:ser>
        <c:dLbls>
          <c:dLblPos val="outEnd"/>
          <c:showLegendKey val="0"/>
          <c:showVal val="1"/>
          <c:showCatName val="0"/>
          <c:showSerName val="0"/>
          <c:showPercent val="0"/>
          <c:showBubbleSize val="0"/>
        </c:dLbls>
        <c:gapWidth val="80"/>
        <c:axId val="575779408"/>
        <c:axId val="575775488"/>
      </c:barChart>
      <c:catAx>
        <c:axId val="575779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5775488"/>
        <c:crosses val="autoZero"/>
        <c:auto val="1"/>
        <c:lblAlgn val="ctr"/>
        <c:lblOffset val="100"/>
        <c:noMultiLvlLbl val="0"/>
      </c:catAx>
      <c:valAx>
        <c:axId val="57577548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5779408"/>
        <c:crosses val="autoZero"/>
        <c:crossBetween val="between"/>
      </c:valAx>
      <c:spPr>
        <a:noFill/>
        <a:ln>
          <a:noFill/>
        </a:ln>
        <a:effectLst/>
      </c:spPr>
    </c:plotArea>
    <c:legend>
      <c:legendPos val="b"/>
      <c:layout>
        <c:manualLayout>
          <c:xMode val="edge"/>
          <c:yMode val="edge"/>
          <c:x val="0.20219163858788364"/>
          <c:y val="0.9319291666666667"/>
          <c:w val="0.48875677708720822"/>
          <c:h val="6.807083333333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sz="1100">
          <a:solidFill>
            <a:schemeClr val="tx1">
              <a:lumMod val="75000"/>
              <a:lumOff val="25000"/>
            </a:schemeClr>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Coefficient of variation in government revenue with price change </a:t>
            </a:r>
          </a:p>
        </c:rich>
      </c:tx>
      <c:layout>
        <c:manualLayout>
          <c:xMode val="edge"/>
          <c:yMode val="edge"/>
          <c:x val="0.13638066799004114"/>
          <c:y val="2.4733695445021502E-2"/>
        </c:manualLayout>
      </c:layout>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0.31881950975569701"/>
          <c:y val="0.125859649122807"/>
          <c:w val="0.64776574728793868"/>
          <c:h val="0.77970741815167843"/>
        </c:manualLayout>
      </c:layout>
      <c:barChart>
        <c:barDir val="bar"/>
        <c:grouping val="clustered"/>
        <c:varyColors val="0"/>
        <c:ser>
          <c:idx val="0"/>
          <c:order val="0"/>
          <c:tx>
            <c:strRef>
              <c:f>Results!$C$221</c:f>
              <c:strCache>
                <c:ptCount val="1"/>
                <c:pt idx="0">
                  <c:v>Coefficient of variation</c:v>
                </c:pt>
              </c:strCache>
            </c:strRef>
          </c:tx>
          <c:spPr>
            <a:solidFill>
              <a:srgbClr val="00545A"/>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Results!$B$222:$B$232</c:f>
              <c:strCache>
                <c:ptCount val="11"/>
                <c:pt idx="0">
                  <c:v>Burkina Faso</c:v>
                </c:pt>
                <c:pt idx="1">
                  <c:v>Indonesia</c:v>
                </c:pt>
                <c:pt idx="2">
                  <c:v>Tanzania w/o sharing</c:v>
                </c:pt>
                <c:pt idx="3">
                  <c:v>Western Australia</c:v>
                </c:pt>
                <c:pt idx="4">
                  <c:v>Ghana</c:v>
                </c:pt>
                <c:pt idx="5">
                  <c:v>Tanzania w 50/50 sharing</c:v>
                </c:pt>
                <c:pt idx="6">
                  <c:v>Ecuador</c:v>
                </c:pt>
                <c:pt idx="7">
                  <c:v>DRC</c:v>
                </c:pt>
                <c:pt idx="8">
                  <c:v>Philippines FTAA</c:v>
                </c:pt>
                <c:pt idx="9">
                  <c:v>Peru</c:v>
                </c:pt>
                <c:pt idx="10">
                  <c:v>South Africa (gold)</c:v>
                </c:pt>
              </c:strCache>
            </c:strRef>
          </c:cat>
          <c:val>
            <c:numRef>
              <c:f>Results!$C$222:$C$232</c:f>
              <c:numCache>
                <c:formatCode>_(* #,##0.00_);_(* \(#,##0.00\);_(* "-"??_);_(@_)</c:formatCode>
                <c:ptCount val="11"/>
                <c:pt idx="0">
                  <c:v>0.96807819226707781</c:v>
                </c:pt>
                <c:pt idx="1">
                  <c:v>0.98683894628488145</c:v>
                </c:pt>
                <c:pt idx="2">
                  <c:v>0.98732847988446104</c:v>
                </c:pt>
                <c:pt idx="3">
                  <c:v>0.98755122742852997</c:v>
                </c:pt>
                <c:pt idx="4">
                  <c:v>1.0063809007605871</c:v>
                </c:pt>
                <c:pt idx="5">
                  <c:v>1.0338010490565204</c:v>
                </c:pt>
                <c:pt idx="6">
                  <c:v>1.0351788477406936</c:v>
                </c:pt>
                <c:pt idx="7">
                  <c:v>1.0715216329446942</c:v>
                </c:pt>
                <c:pt idx="8">
                  <c:v>1.072656368009596</c:v>
                </c:pt>
                <c:pt idx="9">
                  <c:v>1.0924286916324226</c:v>
                </c:pt>
                <c:pt idx="10">
                  <c:v>1.6223813170804939</c:v>
                </c:pt>
              </c:numCache>
            </c:numRef>
          </c:val>
          <c:extLst>
            <c:ext xmlns:c16="http://schemas.microsoft.com/office/drawing/2014/chart" uri="{C3380CC4-5D6E-409C-BE32-E72D297353CC}">
              <c16:uniqueId val="{00000000-0623-4E84-B374-5B6909C89ADA}"/>
            </c:ext>
          </c:extLst>
        </c:ser>
        <c:dLbls>
          <c:dLblPos val="outEnd"/>
          <c:showLegendKey val="0"/>
          <c:showVal val="1"/>
          <c:showCatName val="0"/>
          <c:showSerName val="0"/>
          <c:showPercent val="0"/>
          <c:showBubbleSize val="0"/>
        </c:dLbls>
        <c:gapWidth val="182"/>
        <c:axId val="575776664"/>
        <c:axId val="575777840"/>
      </c:barChart>
      <c:catAx>
        <c:axId val="575776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crossAx val="575777840"/>
        <c:crosses val="autoZero"/>
        <c:auto val="1"/>
        <c:lblAlgn val="ctr"/>
        <c:lblOffset val="100"/>
        <c:noMultiLvlLbl val="0"/>
      </c:catAx>
      <c:valAx>
        <c:axId val="575777840"/>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crossAx val="575776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sz="1050">
          <a:solidFill>
            <a:schemeClr val="tx1">
              <a:lumMod val="75000"/>
              <a:lumOff val="25000"/>
            </a:schemeClr>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Government share of total benefits as opex changes </a:t>
            </a:r>
          </a:p>
        </c:rich>
      </c:tx>
      <c:layout>
        <c:manualLayout>
          <c:xMode val="edge"/>
          <c:yMode val="edge"/>
          <c:x val="0.21864633648715623"/>
          <c:y val="1.3963335518032647E-2"/>
        </c:manualLayout>
      </c:layout>
      <c:overlay val="0"/>
    </c:title>
    <c:autoTitleDeleted val="0"/>
    <c:plotArea>
      <c:layout>
        <c:manualLayout>
          <c:layoutTarget val="inner"/>
          <c:xMode val="edge"/>
          <c:yMode val="edge"/>
          <c:x val="6.3339407971334624E-2"/>
          <c:y val="6.1988125669992573E-2"/>
          <c:w val="0.69999390902605318"/>
          <c:h val="0.68623557465850216"/>
        </c:manualLayout>
      </c:layout>
      <c:lineChart>
        <c:grouping val="standard"/>
        <c:varyColors val="0"/>
        <c:ser>
          <c:idx val="1"/>
          <c:order val="0"/>
          <c:tx>
            <c:strRef>
              <c:f>Model!$D$1208</c:f>
              <c:strCache>
                <c:ptCount val="1"/>
                <c:pt idx="0">
                  <c:v>Tanzania w/o sharing</c:v>
                </c:pt>
              </c:strCache>
            </c:strRef>
          </c:tx>
          <c:spPr>
            <a:ln>
              <a:solidFill>
                <a:srgbClr val="FF7D5F"/>
              </a:solidFill>
            </a:ln>
          </c:spPr>
          <c:marker>
            <c:symbol val="none"/>
          </c:marker>
          <c:cat>
            <c:multiLvlStrRef>
              <c:extLst>
                <c:ext xmlns:c15="http://schemas.microsoft.com/office/drawing/2012/chart" uri="{02D57815-91ED-43cb-92C2-25804820EDAC}">
                  <c15:fullRef>
                    <c15:sqref>Model!$G$1118:$AI$1119</c15:sqref>
                  </c15:fullRef>
                </c:ext>
              </c:extLst>
              <c:f>Model!$J$1118:$AI$1119</c:f>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Model!$G$1208:$AI$1208</c15:sqref>
                  </c15:fullRef>
                </c:ext>
              </c:extLst>
              <c:f>Model!$J$1208:$X$1208</c:f>
              <c:numCache>
                <c:formatCode>0%</c:formatCode>
                <c:ptCount val="15"/>
                <c:pt idx="0">
                  <c:v>0.47732090552803513</c:v>
                </c:pt>
                <c:pt idx="1">
                  <c:v>0.47876175030112689</c:v>
                </c:pt>
                <c:pt idx="2">
                  <c:v>0.48037978606726944</c:v>
                </c:pt>
                <c:pt idx="3">
                  <c:v>0.48228988092579783</c:v>
                </c:pt>
                <c:pt idx="4">
                  <c:v>0.48464657287926577</c:v>
                </c:pt>
                <c:pt idx="5">
                  <c:v>0.48738427653320537</c:v>
                </c:pt>
                <c:pt idx="6">
                  <c:v>0.49057894460794399</c:v>
                </c:pt>
                <c:pt idx="7">
                  <c:v>0.4943408889267713</c:v>
                </c:pt>
                <c:pt idx="8">
                  <c:v>0.49897297408068797</c:v>
                </c:pt>
                <c:pt idx="9">
                  <c:v>0.50489609977968242</c:v>
                </c:pt>
                <c:pt idx="10">
                  <c:v>0.51265760364901747</c:v>
                </c:pt>
                <c:pt idx="11">
                  <c:v>0.52342740849801961</c:v>
                </c:pt>
                <c:pt idx="12">
                  <c:v>0.54027848710865856</c:v>
                </c:pt>
                <c:pt idx="13">
                  <c:v>0.56426934737220535</c:v>
                </c:pt>
                <c:pt idx="14">
                  <c:v>0.61844497565622736</c:v>
                </c:pt>
              </c:numCache>
            </c:numRef>
          </c:val>
          <c:smooth val="0"/>
          <c:extLst xmlns:c15="http://schemas.microsoft.com/office/drawing/2012/chart">
            <c:ext xmlns:c16="http://schemas.microsoft.com/office/drawing/2014/chart" uri="{C3380CC4-5D6E-409C-BE32-E72D297353CC}">
              <c16:uniqueId val="{00000001-71A6-43F4-9BFC-54A19BFBEE71}"/>
            </c:ext>
          </c:extLst>
        </c:ser>
        <c:ser>
          <c:idx val="0"/>
          <c:order val="1"/>
          <c:tx>
            <c:strRef>
              <c:f>Model!$D$1209</c:f>
              <c:strCache>
                <c:ptCount val="1"/>
                <c:pt idx="0">
                  <c:v>Tanzania w 50/50 sharing</c:v>
                </c:pt>
              </c:strCache>
            </c:strRef>
          </c:tx>
          <c:spPr>
            <a:ln>
              <a:solidFill>
                <a:srgbClr val="00545A"/>
              </a:solidFill>
            </a:ln>
          </c:spPr>
          <c:marker>
            <c:symbol val="none"/>
          </c:marker>
          <c:cat>
            <c:multiLvlStrRef>
              <c:extLst>
                <c:ext xmlns:c15="http://schemas.microsoft.com/office/drawing/2012/chart" uri="{02D57815-91ED-43cb-92C2-25804820EDAC}">
                  <c15:fullRef>
                    <c15:sqref>Model!$G$1118:$AI$1119</c15:sqref>
                  </c15:fullRef>
                </c:ext>
              </c:extLst>
              <c:f>Model!$J$1118:$AI$1119</c:f>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Model!$G$1209:$AI$1209</c15:sqref>
                  </c15:fullRef>
                </c:ext>
              </c:extLst>
              <c:f>Model!$J$1209:$X$1209</c:f>
              <c:numCache>
                <c:formatCode>0%</c:formatCode>
                <c:ptCount val="15"/>
                <c:pt idx="0">
                  <c:v>0.44888655715912285</c:v>
                </c:pt>
                <c:pt idx="1">
                  <c:v>0.44628327868186468</c:v>
                </c:pt>
                <c:pt idx="2">
                  <c:v>0.44335985642007808</c:v>
                </c:pt>
                <c:pt idx="3">
                  <c:v>0.44265576601567252</c:v>
                </c:pt>
                <c:pt idx="4">
                  <c:v>0.43937676770855699</c:v>
                </c:pt>
                <c:pt idx="5">
                  <c:v>0.43562895640145988</c:v>
                </c:pt>
                <c:pt idx="6">
                  <c:v>0.43128038821061415</c:v>
                </c:pt>
                <c:pt idx="7">
                  <c:v>0.42615964608095719</c:v>
                </c:pt>
                <c:pt idx="8">
                  <c:v>0.42500858524808721</c:v>
                </c:pt>
                <c:pt idx="9">
                  <c:v>0.41917800831488622</c:v>
                </c:pt>
                <c:pt idx="10">
                  <c:v>0.41794140390595064</c:v>
                </c:pt>
                <c:pt idx="11">
                  <c:v>0.41861802384375335</c:v>
                </c:pt>
                <c:pt idx="12">
                  <c:v>0.42352489707420432</c:v>
                </c:pt>
                <c:pt idx="13">
                  <c:v>0.45496933637267822</c:v>
                </c:pt>
                <c:pt idx="14">
                  <c:v>0.53536891297387068</c:v>
                </c:pt>
              </c:numCache>
            </c:numRef>
          </c:val>
          <c:smooth val="0"/>
          <c:extLst xmlns:c15="http://schemas.microsoft.com/office/drawing/2012/chart">
            <c:ext xmlns:c16="http://schemas.microsoft.com/office/drawing/2014/chart" uri="{C3380CC4-5D6E-409C-BE32-E72D297353CC}">
              <c16:uniqueId val="{00000000-71A6-43F4-9BFC-54A19BFBEE71}"/>
            </c:ext>
          </c:extLst>
        </c:ser>
        <c:ser>
          <c:idx val="2"/>
          <c:order val="2"/>
          <c:tx>
            <c:strRef>
              <c:f>Model!$D$1210</c:f>
              <c:strCache>
                <c:ptCount val="1"/>
                <c:pt idx="0">
                  <c:v>Ecuador</c:v>
                </c:pt>
              </c:strCache>
            </c:strRef>
          </c:tx>
          <c:spPr>
            <a:ln>
              <a:solidFill>
                <a:srgbClr val="00C9C8"/>
              </a:solidFill>
            </a:ln>
          </c:spPr>
          <c:marker>
            <c:symbol val="none"/>
          </c:marker>
          <c:cat>
            <c:multiLvlStrRef>
              <c:extLst>
                <c:ext xmlns:c15="http://schemas.microsoft.com/office/drawing/2012/chart" uri="{02D57815-91ED-43cb-92C2-25804820EDAC}">
                  <c15:fullRef>
                    <c15:sqref>Model!$G$1118:$AI$1119</c15:sqref>
                  </c15:fullRef>
                </c:ext>
              </c:extLst>
              <c:f>Model!$J$1118:$AI$1119</c:f>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Model!$G$1210:$AI$1210</c15:sqref>
                  </c15:fullRef>
                </c:ext>
              </c:extLst>
              <c:f>Model!$J$1210:$X$1210</c:f>
              <c:numCache>
                <c:formatCode>0%</c:formatCode>
                <c:ptCount val="15"/>
                <c:pt idx="0">
                  <c:v>0.49408188161189742</c:v>
                </c:pt>
                <c:pt idx="1">
                  <c:v>0.49360253864733566</c:v>
                </c:pt>
                <c:pt idx="2">
                  <c:v>0.49312477725476045</c:v>
                </c:pt>
                <c:pt idx="3">
                  <c:v>0.49258677765045145</c:v>
                </c:pt>
                <c:pt idx="4">
                  <c:v>0.49200010945048789</c:v>
                </c:pt>
                <c:pt idx="5">
                  <c:v>0.49172147868907362</c:v>
                </c:pt>
                <c:pt idx="6">
                  <c:v>0.49139976649029116</c:v>
                </c:pt>
                <c:pt idx="7">
                  <c:v>0.49147151688704949</c:v>
                </c:pt>
                <c:pt idx="8">
                  <c:v>0.49192462774211737</c:v>
                </c:pt>
                <c:pt idx="9">
                  <c:v>0.49306489664171887</c:v>
                </c:pt>
                <c:pt idx="10">
                  <c:v>0.49607690084073741</c:v>
                </c:pt>
                <c:pt idx="11">
                  <c:v>0.50160298581947871</c:v>
                </c:pt>
                <c:pt idx="12">
                  <c:v>0.51281206007007718</c:v>
                </c:pt>
                <c:pt idx="13">
                  <c:v>0.53207766601736639</c:v>
                </c:pt>
                <c:pt idx="14">
                  <c:v>0.56970487883669774</c:v>
                </c:pt>
              </c:numCache>
            </c:numRef>
          </c:val>
          <c:smooth val="0"/>
          <c:extLst xmlns:c15="http://schemas.microsoft.com/office/drawing/2012/chart">
            <c:ext xmlns:c16="http://schemas.microsoft.com/office/drawing/2014/chart" uri="{C3380CC4-5D6E-409C-BE32-E72D297353CC}">
              <c16:uniqueId val="{00000002-71A6-43F4-9BFC-54A19BFBEE71}"/>
            </c:ext>
          </c:extLst>
        </c:ser>
        <c:ser>
          <c:idx val="3"/>
          <c:order val="3"/>
          <c:tx>
            <c:strRef>
              <c:f>Model!$D$1211</c:f>
              <c:strCache>
                <c:ptCount val="1"/>
                <c:pt idx="0">
                  <c:v>Philippines FTAA</c:v>
                </c:pt>
              </c:strCache>
            </c:strRef>
          </c:tx>
          <c:spPr>
            <a:ln>
              <a:solidFill>
                <a:srgbClr val="C5325D"/>
              </a:solidFill>
            </a:ln>
          </c:spPr>
          <c:marker>
            <c:symbol val="none"/>
          </c:marker>
          <c:cat>
            <c:multiLvlStrRef>
              <c:extLst>
                <c:ext xmlns:c15="http://schemas.microsoft.com/office/drawing/2012/chart" uri="{02D57815-91ED-43cb-92C2-25804820EDAC}">
                  <c15:fullRef>
                    <c15:sqref>Model!$G$1118:$AI$1119</c15:sqref>
                  </c15:fullRef>
                </c:ext>
              </c:extLst>
              <c:f>Model!$J$1118:$AI$1119</c:f>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Model!$G$1211:$AI$1211</c15:sqref>
                  </c15:fullRef>
                </c:ext>
              </c:extLst>
              <c:f>Model!$J$1211:$X$1211</c:f>
              <c:numCache>
                <c:formatCode>0%</c:formatCode>
                <c:ptCount val="15"/>
                <c:pt idx="0">
                  <c:v>0.47636152028984075</c:v>
                </c:pt>
                <c:pt idx="1">
                  <c:v>0.47633444643867662</c:v>
                </c:pt>
                <c:pt idx="2">
                  <c:v>0.47630404312228253</c:v>
                </c:pt>
                <c:pt idx="3">
                  <c:v>0.47626965592960424</c:v>
                </c:pt>
                <c:pt idx="4">
                  <c:v>0.47623044692503741</c:v>
                </c:pt>
                <c:pt idx="5">
                  <c:v>0.47618532546272041</c:v>
                </c:pt>
                <c:pt idx="6">
                  <c:v>0.4417228236529267</c:v>
                </c:pt>
                <c:pt idx="7">
                  <c:v>0.44381162879585007</c:v>
                </c:pt>
                <c:pt idx="8">
                  <c:v>0.44832171204553312</c:v>
                </c:pt>
                <c:pt idx="9">
                  <c:v>0.4543698075117239</c:v>
                </c:pt>
                <c:pt idx="10">
                  <c:v>0.43982626227714056</c:v>
                </c:pt>
                <c:pt idx="11">
                  <c:v>0.45614266107167456</c:v>
                </c:pt>
                <c:pt idx="12">
                  <c:v>0.4575964293969968</c:v>
                </c:pt>
                <c:pt idx="13">
                  <c:v>0.48054973170174153</c:v>
                </c:pt>
                <c:pt idx="14">
                  <c:v>0.51351092570198908</c:v>
                </c:pt>
              </c:numCache>
            </c:numRef>
          </c:val>
          <c:smooth val="0"/>
          <c:extLst xmlns:c15="http://schemas.microsoft.com/office/drawing/2012/chart">
            <c:ext xmlns:c16="http://schemas.microsoft.com/office/drawing/2014/chart" uri="{C3380CC4-5D6E-409C-BE32-E72D297353CC}">
              <c16:uniqueId val="{00000003-71A6-43F4-9BFC-54A19BFBEE71}"/>
            </c:ext>
          </c:extLst>
        </c:ser>
        <c:dLbls>
          <c:showLegendKey val="0"/>
          <c:showVal val="0"/>
          <c:showCatName val="0"/>
          <c:showSerName val="0"/>
          <c:showPercent val="0"/>
          <c:showBubbleSize val="0"/>
        </c:dLbls>
        <c:smooth val="0"/>
        <c:axId val="575778232"/>
        <c:axId val="575778624"/>
        <c:extLst>
          <c:ext xmlns:c15="http://schemas.microsoft.com/office/drawing/2012/chart" uri="{02D57815-91ED-43cb-92C2-25804820EDAC}">
            <c15:filteredLineSeries>
              <c15:ser>
                <c:idx val="4"/>
                <c:order val="4"/>
                <c:tx>
                  <c:strRef>
                    <c:extLst>
                      <c:ext uri="{02D57815-91ED-43cb-92C2-25804820EDAC}">
                        <c15:formulaRef>
                          <c15:sqref>Model!$D$1212</c15:sqref>
                        </c15:formulaRef>
                      </c:ext>
                    </c:extLst>
                    <c:strCache>
                      <c:ptCount val="1"/>
                      <c:pt idx="0">
                        <c:v>Burkina Faso</c:v>
                      </c:pt>
                    </c:strCache>
                  </c:strRef>
                </c:tx>
                <c:spPr>
                  <a:ln>
                    <a:solidFill>
                      <a:srgbClr val="FFC000"/>
                    </a:solidFill>
                  </a:ln>
                </c:spPr>
                <c:marker>
                  <c:symbol val="none"/>
                </c:marker>
                <c:cat>
                  <c:multiLvlStrRef>
                    <c:extLst>
                      <c:ext uri="{02D57815-91ED-43cb-92C2-25804820EDAC}">
                        <c15:fullRef>
                          <c15:sqref>Model!$G$1118:$AI$1119</c15:sqref>
                        </c15:fullRef>
                        <c15:formulaRef>
                          <c15:sqref>Model!$J$1118:$AI$1119</c15:sqref>
                        </c15:formulaRef>
                      </c:ext>
                    </c:extLst>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uri="{02D57815-91ED-43cb-92C2-25804820EDAC}">
                        <c15:fullRef>
                          <c15:sqref>Model!$G$1212:$AI$1212</c15:sqref>
                        </c15:fullRef>
                        <c15:formulaRef>
                          <c15:sqref>Model!$J$1212:$X$1212</c15:sqref>
                        </c15:formulaRef>
                      </c:ext>
                    </c:extLst>
                    <c:numCache>
                      <c:formatCode>0%</c:formatCode>
                      <c:ptCount val="15"/>
                      <c:pt idx="0">
                        <c:v>0.40468233518057073</c:v>
                      </c:pt>
                      <c:pt idx="1">
                        <c:v>0.40718142076875796</c:v>
                      </c:pt>
                      <c:pt idx="2">
                        <c:v>0.4099878367962545</c:v>
                      </c:pt>
                      <c:pt idx="3">
                        <c:v>0.41316198949142474</c:v>
                      </c:pt>
                      <c:pt idx="4">
                        <c:v>0.41678122554489894</c:v>
                      </c:pt>
                      <c:pt idx="5">
                        <c:v>0.42101482455482392</c:v>
                      </c:pt>
                      <c:pt idx="6">
                        <c:v>0.42601016207503889</c:v>
                      </c:pt>
                      <c:pt idx="7">
                        <c:v>0.43189252016832397</c:v>
                      </c:pt>
                      <c:pt idx="8">
                        <c:v>0.43913587125121845</c:v>
                      </c:pt>
                      <c:pt idx="9">
                        <c:v>0.44836128929078733</c:v>
                      </c:pt>
                      <c:pt idx="10">
                        <c:v>0.45993895003516938</c:v>
                      </c:pt>
                      <c:pt idx="11">
                        <c:v>0.47538196282245859</c:v>
                      </c:pt>
                      <c:pt idx="12">
                        <c:v>0.4973615234185258</c:v>
                      </c:pt>
                      <c:pt idx="13">
                        <c:v>0.52743084057941747</c:v>
                      </c:pt>
                      <c:pt idx="14">
                        <c:v>0.58354438112292972</c:v>
                      </c:pt>
                    </c:numCache>
                  </c:numRef>
                </c:val>
                <c:smooth val="0"/>
                <c:extLst>
                  <c:ext xmlns:c16="http://schemas.microsoft.com/office/drawing/2014/chart" uri="{C3380CC4-5D6E-409C-BE32-E72D297353CC}">
                    <c16:uniqueId val="{00000004-71A6-43F4-9BFC-54A19BFBEE71}"/>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Model!$D$1213</c15:sqref>
                        </c15:formulaRef>
                      </c:ext>
                    </c:extLst>
                    <c:strCache>
                      <c:ptCount val="1"/>
                      <c:pt idx="0">
                        <c:v>DRC</c:v>
                      </c:pt>
                    </c:strCache>
                  </c:strRef>
                </c:tx>
                <c:spPr>
                  <a:ln>
                    <a:solidFill>
                      <a:srgbClr val="53CAEC"/>
                    </a:solidFill>
                  </a:ln>
                </c:spPr>
                <c:marker>
                  <c:symbol val="none"/>
                </c:marker>
                <c:cat>
                  <c:multiLvlStrRef>
                    <c:extLst>
                      <c:ext xmlns:c15="http://schemas.microsoft.com/office/drawing/2012/chart" uri="{02D57815-91ED-43cb-92C2-25804820EDAC}">
                        <c15:fullRef>
                          <c15:sqref>Model!$G$1118:$AI$1119</c15:sqref>
                        </c15:fullRef>
                        <c15:formulaRef>
                          <c15:sqref>Model!$J$1118:$AI$1119</c15:sqref>
                        </c15:formulaRef>
                      </c:ext>
                    </c:extLst>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Model!$G$1213:$AI$1213</c15:sqref>
                        </c15:fullRef>
                        <c15:formulaRef>
                          <c15:sqref>Model!$J$1213:$X$1213</c15:sqref>
                        </c15:formulaRef>
                      </c:ext>
                    </c:extLst>
                    <c:numCache>
                      <c:formatCode>0%</c:formatCode>
                      <c:ptCount val="15"/>
                      <c:pt idx="0">
                        <c:v>0.431625404114518</c:v>
                      </c:pt>
                      <c:pt idx="1">
                        <c:v>0.43240668208558231</c:v>
                      </c:pt>
                      <c:pt idx="2">
                        <c:v>0.43328403939990906</c:v>
                      </c:pt>
                      <c:pt idx="3">
                        <c:v>0.4343532444491694</c:v>
                      </c:pt>
                      <c:pt idx="4">
                        <c:v>0.4356351867615364</c:v>
                      </c:pt>
                      <c:pt idx="5">
                        <c:v>0.43718045620818807</c:v>
                      </c:pt>
                      <c:pt idx="6">
                        <c:v>0.43900713164124161</c:v>
                      </c:pt>
                      <c:pt idx="7">
                        <c:v>0.44115816927862772</c:v>
                      </c:pt>
                      <c:pt idx="8">
                        <c:v>0.44391449865903709</c:v>
                      </c:pt>
                      <c:pt idx="9">
                        <c:v>0.44756912198194082</c:v>
                      </c:pt>
                      <c:pt idx="10">
                        <c:v>0.45229390750026832</c:v>
                      </c:pt>
                      <c:pt idx="11">
                        <c:v>0.45875960227888596</c:v>
                      </c:pt>
                      <c:pt idx="12">
                        <c:v>0.46792630121577328</c:v>
                      </c:pt>
                      <c:pt idx="13">
                        <c:v>0.4779076871207617</c:v>
                      </c:pt>
                      <c:pt idx="14">
                        <c:v>0.49976313242504872</c:v>
                      </c:pt>
                    </c:numCache>
                  </c:numRef>
                </c:val>
                <c:smooth val="0"/>
                <c:extLst xmlns:c15="http://schemas.microsoft.com/office/drawing/2012/chart">
                  <c:ext xmlns:c16="http://schemas.microsoft.com/office/drawing/2014/chart" uri="{C3380CC4-5D6E-409C-BE32-E72D297353CC}">
                    <c16:uniqueId val="{00000005-71A6-43F4-9BFC-54A19BFBEE71}"/>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Model!$D$1214</c15:sqref>
                        </c15:formulaRef>
                      </c:ext>
                    </c:extLst>
                    <c:strCache>
                      <c:ptCount val="1"/>
                      <c:pt idx="0">
                        <c:v>Ghana</c:v>
                      </c:pt>
                    </c:strCache>
                  </c:strRef>
                </c:tx>
                <c:spPr>
                  <a:ln>
                    <a:solidFill>
                      <a:srgbClr val="00B050"/>
                    </a:solidFill>
                  </a:ln>
                </c:spPr>
                <c:marker>
                  <c:symbol val="none"/>
                </c:marker>
                <c:cat>
                  <c:multiLvlStrRef>
                    <c:extLst>
                      <c:ext xmlns:c15="http://schemas.microsoft.com/office/drawing/2012/chart" uri="{02D57815-91ED-43cb-92C2-25804820EDAC}">
                        <c15:fullRef>
                          <c15:sqref>Model!$G$1118:$AI$1119</c15:sqref>
                        </c15:fullRef>
                        <c15:formulaRef>
                          <c15:sqref>Model!$J$1118:$AI$1119</c15:sqref>
                        </c15:formulaRef>
                      </c:ext>
                    </c:extLst>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Model!$G$1214:$AI$1214</c15:sqref>
                        </c15:fullRef>
                        <c15:formulaRef>
                          <c15:sqref>Model!$J$1214:$X$1214</c15:sqref>
                        </c15:formulaRef>
                      </c:ext>
                    </c:extLst>
                    <c:numCache>
                      <c:formatCode>0%</c:formatCode>
                      <c:ptCount val="15"/>
                      <c:pt idx="0">
                        <c:v>0.45894519126879263</c:v>
                      </c:pt>
                      <c:pt idx="1">
                        <c:v>0.4595926752504027</c:v>
                      </c:pt>
                      <c:pt idx="2">
                        <c:v>0.46031978497090487</c:v>
                      </c:pt>
                      <c:pt idx="3">
                        <c:v>0.46119955066279117</c:v>
                      </c:pt>
                      <c:pt idx="4">
                        <c:v>0.46238997686087335</c:v>
                      </c:pt>
                      <c:pt idx="5">
                        <c:v>0.46375991143156292</c:v>
                      </c:pt>
                      <c:pt idx="6">
                        <c:v>0.46535326835035556</c:v>
                      </c:pt>
                      <c:pt idx="7">
                        <c:v>0.46722955717544978</c:v>
                      </c:pt>
                      <c:pt idx="8">
                        <c:v>0.46952662386857924</c:v>
                      </c:pt>
                      <c:pt idx="9">
                        <c:v>0.47254613176642124</c:v>
                      </c:pt>
                      <c:pt idx="10">
                        <c:v>0.47629647375019735</c:v>
                      </c:pt>
                      <c:pt idx="11">
                        <c:v>0.48180178555270309</c:v>
                      </c:pt>
                      <c:pt idx="12">
                        <c:v>0.49014798845824797</c:v>
                      </c:pt>
                      <c:pt idx="13">
                        <c:v>0.50531100769512338</c:v>
                      </c:pt>
                      <c:pt idx="14">
                        <c:v>0.54921343537527911</c:v>
                      </c:pt>
                    </c:numCache>
                  </c:numRef>
                </c:val>
                <c:smooth val="0"/>
                <c:extLst xmlns:c15="http://schemas.microsoft.com/office/drawing/2012/chart">
                  <c:ext xmlns:c16="http://schemas.microsoft.com/office/drawing/2014/chart" uri="{C3380CC4-5D6E-409C-BE32-E72D297353CC}">
                    <c16:uniqueId val="{00000006-71A6-43F4-9BFC-54A19BFBEE71}"/>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Model!$D$1215</c15:sqref>
                        </c15:formulaRef>
                      </c:ext>
                    </c:extLst>
                    <c:strCache>
                      <c:ptCount val="1"/>
                      <c:pt idx="0">
                        <c:v>South Africa (gold)</c:v>
                      </c:pt>
                    </c:strCache>
                  </c:strRef>
                </c:tx>
                <c:marker>
                  <c:symbol val="none"/>
                </c:marker>
                <c:cat>
                  <c:multiLvlStrRef>
                    <c:extLst>
                      <c:ext xmlns:c15="http://schemas.microsoft.com/office/drawing/2012/chart" uri="{02D57815-91ED-43cb-92C2-25804820EDAC}">
                        <c15:fullRef>
                          <c15:sqref>Model!$G$1118:$AI$1119</c15:sqref>
                        </c15:fullRef>
                        <c15:formulaRef>
                          <c15:sqref>Model!$J$1118:$AI$1119</c15:sqref>
                        </c15:formulaRef>
                      </c:ext>
                    </c:extLst>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Model!$G$1215:$AI$1215</c15:sqref>
                        </c15:fullRef>
                        <c15:formulaRef>
                          <c15:sqref>Model!$J$1215:$X$1215</c15:sqref>
                        </c15:formulaRef>
                      </c:ext>
                    </c:extLst>
                    <c:numCache>
                      <c:formatCode>0%</c:formatCode>
                      <c:ptCount val="15"/>
                      <c:pt idx="0">
                        <c:v>0.45422086824538799</c:v>
                      </c:pt>
                      <c:pt idx="1">
                        <c:v>0.45428117013810881</c:v>
                      </c:pt>
                      <c:pt idx="2">
                        <c:v>0.45507991508918794</c:v>
                      </c:pt>
                      <c:pt idx="3">
                        <c:v>0.45657009424597511</c:v>
                      </c:pt>
                      <c:pt idx="4">
                        <c:v>0.4571062399254236</c:v>
                      </c:pt>
                      <c:pt idx="5">
                        <c:v>0.4577232328161932</c:v>
                      </c:pt>
                      <c:pt idx="6">
                        <c:v>0.4586012634611345</c:v>
                      </c:pt>
                      <c:pt idx="7">
                        <c:v>0.45500296741377666</c:v>
                      </c:pt>
                      <c:pt idx="8">
                        <c:v>0.45219546860948506</c:v>
                      </c:pt>
                      <c:pt idx="9">
                        <c:v>0.44795703333725145</c:v>
                      </c:pt>
                      <c:pt idx="10">
                        <c:v>0.44224706682490156</c:v>
                      </c:pt>
                      <c:pt idx="11">
                        <c:v>0.43891475115612788</c:v>
                      </c:pt>
                      <c:pt idx="12">
                        <c:v>0.43361948771066372</c:v>
                      </c:pt>
                      <c:pt idx="13">
                        <c:v>0.42980422008715935</c:v>
                      </c:pt>
                      <c:pt idx="14">
                        <c:v>0.43167675552415335</c:v>
                      </c:pt>
                    </c:numCache>
                  </c:numRef>
                </c:val>
                <c:smooth val="0"/>
                <c:extLst xmlns:c15="http://schemas.microsoft.com/office/drawing/2012/chart">
                  <c:ext xmlns:c16="http://schemas.microsoft.com/office/drawing/2014/chart" uri="{C3380CC4-5D6E-409C-BE32-E72D297353CC}">
                    <c16:uniqueId val="{00000007-71A6-43F4-9BFC-54A19BFBEE71}"/>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Model!$D$1216</c15:sqref>
                        </c15:formulaRef>
                      </c:ext>
                    </c:extLst>
                    <c:strCache>
                      <c:ptCount val="1"/>
                      <c:pt idx="0">
                        <c:v>Indonesia</c:v>
                      </c:pt>
                    </c:strCache>
                  </c:strRef>
                </c:tx>
                <c:spPr>
                  <a:ln>
                    <a:solidFill>
                      <a:srgbClr val="00B050"/>
                    </a:solidFill>
                  </a:ln>
                </c:spPr>
                <c:marker>
                  <c:spPr>
                    <a:solidFill>
                      <a:srgbClr val="00B050"/>
                    </a:solidFill>
                    <a:ln>
                      <a:solidFill>
                        <a:srgbClr val="00B050"/>
                      </a:solidFill>
                    </a:ln>
                  </c:spPr>
                </c:marker>
                <c:cat>
                  <c:multiLvlStrRef>
                    <c:extLst>
                      <c:ext xmlns:c15="http://schemas.microsoft.com/office/drawing/2012/chart" uri="{02D57815-91ED-43cb-92C2-25804820EDAC}">
                        <c15:fullRef>
                          <c15:sqref>Model!$G$1118:$AI$1119</c15:sqref>
                        </c15:fullRef>
                        <c15:formulaRef>
                          <c15:sqref>Model!$J$1118:$AI$1119</c15:sqref>
                        </c15:formulaRef>
                      </c:ext>
                    </c:extLst>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Model!$G$1216:$AI$1216</c15:sqref>
                        </c15:fullRef>
                        <c15:formulaRef>
                          <c15:sqref>Model!$J$1216:$X$1216</c15:sqref>
                        </c15:formulaRef>
                      </c:ext>
                    </c:extLst>
                    <c:numCache>
                      <c:formatCode>0%</c:formatCode>
                      <c:ptCount val="15"/>
                      <c:pt idx="0">
                        <c:v>0.41164215170130031</c:v>
                      </c:pt>
                      <c:pt idx="1">
                        <c:v>0.4136229492025138</c:v>
                      </c:pt>
                      <c:pt idx="2">
                        <c:v>0.41584733954788933</c:v>
                      </c:pt>
                      <c:pt idx="3">
                        <c:v>0.41842017692231048</c:v>
                      </c:pt>
                      <c:pt idx="4">
                        <c:v>0.42145795803971148</c:v>
                      </c:pt>
                      <c:pt idx="5">
                        <c:v>0.42495381639499674</c:v>
                      </c:pt>
                      <c:pt idx="6">
                        <c:v>0.42901981357229968</c:v>
                      </c:pt>
                      <c:pt idx="7">
                        <c:v>0.43380780863897794</c:v>
                      </c:pt>
                      <c:pt idx="8">
                        <c:v>0.43972419122426376</c:v>
                      </c:pt>
                      <c:pt idx="9">
                        <c:v>0.44712962082090407</c:v>
                      </c:pt>
                      <c:pt idx="10">
                        <c:v>0.45671772828383156</c:v>
                      </c:pt>
                      <c:pt idx="11">
                        <c:v>0.46950372618713948</c:v>
                      </c:pt>
                      <c:pt idx="12">
                        <c:v>0.48713397673849879</c:v>
                      </c:pt>
                      <c:pt idx="13">
                        <c:v>0.5102905251436457</c:v>
                      </c:pt>
                      <c:pt idx="14">
                        <c:v>0.55105544921220739</c:v>
                      </c:pt>
                    </c:numCache>
                  </c:numRef>
                </c:val>
                <c:smooth val="0"/>
                <c:extLst xmlns:c15="http://schemas.microsoft.com/office/drawing/2012/chart">
                  <c:ext xmlns:c16="http://schemas.microsoft.com/office/drawing/2014/chart" uri="{C3380CC4-5D6E-409C-BE32-E72D297353CC}">
                    <c16:uniqueId val="{00000008-71A6-43F4-9BFC-54A19BFBEE71}"/>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Model!$D$1217</c15:sqref>
                        </c15:formulaRef>
                      </c:ext>
                    </c:extLst>
                    <c:strCache>
                      <c:ptCount val="1"/>
                      <c:pt idx="0">
                        <c:v>Peru</c:v>
                      </c:pt>
                    </c:strCache>
                  </c:strRef>
                </c:tx>
                <c:spPr>
                  <a:ln>
                    <a:solidFill>
                      <a:srgbClr val="7030A0"/>
                    </a:solidFill>
                  </a:ln>
                </c:spPr>
                <c:marker>
                  <c:symbol val="none"/>
                </c:marker>
                <c:cat>
                  <c:multiLvlStrRef>
                    <c:extLst>
                      <c:ext xmlns:c15="http://schemas.microsoft.com/office/drawing/2012/chart" uri="{02D57815-91ED-43cb-92C2-25804820EDAC}">
                        <c15:fullRef>
                          <c15:sqref>Model!$G$1118:$AI$1119</c15:sqref>
                        </c15:fullRef>
                        <c15:formulaRef>
                          <c15:sqref>Model!$J$1118:$AI$1119</c15:sqref>
                        </c15:formulaRef>
                      </c:ext>
                    </c:extLst>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Model!$G$1217:$AI$1217</c15:sqref>
                        </c15:fullRef>
                        <c15:formulaRef>
                          <c15:sqref>Model!$J$1217:$X$1217</c15:sqref>
                        </c15:formulaRef>
                      </c:ext>
                    </c:extLst>
                    <c:numCache>
                      <c:formatCode>0%</c:formatCode>
                      <c:ptCount val="15"/>
                      <c:pt idx="0">
                        <c:v>0.39133370766981884</c:v>
                      </c:pt>
                      <c:pt idx="1">
                        <c:v>0.38706219568164801</c:v>
                      </c:pt>
                      <c:pt idx="2">
                        <c:v>0.38250509160917734</c:v>
                      </c:pt>
                      <c:pt idx="3">
                        <c:v>0.37774809360581568</c:v>
                      </c:pt>
                      <c:pt idx="4">
                        <c:v>0.37280742532795558</c:v>
                      </c:pt>
                      <c:pt idx="5">
                        <c:v>0.36769729738215712</c:v>
                      </c:pt>
                      <c:pt idx="6">
                        <c:v>0.3623525199892651</c:v>
                      </c:pt>
                      <c:pt idx="7">
                        <c:v>0.35668082639443238</c:v>
                      </c:pt>
                      <c:pt idx="8">
                        <c:v>0.35054921275852469</c:v>
                      </c:pt>
                      <c:pt idx="9">
                        <c:v>0.34387731434274682</c:v>
                      </c:pt>
                      <c:pt idx="10">
                        <c:v>0.33641009132221134</c:v>
                      </c:pt>
                      <c:pt idx="11">
                        <c:v>0.32803605028982602</c:v>
                      </c:pt>
                      <c:pt idx="12">
                        <c:v>0.31815119812418474</c:v>
                      </c:pt>
                      <c:pt idx="13">
                        <c:v>0.30377346133112304</c:v>
                      </c:pt>
                      <c:pt idx="14">
                        <c:v>0.28742153761198286</c:v>
                      </c:pt>
                    </c:numCache>
                  </c:numRef>
                </c:val>
                <c:smooth val="0"/>
                <c:extLst xmlns:c15="http://schemas.microsoft.com/office/drawing/2012/chart">
                  <c:ext xmlns:c16="http://schemas.microsoft.com/office/drawing/2014/chart" uri="{C3380CC4-5D6E-409C-BE32-E72D297353CC}">
                    <c16:uniqueId val="{00000000-5298-4A0A-B29B-00D6A358321B}"/>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Model!$D$1218</c15:sqref>
                        </c15:formulaRef>
                      </c:ext>
                    </c:extLst>
                    <c:strCache>
                      <c:ptCount val="1"/>
                      <c:pt idx="0">
                        <c:v>Western Australia</c:v>
                      </c:pt>
                    </c:strCache>
                  </c:strRef>
                </c:tx>
                <c:marker>
                  <c:symbol val="none"/>
                </c:marker>
                <c:cat>
                  <c:multiLvlStrRef>
                    <c:extLst>
                      <c:ext xmlns:c15="http://schemas.microsoft.com/office/drawing/2012/chart" uri="{02D57815-91ED-43cb-92C2-25804820EDAC}">
                        <c15:fullRef>
                          <c15:sqref>Model!$G$1118:$AI$1119</c15:sqref>
                        </c15:fullRef>
                        <c15:formulaRef>
                          <c15:sqref>Model!$J$1118:$AI$1119</c15:sqref>
                        </c15:formulaRef>
                      </c:ext>
                    </c:extLst>
                    <c:multiLvlStrCache>
                      <c:ptCount val="15"/>
                      <c:lvl>
                        <c:pt idx="0">
                          <c:v>60%</c:v>
                        </c:pt>
                        <c:pt idx="1">
                          <c:v>57%</c:v>
                        </c:pt>
                        <c:pt idx="2">
                          <c:v>55%</c:v>
                        </c:pt>
                        <c:pt idx="3">
                          <c:v>52%</c:v>
                        </c:pt>
                        <c:pt idx="4">
                          <c:v>50%</c:v>
                        </c:pt>
                        <c:pt idx="5">
                          <c:v>47%</c:v>
                        </c:pt>
                        <c:pt idx="6">
                          <c:v>45%</c:v>
                        </c:pt>
                        <c:pt idx="7">
                          <c:v>42%</c:v>
                        </c:pt>
                        <c:pt idx="8">
                          <c:v>39%</c:v>
                        </c:pt>
                        <c:pt idx="9">
                          <c:v>36%</c:v>
                        </c:pt>
                        <c:pt idx="10">
                          <c:v>33%</c:v>
                        </c:pt>
                        <c:pt idx="11">
                          <c:v>29%</c:v>
                        </c:pt>
                        <c:pt idx="12">
                          <c:v>26%</c:v>
                        </c:pt>
                        <c:pt idx="13">
                          <c:v>22%</c:v>
                        </c:pt>
                        <c:pt idx="14">
                          <c:v>18%</c:v>
                        </c:pt>
                      </c:lvl>
                      <c:lvl>
                        <c:pt idx="0">
                          <c:v>210 </c:v>
                        </c:pt>
                        <c:pt idx="1">
                          <c:v>280 </c:v>
                        </c:pt>
                        <c:pt idx="2">
                          <c:v>350 </c:v>
                        </c:pt>
                        <c:pt idx="3">
                          <c:v>420 </c:v>
                        </c:pt>
                        <c:pt idx="4">
                          <c:v>490 </c:v>
                        </c:pt>
                        <c:pt idx="5">
                          <c:v>560 </c:v>
                        </c:pt>
                        <c:pt idx="6">
                          <c:v>630 </c:v>
                        </c:pt>
                        <c:pt idx="7">
                          <c:v>700 </c:v>
                        </c:pt>
                        <c:pt idx="8">
                          <c:v>770 </c:v>
                        </c:pt>
                        <c:pt idx="9">
                          <c:v>840 </c:v>
                        </c:pt>
                        <c:pt idx="10">
                          <c:v>910 </c:v>
                        </c:pt>
                        <c:pt idx="11">
                          <c:v>980 </c:v>
                        </c:pt>
                        <c:pt idx="12">
                          <c:v>1,050 </c:v>
                        </c:pt>
                        <c:pt idx="13">
                          <c:v>1,120 </c:v>
                        </c:pt>
                        <c:pt idx="14">
                          <c:v>1,190 </c:v>
                        </c:pt>
                      </c:lvl>
                    </c:multiLvlStrCache>
                  </c:multiLvlStrRef>
                </c:cat>
                <c:val>
                  <c:numRef>
                    <c:extLst>
                      <c:ext xmlns:c15="http://schemas.microsoft.com/office/drawing/2012/chart" uri="{02D57815-91ED-43cb-92C2-25804820EDAC}">
                        <c15:fullRef>
                          <c15:sqref>Model!$G$1218:$AI$1218</c15:sqref>
                        </c15:fullRef>
                        <c15:formulaRef>
                          <c15:sqref>Model!$J$1218:$X$1218</c15:sqref>
                        </c15:formulaRef>
                      </c:ext>
                    </c:extLst>
                    <c:numCache>
                      <c:formatCode>0%</c:formatCode>
                      <c:ptCount val="15"/>
                      <c:pt idx="0">
                        <c:v>0.31402260610139654</c:v>
                      </c:pt>
                      <c:pt idx="1">
                        <c:v>0.31584860806748633</c:v>
                      </c:pt>
                      <c:pt idx="2">
                        <c:v>0.31789916656300043</c:v>
                      </c:pt>
                      <c:pt idx="3">
                        <c:v>0.32021841848836324</c:v>
                      </c:pt>
                      <c:pt idx="4">
                        <c:v>0.32286287859834301</c:v>
                      </c:pt>
                      <c:pt idx="5">
                        <c:v>0.32595776430427764</c:v>
                      </c:pt>
                      <c:pt idx="6">
                        <c:v>0.32963129696418841</c:v>
                      </c:pt>
                      <c:pt idx="7">
                        <c:v>0.33395713770778668</c:v>
                      </c:pt>
                      <c:pt idx="8">
                        <c:v>0.33912596073924595</c:v>
                      </c:pt>
                      <c:pt idx="9">
                        <c:v>0.34555163857030258</c:v>
                      </c:pt>
                      <c:pt idx="10">
                        <c:v>0.35356217970416837</c:v>
                      </c:pt>
                      <c:pt idx="11">
                        <c:v>0.36377851439504544</c:v>
                      </c:pt>
                      <c:pt idx="12">
                        <c:v>0.37725719498534971</c:v>
                      </c:pt>
                      <c:pt idx="13">
                        <c:v>0.3942349453701105</c:v>
                      </c:pt>
                      <c:pt idx="14">
                        <c:v>0.42118097937633403</c:v>
                      </c:pt>
                    </c:numCache>
                  </c:numRef>
                </c:val>
                <c:smooth val="0"/>
                <c:extLst xmlns:c15="http://schemas.microsoft.com/office/drawing/2012/chart">
                  <c:ext xmlns:c16="http://schemas.microsoft.com/office/drawing/2014/chart" uri="{C3380CC4-5D6E-409C-BE32-E72D297353CC}">
                    <c16:uniqueId val="{00000001-5298-4A0A-B29B-00D6A358321B}"/>
                  </c:ext>
                </c:extLst>
              </c15:ser>
            </c15:filteredLineSeries>
          </c:ext>
        </c:extLst>
      </c:lineChart>
      <c:catAx>
        <c:axId val="575778232"/>
        <c:scaling>
          <c:orientation val="minMax"/>
        </c:scaling>
        <c:delete val="0"/>
        <c:axPos val="b"/>
        <c:title>
          <c:tx>
            <c:rich>
              <a:bodyPr/>
              <a:lstStyle/>
              <a:p>
                <a:pPr>
                  <a:defRPr b="0">
                    <a:solidFill>
                      <a:schemeClr val="tx1">
                        <a:lumMod val="75000"/>
                        <a:lumOff val="25000"/>
                      </a:schemeClr>
                    </a:solidFill>
                  </a:defRPr>
                </a:pPr>
                <a:r>
                  <a:rPr lang="en-US" b="0">
                    <a:solidFill>
                      <a:schemeClr val="tx1">
                        <a:lumMod val="75000"/>
                        <a:lumOff val="25000"/>
                      </a:schemeClr>
                    </a:solidFill>
                  </a:rPr>
                  <a:t>Pre-tax IRR and OPEX (USD/ounce) </a:t>
                </a:r>
              </a:p>
            </c:rich>
          </c:tx>
          <c:layout>
            <c:manualLayout>
              <c:xMode val="edge"/>
              <c:yMode val="edge"/>
              <c:x val="0.33449009588544015"/>
              <c:y val="0.92962910907172969"/>
            </c:manualLayout>
          </c:layout>
          <c:overlay val="0"/>
        </c:title>
        <c:numFmt formatCode="General" sourceLinked="1"/>
        <c:majorTickMark val="out"/>
        <c:minorTickMark val="none"/>
        <c:tickLblPos val="nextTo"/>
        <c:crossAx val="575778624"/>
        <c:crosses val="autoZero"/>
        <c:auto val="1"/>
        <c:lblAlgn val="ctr"/>
        <c:lblOffset val="100"/>
        <c:noMultiLvlLbl val="0"/>
      </c:catAx>
      <c:valAx>
        <c:axId val="575778624"/>
        <c:scaling>
          <c:orientation val="minMax"/>
          <c:max val="0.60000000000000009"/>
        </c:scaling>
        <c:delete val="0"/>
        <c:axPos val="l"/>
        <c:numFmt formatCode="0%" sourceLinked="0"/>
        <c:majorTickMark val="out"/>
        <c:minorTickMark val="none"/>
        <c:tickLblPos val="nextTo"/>
        <c:txPr>
          <a:bodyPr/>
          <a:lstStyle/>
          <a:p>
            <a:pPr>
              <a:defRPr>
                <a:solidFill>
                  <a:schemeClr val="tx1">
                    <a:lumMod val="75000"/>
                    <a:lumOff val="25000"/>
                  </a:schemeClr>
                </a:solidFill>
              </a:defRPr>
            </a:pPr>
            <a:endParaRPr lang="en-US"/>
          </a:p>
        </c:txPr>
        <c:crossAx val="575778232"/>
        <c:crosses val="autoZero"/>
        <c:crossBetween val="between"/>
      </c:valAx>
      <c:spPr>
        <a:noFill/>
        <a:ln w="25400">
          <a:noFill/>
        </a:ln>
      </c:spPr>
    </c:plotArea>
    <c:legend>
      <c:legendPos val="b"/>
      <c:layout>
        <c:manualLayout>
          <c:xMode val="edge"/>
          <c:yMode val="edge"/>
          <c:x val="0.78120184115734737"/>
          <c:y val="0.10472499381545312"/>
          <c:w val="0.21156473778265555"/>
          <c:h val="0.80800417800500257"/>
        </c:manualLayout>
      </c:layout>
      <c:overlay val="0"/>
    </c:legend>
    <c:plotVisOnly val="1"/>
    <c:dispBlanksAs val="gap"/>
    <c:showDLblsOverMax val="0"/>
  </c:chart>
  <c:spPr>
    <a:ln>
      <a:solidFill>
        <a:schemeClr val="tx1">
          <a:lumMod val="50000"/>
          <a:lumOff val="50000"/>
        </a:schemeClr>
      </a:solidFill>
    </a:ln>
  </c:spPr>
  <c:txPr>
    <a:bodyPr/>
    <a:lstStyle/>
    <a:p>
      <a:pPr>
        <a:defRPr sz="1100">
          <a:solidFill>
            <a:schemeClr val="tx1">
              <a:lumMod val="75000"/>
              <a:lumOff val="25000"/>
            </a:schemeClr>
          </a:solidFill>
        </a:defRPr>
      </a:pPr>
      <a:endParaRPr lang="en-US"/>
    </a:p>
  </c:txPr>
  <c:printSettings>
    <c:headerFooter/>
    <c:pageMargins b="0.75000000000000133" l="0.70000000000000062" r="0.70000000000000062" t="0.750000000000001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0" i="0" u="none" strike="noStrike" kern="1200" spc="0" baseline="0">
                <a:solidFill>
                  <a:schemeClr val="tx1">
                    <a:lumMod val="75000"/>
                    <a:lumOff val="25000"/>
                  </a:schemeClr>
                </a:solidFill>
                <a:latin typeface="Noto Sans" panose="020B0502040504020204" pitchFamily="34" charset="0"/>
                <a:ea typeface="Noto Sans" panose="020B0502040504020204" pitchFamily="34" charset="0"/>
                <a:cs typeface="Noto Sans" panose="020B0502040504020204" pitchFamily="34" charset="0"/>
              </a:defRPr>
            </a:pPr>
            <a:r>
              <a:rPr lang="en-US" sz="1300" b="1" i="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Average effective tax rate (with discount rate of 10%)</a:t>
            </a:r>
            <a:endParaRPr lang="en-US" sz="130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endParaRPr>
          </a:p>
        </c:rich>
      </c:tx>
      <c:layout>
        <c:manualLayout>
          <c:xMode val="edge"/>
          <c:yMode val="edge"/>
          <c:x val="0.22254195519196859"/>
          <c:y val="2.0754725717583748E-2"/>
        </c:manualLayout>
      </c:layout>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75000"/>
                  <a:lumOff val="25000"/>
                </a:schemeClr>
              </a:solidFill>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0.30263957606540864"/>
          <c:y val="0.13144659621136373"/>
          <c:w val="0.66476972984255067"/>
          <c:h val="0.77376205006573695"/>
        </c:manualLayout>
      </c:layout>
      <c:barChart>
        <c:barDir val="bar"/>
        <c:grouping val="clustered"/>
        <c:varyColors val="0"/>
        <c:ser>
          <c:idx val="0"/>
          <c:order val="0"/>
          <c:tx>
            <c:strRef>
              <c:f>Results!$F$167</c:f>
              <c:strCache>
                <c:ptCount val="1"/>
                <c:pt idx="0">
                  <c:v>AETR</c:v>
                </c:pt>
              </c:strCache>
            </c:strRef>
          </c:tx>
          <c:spPr>
            <a:solidFill>
              <a:srgbClr val="00C9C8"/>
            </a:solidFill>
            <a:ln>
              <a:noFill/>
            </a:ln>
            <a:effectLst/>
          </c:spPr>
          <c:invertIfNegative val="0"/>
          <c:dPt>
            <c:idx val="0"/>
            <c:invertIfNegative val="0"/>
            <c:bubble3D val="0"/>
            <c:extLst>
              <c:ext xmlns:c16="http://schemas.microsoft.com/office/drawing/2014/chart" uri="{C3380CC4-5D6E-409C-BE32-E72D297353CC}">
                <c16:uniqueId val="{00000001-CC97-43AD-A646-7D34ADB1E801}"/>
              </c:ext>
            </c:extLst>
          </c:dPt>
          <c:dPt>
            <c:idx val="2"/>
            <c:invertIfNegative val="0"/>
            <c:bubble3D val="0"/>
            <c:extLst>
              <c:ext xmlns:c16="http://schemas.microsoft.com/office/drawing/2014/chart" uri="{C3380CC4-5D6E-409C-BE32-E72D297353CC}">
                <c16:uniqueId val="{00000003-CC97-43AD-A646-7D34ADB1E801}"/>
              </c:ext>
            </c:extLst>
          </c:dPt>
          <c:cat>
            <c:strRef>
              <c:f>Results!$E$168:$E$178</c:f>
              <c:strCache>
                <c:ptCount val="11"/>
                <c:pt idx="0">
                  <c:v>Western Australia</c:v>
                </c:pt>
                <c:pt idx="1">
                  <c:v>Peru</c:v>
                </c:pt>
                <c:pt idx="2">
                  <c:v>Tanzania w 50/50 sharing</c:v>
                </c:pt>
                <c:pt idx="3">
                  <c:v>Burkina Faso</c:v>
                </c:pt>
                <c:pt idx="4">
                  <c:v>Indonesia</c:v>
                </c:pt>
                <c:pt idx="5">
                  <c:v>DRC</c:v>
                </c:pt>
                <c:pt idx="6">
                  <c:v>Philippines FTAA</c:v>
                </c:pt>
                <c:pt idx="7">
                  <c:v>South Africa (gold)</c:v>
                </c:pt>
                <c:pt idx="8">
                  <c:v>Ghana</c:v>
                </c:pt>
                <c:pt idx="9">
                  <c:v>Ecuador</c:v>
                </c:pt>
                <c:pt idx="10">
                  <c:v>Tanzania w/o sharing</c:v>
                </c:pt>
              </c:strCache>
            </c:strRef>
          </c:cat>
          <c:val>
            <c:numRef>
              <c:f>Results!$F$168:$F$178</c:f>
              <c:numCache>
                <c:formatCode>0%</c:formatCode>
                <c:ptCount val="11"/>
                <c:pt idx="0">
                  <c:v>0.42605702910009419</c:v>
                </c:pt>
                <c:pt idx="1">
                  <c:v>0.45504753775782231</c:v>
                </c:pt>
                <c:pt idx="2">
                  <c:v>0.54368747432035114</c:v>
                </c:pt>
                <c:pt idx="3">
                  <c:v>0.55100138088522777</c:v>
                </c:pt>
                <c:pt idx="4">
                  <c:v>0.55344487444634016</c:v>
                </c:pt>
                <c:pt idx="5">
                  <c:v>0.56282234377799933</c:v>
                </c:pt>
                <c:pt idx="6">
                  <c:v>0.56620758383157266</c:v>
                </c:pt>
                <c:pt idx="7">
                  <c:v>0.58048530975752399</c:v>
                </c:pt>
                <c:pt idx="8">
                  <c:v>0.5960837920826485</c:v>
                </c:pt>
                <c:pt idx="9">
                  <c:v>0.62701128596758471</c:v>
                </c:pt>
                <c:pt idx="10">
                  <c:v>0.63067198366974442</c:v>
                </c:pt>
              </c:numCache>
            </c:numRef>
          </c:val>
          <c:extLst>
            <c:ext xmlns:c16="http://schemas.microsoft.com/office/drawing/2014/chart" uri="{C3380CC4-5D6E-409C-BE32-E72D297353CC}">
              <c16:uniqueId val="{00000004-CC97-43AD-A646-7D34ADB1E801}"/>
            </c:ext>
          </c:extLst>
        </c:ser>
        <c:dLbls>
          <c:showLegendKey val="0"/>
          <c:showVal val="0"/>
          <c:showCatName val="0"/>
          <c:showSerName val="0"/>
          <c:showPercent val="0"/>
          <c:showBubbleSize val="0"/>
        </c:dLbls>
        <c:gapWidth val="182"/>
        <c:axId val="575775880"/>
        <c:axId val="575779016"/>
      </c:barChart>
      <c:catAx>
        <c:axId val="575775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5779016"/>
        <c:crosses val="autoZero"/>
        <c:auto val="1"/>
        <c:lblAlgn val="ctr"/>
        <c:lblOffset val="100"/>
        <c:noMultiLvlLbl val="0"/>
      </c:catAx>
      <c:valAx>
        <c:axId val="575779016"/>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75775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a:latin typeface="Noto Sans" panose="020B0502040504020204" pitchFamily="34" charset="0"/>
                <a:ea typeface="Noto Sans" panose="020B0502040504020204" pitchFamily="34" charset="0"/>
                <a:cs typeface="Noto Sans" panose="020B0502040504020204" pitchFamily="34" charset="0"/>
              </a:defRPr>
            </a:pPr>
            <a:r>
              <a:rPr lang="en-GB" sz="1300">
                <a:latin typeface="Noto Sans" panose="020B0502040504020204" pitchFamily="34" charset="0"/>
                <a:ea typeface="Noto Sans" panose="020B0502040504020204" pitchFamily="34" charset="0"/>
                <a:cs typeface="Noto Sans" panose="020B0502040504020204" pitchFamily="34" charset="0"/>
              </a:rPr>
              <a:t>Government revenues over project lifetime </a:t>
            </a:r>
          </a:p>
        </c:rich>
      </c:tx>
      <c:overlay val="1"/>
    </c:title>
    <c:autoTitleDeleted val="0"/>
    <c:plotArea>
      <c:layout>
        <c:manualLayout>
          <c:layoutTarget val="inner"/>
          <c:xMode val="edge"/>
          <c:yMode val="edge"/>
          <c:x val="9.9045352422731381E-2"/>
          <c:y val="9.3922498852459679E-2"/>
          <c:w val="0.87017945615470516"/>
          <c:h val="0.49898241615109085"/>
        </c:manualLayout>
      </c:layout>
      <c:areaChart>
        <c:grouping val="standard"/>
        <c:varyColors val="0"/>
        <c:ser>
          <c:idx val="1"/>
          <c:order val="0"/>
          <c:tx>
            <c:strRef>
              <c:f>Model!$D$969</c:f>
              <c:strCache>
                <c:ptCount val="1"/>
                <c:pt idx="0">
                  <c:v>Import duties</c:v>
                </c:pt>
              </c:strCache>
            </c:strRef>
          </c:tx>
          <c:spPr>
            <a:solidFill>
              <a:srgbClr val="C5325D"/>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Model!$G$969:$AT$969</c:f>
              <c:numCache>
                <c:formatCode>#,##0_);[Red]\(#,##0\);\-</c:formatCode>
                <c:ptCount val="40"/>
                <c:pt idx="0">
                  <c:v>0</c:v>
                </c:pt>
                <c:pt idx="1">
                  <c:v>0</c:v>
                </c:pt>
                <c:pt idx="2">
                  <c:v>2.8125000000000004</c:v>
                </c:pt>
                <c:pt idx="3">
                  <c:v>11.25</c:v>
                </c:pt>
                <c:pt idx="4">
                  <c:v>5.4375000000000009</c:v>
                </c:pt>
                <c:pt idx="5">
                  <c:v>7.6250000000000009</c:v>
                </c:pt>
                <c:pt idx="6">
                  <c:v>7.625</c:v>
                </c:pt>
                <c:pt idx="7">
                  <c:v>7.625</c:v>
                </c:pt>
                <c:pt idx="8">
                  <c:v>7.625</c:v>
                </c:pt>
                <c:pt idx="9">
                  <c:v>7.6249999999999991</c:v>
                </c:pt>
                <c:pt idx="10">
                  <c:v>7.625</c:v>
                </c:pt>
                <c:pt idx="11">
                  <c:v>7.6249999999999991</c:v>
                </c:pt>
                <c:pt idx="12">
                  <c:v>7.6250000000000009</c:v>
                </c:pt>
                <c:pt idx="13">
                  <c:v>7.6250000000000009</c:v>
                </c:pt>
                <c:pt idx="14">
                  <c:v>7.6250000000000018</c:v>
                </c:pt>
                <c:pt idx="15">
                  <c:v>7.625</c:v>
                </c:pt>
                <c:pt idx="16">
                  <c:v>7.6250000000000018</c:v>
                </c:pt>
                <c:pt idx="17">
                  <c:v>7.6250000000000009</c:v>
                </c:pt>
                <c:pt idx="18">
                  <c:v>7.6250000000000009</c:v>
                </c:pt>
                <c:pt idx="19">
                  <c:v>7.625</c:v>
                </c:pt>
                <c:pt idx="20">
                  <c:v>7.6250000000000009</c:v>
                </c:pt>
                <c:pt idx="21">
                  <c:v>7.625</c:v>
                </c:pt>
                <c:pt idx="22">
                  <c:v>7.6250000000000018</c:v>
                </c:pt>
                <c:pt idx="23">
                  <c:v>7.625</c:v>
                </c:pt>
                <c:pt idx="24">
                  <c:v>7.6250000000000009</c:v>
                </c:pt>
                <c:pt idx="25">
                  <c:v>7.6250000000000009</c:v>
                </c:pt>
                <c:pt idx="26">
                  <c:v>6.875</c:v>
                </c:pt>
                <c:pt idx="27">
                  <c:v>2.625</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1B6F-47F7-92B4-113B99A0D32D}"/>
            </c:ext>
          </c:extLst>
        </c:ser>
        <c:ser>
          <c:idx val="0"/>
          <c:order val="1"/>
          <c:tx>
            <c:strRef>
              <c:f>Model!$D$970</c:f>
              <c:strCache>
                <c:ptCount val="1"/>
                <c:pt idx="0">
                  <c:v>VAT</c:v>
                </c:pt>
              </c:strCache>
            </c:strRef>
          </c:tx>
          <c:spPr>
            <a:solidFill>
              <a:srgbClr val="E8ADBE"/>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Model!$G$970:$AT$970</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1B6F-47F7-92B4-113B99A0D32D}"/>
            </c:ext>
          </c:extLst>
        </c:ser>
        <c:ser>
          <c:idx val="13"/>
          <c:order val="2"/>
          <c:tx>
            <c:strRef>
              <c:f>Model!$D$971</c:f>
              <c:strCache>
                <c:ptCount val="1"/>
                <c:pt idx="0">
                  <c:v>Skills development levy</c:v>
                </c:pt>
              </c:strCache>
            </c:strRef>
          </c:tx>
          <c:spPr>
            <a:solidFill>
              <a:srgbClr val="FFF3D3"/>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Model!$G$971:$AT$971</c:f>
              <c:numCache>
                <c:formatCode>#,##0_);[Red]\(#,##0\);\-</c:formatCode>
                <c:ptCount val="40"/>
                <c:pt idx="0">
                  <c:v>0</c:v>
                </c:pt>
                <c:pt idx="1">
                  <c:v>0</c:v>
                </c:pt>
                <c:pt idx="2">
                  <c:v>0</c:v>
                </c:pt>
                <c:pt idx="3">
                  <c:v>0</c:v>
                </c:pt>
                <c:pt idx="4">
                  <c:v>0.84000000000000008</c:v>
                </c:pt>
                <c:pt idx="5">
                  <c:v>1.9600000000000004</c:v>
                </c:pt>
                <c:pt idx="6">
                  <c:v>1.96</c:v>
                </c:pt>
                <c:pt idx="7">
                  <c:v>1.9600000000000002</c:v>
                </c:pt>
                <c:pt idx="8">
                  <c:v>1.96</c:v>
                </c:pt>
                <c:pt idx="9">
                  <c:v>1.96</c:v>
                </c:pt>
                <c:pt idx="10">
                  <c:v>1.9600000000000004</c:v>
                </c:pt>
                <c:pt idx="11">
                  <c:v>1.96</c:v>
                </c:pt>
                <c:pt idx="12">
                  <c:v>1.9600000000000004</c:v>
                </c:pt>
                <c:pt idx="13">
                  <c:v>1.9600000000000002</c:v>
                </c:pt>
                <c:pt idx="14">
                  <c:v>1.9600000000000002</c:v>
                </c:pt>
                <c:pt idx="15">
                  <c:v>1.96</c:v>
                </c:pt>
                <c:pt idx="16">
                  <c:v>1.9600000000000002</c:v>
                </c:pt>
                <c:pt idx="17">
                  <c:v>1.9600000000000002</c:v>
                </c:pt>
                <c:pt idx="18">
                  <c:v>1.96</c:v>
                </c:pt>
                <c:pt idx="19">
                  <c:v>1.9600000000000002</c:v>
                </c:pt>
                <c:pt idx="20">
                  <c:v>1.9600000000000002</c:v>
                </c:pt>
                <c:pt idx="21">
                  <c:v>1.9600000000000004</c:v>
                </c:pt>
                <c:pt idx="22">
                  <c:v>1.9600000000000002</c:v>
                </c:pt>
                <c:pt idx="23">
                  <c:v>1.9600000000000002</c:v>
                </c:pt>
                <c:pt idx="24">
                  <c:v>1.9600000000000002</c:v>
                </c:pt>
                <c:pt idx="25">
                  <c:v>1.9600000000000004</c:v>
                </c:pt>
                <c:pt idx="26">
                  <c:v>1.9600000000000002</c:v>
                </c:pt>
                <c:pt idx="27">
                  <c:v>0.84000000000000008</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80FF-4C83-8181-78CDDE873FA0}"/>
            </c:ext>
          </c:extLst>
        </c:ser>
        <c:ser>
          <c:idx val="4"/>
          <c:order val="3"/>
          <c:tx>
            <c:strRef>
              <c:f>Model!$D$972</c:f>
              <c:strCache>
                <c:ptCount val="1"/>
                <c:pt idx="0">
                  <c:v>Royalty</c:v>
                </c:pt>
              </c:strCache>
            </c:strRef>
          </c:tx>
          <c:spPr>
            <a:solidFill>
              <a:srgbClr val="FFD66D"/>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Model!$G$972:$AT$972</c:f>
              <c:numCache>
                <c:formatCode>#,##0_);[Red]\(#,##0\);\-</c:formatCode>
                <c:ptCount val="40"/>
                <c:pt idx="0">
                  <c:v>0</c:v>
                </c:pt>
                <c:pt idx="1">
                  <c:v>0</c:v>
                </c:pt>
                <c:pt idx="2">
                  <c:v>0</c:v>
                </c:pt>
                <c:pt idx="3">
                  <c:v>0</c:v>
                </c:pt>
                <c:pt idx="4">
                  <c:v>16.8</c:v>
                </c:pt>
                <c:pt idx="5">
                  <c:v>39.199999999999996</c:v>
                </c:pt>
                <c:pt idx="6">
                  <c:v>39.199999999999996</c:v>
                </c:pt>
                <c:pt idx="7">
                  <c:v>39.199999999999996</c:v>
                </c:pt>
                <c:pt idx="8">
                  <c:v>39.199999999999989</c:v>
                </c:pt>
                <c:pt idx="9">
                  <c:v>39.199999999999996</c:v>
                </c:pt>
                <c:pt idx="10">
                  <c:v>39.199999999999996</c:v>
                </c:pt>
                <c:pt idx="11">
                  <c:v>39.199999999999996</c:v>
                </c:pt>
                <c:pt idx="12">
                  <c:v>39.200000000000003</c:v>
                </c:pt>
                <c:pt idx="13">
                  <c:v>39.199999999999996</c:v>
                </c:pt>
                <c:pt idx="14">
                  <c:v>39.199999999999996</c:v>
                </c:pt>
                <c:pt idx="15">
                  <c:v>39.199999999999996</c:v>
                </c:pt>
                <c:pt idx="16">
                  <c:v>39.199999999999996</c:v>
                </c:pt>
                <c:pt idx="17">
                  <c:v>39.199999999999996</c:v>
                </c:pt>
                <c:pt idx="18">
                  <c:v>39.199999999999996</c:v>
                </c:pt>
                <c:pt idx="19">
                  <c:v>39.199999999999996</c:v>
                </c:pt>
                <c:pt idx="20">
                  <c:v>39.199999999999996</c:v>
                </c:pt>
                <c:pt idx="21">
                  <c:v>39.199999999999996</c:v>
                </c:pt>
                <c:pt idx="22">
                  <c:v>39.200000000000003</c:v>
                </c:pt>
                <c:pt idx="23">
                  <c:v>39.199999999999996</c:v>
                </c:pt>
                <c:pt idx="24">
                  <c:v>39.199999999999996</c:v>
                </c:pt>
                <c:pt idx="25">
                  <c:v>39.199999999999996</c:v>
                </c:pt>
                <c:pt idx="26">
                  <c:v>39.199999999999989</c:v>
                </c:pt>
                <c:pt idx="27">
                  <c:v>16.799999999999997</c:v>
                </c:pt>
                <c:pt idx="28">
                  <c:v>0</c:v>
                </c:pt>
                <c:pt idx="29">
                  <c:v>0</c:v>
                </c:pt>
                <c:pt idx="30">
                  <c:v>0</c:v>
                </c:pt>
                <c:pt idx="31">
                  <c:v>0</c:v>
                </c:pt>
                <c:pt idx="32">
                  <c:v>0</c:v>
                </c:pt>
                <c:pt idx="33">
                  <c:v>0</c:v>
                </c:pt>
                <c:pt idx="34">
                  <c:v>0</c:v>
                </c:pt>
                <c:pt idx="35">
                  <c:v>0</c:v>
                </c:pt>
                <c:pt idx="36">
                  <c:v>0</c:v>
                </c:pt>
                <c:pt idx="37">
                  <c:v>0</c:v>
                </c:pt>
                <c:pt idx="38">
                  <c:v>0</c:v>
                </c:pt>
                <c:pt idx="39">
                  <c:v>0</c:v>
                </c:pt>
              </c:numCache>
            </c:numRef>
          </c:val>
          <c:extLst xmlns:c15="http://schemas.microsoft.com/office/drawing/2012/chart">
            <c:ext xmlns:c16="http://schemas.microsoft.com/office/drawing/2014/chart" uri="{C3380CC4-5D6E-409C-BE32-E72D297353CC}">
              <c16:uniqueId val="{00000009-1B6F-47F7-92B4-113B99A0D32D}"/>
            </c:ext>
          </c:extLst>
        </c:ser>
        <c:ser>
          <c:idx val="5"/>
          <c:order val="4"/>
          <c:tx>
            <c:strRef>
              <c:f>Model!$D$973</c:f>
              <c:strCache>
                <c:ptCount val="1"/>
                <c:pt idx="0">
                  <c:v>Variable rate royalty</c:v>
                </c:pt>
              </c:strCache>
            </c:strRef>
          </c:tx>
          <c:spPr>
            <a:solidFill>
              <a:srgbClr val="B3EFEF"/>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Model!$G$973:$AT$973</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xmlns:c15="http://schemas.microsoft.com/office/drawing/2012/chart">
            <c:ext xmlns:c16="http://schemas.microsoft.com/office/drawing/2014/chart" uri="{C3380CC4-5D6E-409C-BE32-E72D297353CC}">
              <c16:uniqueId val="{00000002-1B6F-47F7-92B4-113B99A0D32D}"/>
            </c:ext>
          </c:extLst>
        </c:ser>
        <c:ser>
          <c:idx val="8"/>
          <c:order val="5"/>
          <c:tx>
            <c:strRef>
              <c:f>Model!$D$974</c:f>
              <c:strCache>
                <c:ptCount val="1"/>
                <c:pt idx="0">
                  <c:v>South Africa variable royalty</c:v>
                </c:pt>
              </c:strCache>
            </c:strRef>
          </c:tx>
          <c:spPr>
            <a:solidFill>
              <a:srgbClr val="66DFDE"/>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Model!$G$974:$AT$974</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xmlns:c15="http://schemas.microsoft.com/office/drawing/2012/chart">
            <c:ext xmlns:c16="http://schemas.microsoft.com/office/drawing/2014/chart" uri="{C3380CC4-5D6E-409C-BE32-E72D297353CC}">
              <c16:uniqueId val="{0000000A-1B6F-47F7-92B4-113B99A0D32D}"/>
            </c:ext>
          </c:extLst>
        </c:ser>
        <c:ser>
          <c:idx val="6"/>
          <c:order val="6"/>
          <c:tx>
            <c:strRef>
              <c:f>Model!$D$975</c:f>
              <c:strCache>
                <c:ptCount val="1"/>
                <c:pt idx="0">
                  <c:v>Operating profit tax</c:v>
                </c:pt>
              </c:strCache>
            </c:strRef>
          </c:tx>
          <c:spPr>
            <a:solidFill>
              <a:srgbClr val="FFE6A7"/>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Model!$G$975:$AT$975</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1B6F-47F7-92B4-113B99A0D32D}"/>
            </c:ext>
          </c:extLst>
        </c:ser>
        <c:ser>
          <c:idx val="14"/>
          <c:order val="7"/>
          <c:tx>
            <c:strRef>
              <c:f>Model!$D$976</c:f>
              <c:strCache>
                <c:ptCount val="1"/>
                <c:pt idx="0">
                  <c:v>DRC excess profits tax</c:v>
                </c:pt>
              </c:strCache>
            </c:strRef>
          </c:tx>
          <c:spPr>
            <a:solidFill>
              <a:srgbClr val="FFA8AB"/>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Model!$G$976:$AT$976</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AECE-4B6D-89D9-869E100ACF8D}"/>
            </c:ext>
          </c:extLst>
        </c:ser>
        <c:ser>
          <c:idx val="9"/>
          <c:order val="8"/>
          <c:tx>
            <c:strRef>
              <c:f>Model!$D$978</c:f>
              <c:strCache>
                <c:ptCount val="1"/>
                <c:pt idx="0">
                  <c:v>Corporate income tax</c:v>
                </c:pt>
              </c:strCache>
            </c:strRef>
          </c:tx>
          <c:spPr>
            <a:solidFill>
              <a:srgbClr val="00545A"/>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Model!$G$978:$AT$978</c:f>
              <c:numCache>
                <c:formatCode>#,##0_);[Red]\(#,##0\);\-</c:formatCode>
                <c:ptCount val="40"/>
                <c:pt idx="0">
                  <c:v>0</c:v>
                </c:pt>
                <c:pt idx="1">
                  <c:v>0</c:v>
                </c:pt>
                <c:pt idx="2">
                  <c:v>0</c:v>
                </c:pt>
                <c:pt idx="3">
                  <c:v>0</c:v>
                </c:pt>
                <c:pt idx="4">
                  <c:v>0</c:v>
                </c:pt>
                <c:pt idx="5">
                  <c:v>34.820393049614836</c:v>
                </c:pt>
                <c:pt idx="6">
                  <c:v>46.675021858108884</c:v>
                </c:pt>
                <c:pt idx="7">
                  <c:v>45.794511955951009</c:v>
                </c:pt>
                <c:pt idx="8">
                  <c:v>44.914112199184174</c:v>
                </c:pt>
                <c:pt idx="9">
                  <c:v>68.010951123181727</c:v>
                </c:pt>
                <c:pt idx="10">
                  <c:v>68.010951123181712</c:v>
                </c:pt>
                <c:pt idx="11">
                  <c:v>68.010951123181698</c:v>
                </c:pt>
                <c:pt idx="12">
                  <c:v>68.010951123181712</c:v>
                </c:pt>
                <c:pt idx="13">
                  <c:v>68.010951123181727</c:v>
                </c:pt>
                <c:pt idx="14">
                  <c:v>68.010951123181712</c:v>
                </c:pt>
                <c:pt idx="15">
                  <c:v>68.010951123181712</c:v>
                </c:pt>
                <c:pt idx="16">
                  <c:v>68.010951123181727</c:v>
                </c:pt>
                <c:pt idx="17">
                  <c:v>68.010951123181727</c:v>
                </c:pt>
                <c:pt idx="18">
                  <c:v>67.533678395908993</c:v>
                </c:pt>
                <c:pt idx="19">
                  <c:v>67.532568090461695</c:v>
                </c:pt>
                <c:pt idx="20">
                  <c:v>67.5300703218725</c:v>
                </c:pt>
                <c:pt idx="21">
                  <c:v>67.525773866996218</c:v>
                </c:pt>
                <c:pt idx="22">
                  <c:v>67.519033276560208</c:v>
                </c:pt>
                <c:pt idx="23">
                  <c:v>66.773754625861415</c:v>
                </c:pt>
                <c:pt idx="24">
                  <c:v>66.757866321887349</c:v>
                </c:pt>
                <c:pt idx="25">
                  <c:v>66.731692667472117</c:v>
                </c:pt>
                <c:pt idx="26">
                  <c:v>68.105599696015446</c:v>
                </c:pt>
                <c:pt idx="27">
                  <c:v>15.265443241264967</c:v>
                </c:pt>
                <c:pt idx="28">
                  <c:v>0</c:v>
                </c:pt>
                <c:pt idx="29">
                  <c:v>0</c:v>
                </c:pt>
                <c:pt idx="30">
                  <c:v>0</c:v>
                </c:pt>
                <c:pt idx="31">
                  <c:v>0</c:v>
                </c:pt>
                <c:pt idx="32">
                  <c:v>0</c:v>
                </c:pt>
                <c:pt idx="33">
                  <c:v>0</c:v>
                </c:pt>
                <c:pt idx="34">
                  <c:v>0</c:v>
                </c:pt>
                <c:pt idx="35">
                  <c:v>0</c:v>
                </c:pt>
                <c:pt idx="36">
                  <c:v>0</c:v>
                </c:pt>
                <c:pt idx="37">
                  <c:v>0</c:v>
                </c:pt>
                <c:pt idx="38">
                  <c:v>0</c:v>
                </c:pt>
                <c:pt idx="39">
                  <c:v>0</c:v>
                </c:pt>
              </c:numCache>
            </c:numRef>
          </c:val>
          <c:extLst xmlns:c15="http://schemas.microsoft.com/office/drawing/2012/chart">
            <c:ext xmlns:c16="http://schemas.microsoft.com/office/drawing/2014/chart" uri="{C3380CC4-5D6E-409C-BE32-E72D297353CC}">
              <c16:uniqueId val="{00000004-1B6F-47F7-92B4-113B99A0D32D}"/>
            </c:ext>
          </c:extLst>
        </c:ser>
        <c:ser>
          <c:idx val="10"/>
          <c:order val="9"/>
          <c:tx>
            <c:strRef>
              <c:f>Model!$D$979</c:f>
              <c:strCache>
                <c:ptCount val="1"/>
                <c:pt idx="0">
                  <c:v>Resource rent tax</c:v>
                </c:pt>
              </c:strCache>
            </c:strRef>
          </c:tx>
          <c:spPr>
            <a:solidFill>
              <a:srgbClr val="D6708E"/>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Model!$G$979:$AT$979</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xmlns:c15="http://schemas.microsoft.com/office/drawing/2012/chart">
            <c:ext xmlns:c16="http://schemas.microsoft.com/office/drawing/2014/chart" uri="{C3380CC4-5D6E-409C-BE32-E72D297353CC}">
              <c16:uniqueId val="{0000000B-1B6F-47F7-92B4-113B99A0D32D}"/>
            </c:ext>
          </c:extLst>
        </c:ser>
        <c:ser>
          <c:idx val="12"/>
          <c:order val="10"/>
          <c:tx>
            <c:strRef>
              <c:f>Model!$D$980</c:f>
              <c:strCache>
                <c:ptCount val="1"/>
                <c:pt idx="0">
                  <c:v>South Africa gold profit tax</c:v>
                </c:pt>
              </c:strCache>
            </c:strRef>
          </c:tx>
          <c:spPr>
            <a:solidFill>
              <a:srgbClr val="CCAB57"/>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Model!$G$980:$AT$980</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xmlns:c15="http://schemas.microsoft.com/office/drawing/2012/chart">
            <c:ext xmlns:c16="http://schemas.microsoft.com/office/drawing/2014/chart" uri="{C3380CC4-5D6E-409C-BE32-E72D297353CC}">
              <c16:uniqueId val="{00000005-1B6F-47F7-92B4-113B99A0D32D}"/>
            </c:ext>
          </c:extLst>
        </c:ser>
        <c:ser>
          <c:idx val="7"/>
          <c:order val="11"/>
          <c:tx>
            <c:strRef>
              <c:f>Model!$D$982</c:f>
              <c:strCache>
                <c:ptCount val="1"/>
                <c:pt idx="0">
                  <c:v>Govt share of repaid loans</c:v>
                </c:pt>
              </c:strCache>
            </c:strRef>
          </c:tx>
          <c:spPr>
            <a:solidFill>
              <a:srgbClr val="00A1A0"/>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Model!$G$982:$AT$982</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EC20-4C80-A3F1-2BA19BC5E5AA}"/>
            </c:ext>
          </c:extLst>
        </c:ser>
        <c:ser>
          <c:idx val="2"/>
          <c:order val="12"/>
          <c:tx>
            <c:strRef>
              <c:f>Model!$D$983</c:f>
              <c:strCache>
                <c:ptCount val="1"/>
                <c:pt idx="0">
                  <c:v>State dividends</c:v>
                </c:pt>
              </c:strCache>
            </c:strRef>
          </c:tx>
          <c:spPr>
            <a:solidFill>
              <a:srgbClr val="FF7D5F"/>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Model!$G$983:$AT$983</c:f>
              <c:numCache>
                <c:formatCode>#,##0_);[Red]\(#,##0\);\-</c:formatCode>
                <c:ptCount val="40"/>
                <c:pt idx="0">
                  <c:v>0</c:v>
                </c:pt>
                <c:pt idx="1">
                  <c:v>0</c:v>
                </c:pt>
                <c:pt idx="2">
                  <c:v>0</c:v>
                </c:pt>
                <c:pt idx="3">
                  <c:v>0</c:v>
                </c:pt>
                <c:pt idx="4">
                  <c:v>0</c:v>
                </c:pt>
                <c:pt idx="5">
                  <c:v>0</c:v>
                </c:pt>
                <c:pt idx="6">
                  <c:v>4.4556994639287035</c:v>
                </c:pt>
                <c:pt idx="7">
                  <c:v>21.933442852571041</c:v>
                </c:pt>
                <c:pt idx="8">
                  <c:v>22.664430373658821</c:v>
                </c:pt>
                <c:pt idx="9">
                  <c:v>25.144647820290935</c:v>
                </c:pt>
                <c:pt idx="10">
                  <c:v>25.144647820290942</c:v>
                </c:pt>
                <c:pt idx="11">
                  <c:v>25.144647820290928</c:v>
                </c:pt>
                <c:pt idx="12">
                  <c:v>25.144647820290938</c:v>
                </c:pt>
                <c:pt idx="13">
                  <c:v>25.144647820290935</c:v>
                </c:pt>
                <c:pt idx="14">
                  <c:v>25.144647820290931</c:v>
                </c:pt>
                <c:pt idx="15">
                  <c:v>25.144647820290931</c:v>
                </c:pt>
                <c:pt idx="16">
                  <c:v>25.144647820290935</c:v>
                </c:pt>
                <c:pt idx="17">
                  <c:v>25.144647820290942</c:v>
                </c:pt>
                <c:pt idx="18">
                  <c:v>24.966466002109126</c:v>
                </c:pt>
                <c:pt idx="19">
                  <c:v>24.966051488075454</c:v>
                </c:pt>
                <c:pt idx="20">
                  <c:v>24.965118987802153</c:v>
                </c:pt>
                <c:pt idx="21">
                  <c:v>24.963514977981678</c:v>
                </c:pt>
                <c:pt idx="22">
                  <c:v>24.960998490885583</c:v>
                </c:pt>
                <c:pt idx="23">
                  <c:v>24.682761127958038</c:v>
                </c:pt>
                <c:pt idx="24">
                  <c:v>24.676829494474362</c:v>
                </c:pt>
                <c:pt idx="25">
                  <c:v>24.667057996826014</c:v>
                </c:pt>
                <c:pt idx="26">
                  <c:v>27.739983287482197</c:v>
                </c:pt>
                <c:pt idx="27">
                  <c:v>15.494658173349142</c:v>
                </c:pt>
                <c:pt idx="28">
                  <c:v>0</c:v>
                </c:pt>
                <c:pt idx="29">
                  <c:v>0</c:v>
                </c:pt>
                <c:pt idx="30">
                  <c:v>0</c:v>
                </c:pt>
                <c:pt idx="31">
                  <c:v>0</c:v>
                </c:pt>
                <c:pt idx="32">
                  <c:v>0</c:v>
                </c:pt>
                <c:pt idx="33">
                  <c:v>0</c:v>
                </c:pt>
                <c:pt idx="34">
                  <c:v>0</c:v>
                </c:pt>
                <c:pt idx="35">
                  <c:v>0</c:v>
                </c:pt>
                <c:pt idx="36">
                  <c:v>0</c:v>
                </c:pt>
                <c:pt idx="37">
                  <c:v>0</c:v>
                </c:pt>
                <c:pt idx="38">
                  <c:v>0</c:v>
                </c:pt>
                <c:pt idx="39">
                  <c:v>0</c:v>
                </c:pt>
              </c:numCache>
            </c:numRef>
          </c:val>
          <c:extLst xmlns:c15="http://schemas.microsoft.com/office/drawing/2012/chart">
            <c:ext xmlns:c16="http://schemas.microsoft.com/office/drawing/2014/chart" uri="{C3380CC4-5D6E-409C-BE32-E72D297353CC}">
              <c16:uniqueId val="{00000000-70B6-4480-8089-70B80BB1D4C2}"/>
            </c:ext>
          </c:extLst>
        </c:ser>
        <c:ser>
          <c:idx val="3"/>
          <c:order val="13"/>
          <c:tx>
            <c:strRef>
              <c:f>Model!$D$984</c:f>
              <c:strCache>
                <c:ptCount val="1"/>
                <c:pt idx="0">
                  <c:v>Dividend withholding tax</c:v>
                </c:pt>
              </c:strCache>
            </c:strRef>
          </c:tx>
          <c:spPr>
            <a:solidFill>
              <a:srgbClr val="00C9C8"/>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Model!$G$984:$AT$984</c:f>
              <c:numCache>
                <c:formatCode>#,##0_);[Red]\(#,##0\);\-</c:formatCode>
                <c:ptCount val="40"/>
                <c:pt idx="0">
                  <c:v>0</c:v>
                </c:pt>
                <c:pt idx="1">
                  <c:v>0</c:v>
                </c:pt>
                <c:pt idx="2">
                  <c:v>0</c:v>
                </c:pt>
                <c:pt idx="3">
                  <c:v>0</c:v>
                </c:pt>
                <c:pt idx="4">
                  <c:v>0</c:v>
                </c:pt>
                <c:pt idx="5">
                  <c:v>0</c:v>
                </c:pt>
                <c:pt idx="6">
                  <c:v>2.3392422185625694</c:v>
                </c:pt>
                <c:pt idx="7">
                  <c:v>11.515057497599797</c:v>
                </c:pt>
                <c:pt idx="8">
                  <c:v>11.898825946170883</c:v>
                </c:pt>
                <c:pt idx="9">
                  <c:v>13.200940105652743</c:v>
                </c:pt>
                <c:pt idx="10">
                  <c:v>13.200940105652744</c:v>
                </c:pt>
                <c:pt idx="11">
                  <c:v>13.200940105652734</c:v>
                </c:pt>
                <c:pt idx="12">
                  <c:v>13.200940105652741</c:v>
                </c:pt>
                <c:pt idx="13">
                  <c:v>13.200940105652741</c:v>
                </c:pt>
                <c:pt idx="14">
                  <c:v>13.200940105652741</c:v>
                </c:pt>
                <c:pt idx="15">
                  <c:v>13.200940105652737</c:v>
                </c:pt>
                <c:pt idx="16">
                  <c:v>13.200940105652743</c:v>
                </c:pt>
                <c:pt idx="17">
                  <c:v>13.200940105652744</c:v>
                </c:pt>
                <c:pt idx="18">
                  <c:v>13.10739465110729</c:v>
                </c:pt>
                <c:pt idx="19">
                  <c:v>13.107177031239615</c:v>
                </c:pt>
                <c:pt idx="20">
                  <c:v>13.106687468596132</c:v>
                </c:pt>
                <c:pt idx="21">
                  <c:v>13.105845363440379</c:v>
                </c:pt>
                <c:pt idx="22">
                  <c:v>13.104524207714931</c:v>
                </c:pt>
                <c:pt idx="23">
                  <c:v>12.958449592177971</c:v>
                </c:pt>
                <c:pt idx="24">
                  <c:v>12.95533548459904</c:v>
                </c:pt>
                <c:pt idx="25">
                  <c:v>12.950205448333659</c:v>
                </c:pt>
                <c:pt idx="26">
                  <c:v>14.563491225928157</c:v>
                </c:pt>
                <c:pt idx="27">
                  <c:v>8.1346955410083002</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D0FB-4D46-8242-0F7C419658C0}"/>
            </c:ext>
          </c:extLst>
        </c:ser>
        <c:ser>
          <c:idx val="11"/>
          <c:order val="14"/>
          <c:tx>
            <c:strRef>
              <c:f>Model!$D$985</c:f>
              <c:strCache>
                <c:ptCount val="1"/>
                <c:pt idx="0">
                  <c:v>Interest withholding tax</c:v>
                </c:pt>
              </c:strCache>
            </c:strRef>
          </c:tx>
          <c:spPr>
            <a:solidFill>
              <a:srgbClr val="FF8287"/>
            </a:solidFill>
            <a:ln>
              <a:noFill/>
            </a:ln>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Model!$G$985:$AT$985</c:f>
              <c:numCache>
                <c:formatCode>#,##0_);[Red]\(#,##0\);\-</c:formatCode>
                <c:ptCount val="40"/>
                <c:pt idx="0">
                  <c:v>0</c:v>
                </c:pt>
                <c:pt idx="1">
                  <c:v>0</c:v>
                </c:pt>
                <c:pt idx="2">
                  <c:v>0</c:v>
                </c:pt>
                <c:pt idx="3">
                  <c:v>0</c:v>
                </c:pt>
                <c:pt idx="4">
                  <c:v>1.5474048442906576</c:v>
                </c:pt>
                <c:pt idx="5">
                  <c:v>1.2136508582671823</c:v>
                </c:pt>
                <c:pt idx="6">
                  <c:v>0.89239033696116365</c:v>
                </c:pt>
                <c:pt idx="7">
                  <c:v>0.58326165814455144</c:v>
                </c:pt>
                <c:pt idx="8">
                  <c:v>0.28591257752183896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80FF-4C83-8181-78CDDE873FA0}"/>
            </c:ext>
          </c:extLst>
        </c:ser>
        <c:ser>
          <c:idx val="15"/>
          <c:order val="15"/>
          <c:tx>
            <c:strRef>
              <c:f>Model!$D$986</c:f>
              <c:strCache>
                <c:ptCount val="1"/>
                <c:pt idx="0">
                  <c:v>Adjustment to govt benefit share</c:v>
                </c:pt>
              </c:strCache>
            </c:strRef>
          </c:tx>
          <c:spPr>
            <a:solidFill>
              <a:srgbClr val="9E284A"/>
            </a:solidFill>
          </c:spPr>
          <c:cat>
            <c:numRef>
              <c:f>Model!$G$968:$AT$968</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Model!$G$986:$AT$986</c:f>
              <c:numCache>
                <c:formatCode>#,##0_);[Red]\(#,##0\);\-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EC20-4C80-A3F1-2BA19BC5E5AA}"/>
            </c:ext>
          </c:extLst>
        </c:ser>
        <c:dLbls>
          <c:showLegendKey val="0"/>
          <c:showVal val="0"/>
          <c:showCatName val="0"/>
          <c:showSerName val="0"/>
          <c:showPercent val="0"/>
          <c:showBubbleSize val="0"/>
        </c:dLbls>
        <c:axId val="576392312"/>
        <c:axId val="576384864"/>
        <c:extLst/>
      </c:areaChart>
      <c:catAx>
        <c:axId val="576392312"/>
        <c:scaling>
          <c:orientation val="minMax"/>
        </c:scaling>
        <c:delete val="0"/>
        <c:axPos val="b"/>
        <c:numFmt formatCode="General" sourceLinked="1"/>
        <c:majorTickMark val="out"/>
        <c:minorTickMark val="none"/>
        <c:tickLblPos val="nextTo"/>
        <c:crossAx val="576384864"/>
        <c:crosses val="autoZero"/>
        <c:auto val="1"/>
        <c:lblAlgn val="ctr"/>
        <c:lblOffset val="100"/>
        <c:tickLblSkip val="2"/>
        <c:noMultiLvlLbl val="0"/>
      </c:catAx>
      <c:valAx>
        <c:axId val="576384864"/>
        <c:scaling>
          <c:orientation val="minMax"/>
        </c:scaling>
        <c:delete val="0"/>
        <c:axPos val="l"/>
        <c:majorGridlines>
          <c:spPr>
            <a:ln>
              <a:solidFill>
                <a:schemeClr val="bg1">
                  <a:lumMod val="85000"/>
                </a:schemeClr>
              </a:solidFill>
              <a:prstDash val="solid"/>
            </a:ln>
          </c:spPr>
        </c:majorGridlines>
        <c:title>
          <c:tx>
            <c:rich>
              <a:bodyPr rot="-5400000" vert="horz"/>
              <a:lstStyle/>
              <a:p>
                <a:pPr>
                  <a:defRPr/>
                </a:pPr>
                <a:r>
                  <a:rPr lang="en-US"/>
                  <a:t>USD millions</a:t>
                </a:r>
              </a:p>
            </c:rich>
          </c:tx>
          <c:layout>
            <c:manualLayout>
              <c:xMode val="edge"/>
              <c:yMode val="edge"/>
              <c:x val="2.3170394374568055E-3"/>
              <c:y val="0.31838123160734105"/>
            </c:manualLayout>
          </c:layout>
          <c:overlay val="0"/>
        </c:title>
        <c:numFmt formatCode="General" sourceLinked="0"/>
        <c:majorTickMark val="out"/>
        <c:minorTickMark val="none"/>
        <c:tickLblPos val="nextTo"/>
        <c:crossAx val="576392312"/>
        <c:crosses val="autoZero"/>
        <c:crossBetween val="midCat"/>
      </c:valAx>
    </c:plotArea>
    <c:legend>
      <c:legendPos val="b"/>
      <c:layout>
        <c:manualLayout>
          <c:xMode val="edge"/>
          <c:yMode val="edge"/>
          <c:x val="4.270530369476536E-3"/>
          <c:y val="0.6702898373042806"/>
          <c:w val="0.99542197196110527"/>
          <c:h val="0.3297101626957194"/>
        </c:manualLayout>
      </c:layout>
      <c:overlay val="0"/>
    </c:legend>
    <c:plotVisOnly val="1"/>
    <c:dispBlanksAs val="gap"/>
    <c:showDLblsOverMax val="0"/>
  </c:chart>
  <c:txPr>
    <a:bodyPr/>
    <a:lstStyle/>
    <a:p>
      <a:pPr>
        <a:defRPr sz="1100">
          <a:solidFill>
            <a:schemeClr val="tx1">
              <a:lumMod val="75000"/>
              <a:lumOff val="25000"/>
            </a:schemeClr>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Proportion of total lifetime revenues by tax type</a:t>
            </a:r>
          </a:p>
        </c:rich>
      </c:tx>
      <c:layout>
        <c:manualLayout>
          <c:xMode val="edge"/>
          <c:yMode val="edge"/>
          <c:x val="0.26508966137832635"/>
          <c:y val="7.0017509890662423E-3"/>
        </c:manualLayout>
      </c:layout>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6.5797378745336629E-2"/>
          <c:y val="9.3070912851906898E-2"/>
          <c:w val="0.91479692992795159"/>
          <c:h val="0.70862985105566556"/>
        </c:manualLayout>
      </c:layout>
      <c:barChart>
        <c:barDir val="bar"/>
        <c:grouping val="percentStacked"/>
        <c:varyColors val="0"/>
        <c:ser>
          <c:idx val="0"/>
          <c:order val="0"/>
          <c:tx>
            <c:strRef>
              <c:f>Model!$D$1223:$F$1223</c:f>
              <c:strCache>
                <c:ptCount val="3"/>
                <c:pt idx="0">
                  <c:v>Inputs</c:v>
                </c:pt>
              </c:strCache>
            </c:strRef>
          </c:tx>
          <c:spPr>
            <a:solidFill>
              <a:srgbClr val="00C9C8"/>
            </a:solidFill>
            <a:ln>
              <a:noFill/>
            </a:ln>
            <a:effectLst/>
          </c:spPr>
          <c:invertIfNegative val="0"/>
          <c:cat>
            <c:strRef>
              <c:f>Model!$G$1222:$Q$1222</c:f>
              <c:strCache>
                <c:ptCount val="11"/>
                <c:pt idx="0">
                  <c:v>Tanzania w/o sharing</c:v>
                </c:pt>
                <c:pt idx="1">
                  <c:v>Tanzania w 50/50 sharing</c:v>
                </c:pt>
                <c:pt idx="2">
                  <c:v>Ecuador</c:v>
                </c:pt>
                <c:pt idx="3">
                  <c:v>Philippines FTAA</c:v>
                </c:pt>
                <c:pt idx="4">
                  <c:v>Burkina Faso</c:v>
                </c:pt>
                <c:pt idx="5">
                  <c:v>DRC</c:v>
                </c:pt>
                <c:pt idx="6">
                  <c:v>Ghana</c:v>
                </c:pt>
                <c:pt idx="7">
                  <c:v>South Africa (gold)</c:v>
                </c:pt>
                <c:pt idx="8">
                  <c:v>Indonesia</c:v>
                </c:pt>
                <c:pt idx="9">
                  <c:v>Peru</c:v>
                </c:pt>
                <c:pt idx="10">
                  <c:v>Western Australia</c:v>
                </c:pt>
              </c:strCache>
            </c:strRef>
          </c:cat>
          <c:val>
            <c:numRef>
              <c:f>Model!$G$1223:$Q$1223</c:f>
              <c:numCache>
                <c:formatCode>_(* #,##0_);_(* \(#,##0\);_(* "-"??_);_(@_)</c:formatCode>
                <c:ptCount val="11"/>
                <c:pt idx="0">
                  <c:v>233.92500000000001</c:v>
                </c:pt>
                <c:pt idx="1">
                  <c:v>233.92500000000001</c:v>
                </c:pt>
                <c:pt idx="2">
                  <c:v>189.125</c:v>
                </c:pt>
                <c:pt idx="3">
                  <c:v>102.71250000000002</c:v>
                </c:pt>
                <c:pt idx="4">
                  <c:v>293.77499999999998</c:v>
                </c:pt>
                <c:pt idx="5">
                  <c:v>189.125</c:v>
                </c:pt>
                <c:pt idx="6">
                  <c:v>205.5</c:v>
                </c:pt>
                <c:pt idx="7">
                  <c:v>230.58499999999998</c:v>
                </c:pt>
                <c:pt idx="8">
                  <c:v>260.99250000000012</c:v>
                </c:pt>
                <c:pt idx="9">
                  <c:v>0</c:v>
                </c:pt>
                <c:pt idx="10">
                  <c:v>189.125</c:v>
                </c:pt>
              </c:numCache>
            </c:numRef>
          </c:val>
          <c:extLst>
            <c:ext xmlns:c16="http://schemas.microsoft.com/office/drawing/2014/chart" uri="{C3380CC4-5D6E-409C-BE32-E72D297353CC}">
              <c16:uniqueId val="{00000000-1340-46F7-9C2B-C3B5AFF65112}"/>
            </c:ext>
          </c:extLst>
        </c:ser>
        <c:ser>
          <c:idx val="1"/>
          <c:order val="1"/>
          <c:tx>
            <c:strRef>
              <c:f>Model!$D$1224:$F$1224</c:f>
              <c:strCache>
                <c:ptCount val="3"/>
                <c:pt idx="0">
                  <c:v>Gross sales</c:v>
                </c:pt>
              </c:strCache>
            </c:strRef>
          </c:tx>
          <c:spPr>
            <a:solidFill>
              <a:srgbClr val="00545A"/>
            </a:solidFill>
            <a:ln>
              <a:noFill/>
            </a:ln>
            <a:effectLst/>
          </c:spPr>
          <c:invertIfNegative val="0"/>
          <c:cat>
            <c:strRef>
              <c:f>Model!$G$1222:$Q$1222</c:f>
              <c:strCache>
                <c:ptCount val="11"/>
                <c:pt idx="0">
                  <c:v>Tanzania w/o sharing</c:v>
                </c:pt>
                <c:pt idx="1">
                  <c:v>Tanzania w 50/50 sharing</c:v>
                </c:pt>
                <c:pt idx="2">
                  <c:v>Ecuador</c:v>
                </c:pt>
                <c:pt idx="3">
                  <c:v>Philippines FTAA</c:v>
                </c:pt>
                <c:pt idx="4">
                  <c:v>Burkina Faso</c:v>
                </c:pt>
                <c:pt idx="5">
                  <c:v>DRC</c:v>
                </c:pt>
                <c:pt idx="6">
                  <c:v>Ghana</c:v>
                </c:pt>
                <c:pt idx="7">
                  <c:v>South Africa (gold)</c:v>
                </c:pt>
                <c:pt idx="8">
                  <c:v>Indonesia</c:v>
                </c:pt>
                <c:pt idx="9">
                  <c:v>Peru</c:v>
                </c:pt>
                <c:pt idx="10">
                  <c:v>Western Australia</c:v>
                </c:pt>
              </c:strCache>
            </c:strRef>
          </c:cat>
          <c:val>
            <c:numRef>
              <c:f>Model!$G$1224:$Q$1224</c:f>
              <c:numCache>
                <c:formatCode>_(* #,##0_);_(* \(#,##0\);_(* "-"??_);_(@_)</c:formatCode>
                <c:ptCount val="11"/>
                <c:pt idx="0">
                  <c:v>896.00000000000023</c:v>
                </c:pt>
                <c:pt idx="1">
                  <c:v>896.00000000000023</c:v>
                </c:pt>
                <c:pt idx="2">
                  <c:v>638.25750000000016</c:v>
                </c:pt>
                <c:pt idx="3">
                  <c:v>896.00000000000034</c:v>
                </c:pt>
                <c:pt idx="4">
                  <c:v>768</c:v>
                </c:pt>
                <c:pt idx="5">
                  <c:v>486.4000000000002</c:v>
                </c:pt>
                <c:pt idx="6">
                  <c:v>640</c:v>
                </c:pt>
                <c:pt idx="7">
                  <c:v>822.09388888888918</c:v>
                </c:pt>
                <c:pt idx="8">
                  <c:v>478.69312499999984</c:v>
                </c:pt>
                <c:pt idx="9">
                  <c:v>0</c:v>
                </c:pt>
                <c:pt idx="10">
                  <c:v>320</c:v>
                </c:pt>
              </c:numCache>
            </c:numRef>
          </c:val>
          <c:extLst>
            <c:ext xmlns:c16="http://schemas.microsoft.com/office/drawing/2014/chart" uri="{C3380CC4-5D6E-409C-BE32-E72D297353CC}">
              <c16:uniqueId val="{00000001-1340-46F7-9C2B-C3B5AFF65112}"/>
            </c:ext>
          </c:extLst>
        </c:ser>
        <c:ser>
          <c:idx val="2"/>
          <c:order val="2"/>
          <c:tx>
            <c:strRef>
              <c:f>Model!$D$1225:$F$1225</c:f>
              <c:strCache>
                <c:ptCount val="3"/>
                <c:pt idx="0">
                  <c:v>Operating profit</c:v>
                </c:pt>
              </c:strCache>
            </c:strRef>
          </c:tx>
          <c:spPr>
            <a:solidFill>
              <a:srgbClr val="FFD66D"/>
            </a:solidFill>
            <a:ln>
              <a:noFill/>
            </a:ln>
            <a:effectLst/>
          </c:spPr>
          <c:invertIfNegative val="0"/>
          <c:dPt>
            <c:idx val="9"/>
            <c:invertIfNegative val="0"/>
            <c:bubble3D val="0"/>
            <c:extLst>
              <c:ext xmlns:c16="http://schemas.microsoft.com/office/drawing/2014/chart" uri="{C3380CC4-5D6E-409C-BE32-E72D297353CC}">
                <c16:uniqueId val="{00000001-E912-4EAE-8716-B3436C2C33E5}"/>
              </c:ext>
            </c:extLst>
          </c:dPt>
          <c:cat>
            <c:strRef>
              <c:f>Model!$G$1222:$Q$1222</c:f>
              <c:strCache>
                <c:ptCount val="11"/>
                <c:pt idx="0">
                  <c:v>Tanzania w/o sharing</c:v>
                </c:pt>
                <c:pt idx="1">
                  <c:v>Tanzania w 50/50 sharing</c:v>
                </c:pt>
                <c:pt idx="2">
                  <c:v>Ecuador</c:v>
                </c:pt>
                <c:pt idx="3">
                  <c:v>Philippines FTAA</c:v>
                </c:pt>
                <c:pt idx="4">
                  <c:v>Burkina Faso</c:v>
                </c:pt>
                <c:pt idx="5">
                  <c:v>DRC</c:v>
                </c:pt>
                <c:pt idx="6">
                  <c:v>Ghana</c:v>
                </c:pt>
                <c:pt idx="7">
                  <c:v>South Africa (gold)</c:v>
                </c:pt>
                <c:pt idx="8">
                  <c:v>Indonesia</c:v>
                </c:pt>
                <c:pt idx="9">
                  <c:v>Peru</c:v>
                </c:pt>
                <c:pt idx="10">
                  <c:v>Western Australia</c:v>
                </c:pt>
              </c:strCache>
            </c:strRef>
          </c:cat>
          <c:val>
            <c:numRef>
              <c:f>Model!$G$1225:$Q$1225</c:f>
              <c:numCache>
                <c:formatCode>_(* #,##0_);_(* \(#,##0\);_(* "-"??_);_(@_)</c:formatCode>
                <c:ptCount val="11"/>
                <c:pt idx="0">
                  <c:v>0</c:v>
                </c:pt>
                <c:pt idx="1">
                  <c:v>0</c:v>
                </c:pt>
                <c:pt idx="2">
                  <c:v>0</c:v>
                </c:pt>
                <c:pt idx="3">
                  <c:v>0</c:v>
                </c:pt>
                <c:pt idx="4">
                  <c:v>0</c:v>
                </c:pt>
                <c:pt idx="5">
                  <c:v>0</c:v>
                </c:pt>
                <c:pt idx="6">
                  <c:v>0</c:v>
                </c:pt>
                <c:pt idx="7">
                  <c:v>0</c:v>
                </c:pt>
                <c:pt idx="8">
                  <c:v>0</c:v>
                </c:pt>
                <c:pt idx="9">
                  <c:v>560.5467500000002</c:v>
                </c:pt>
                <c:pt idx="10">
                  <c:v>0</c:v>
                </c:pt>
              </c:numCache>
            </c:numRef>
          </c:val>
          <c:extLst>
            <c:ext xmlns:c16="http://schemas.microsoft.com/office/drawing/2014/chart" uri="{C3380CC4-5D6E-409C-BE32-E72D297353CC}">
              <c16:uniqueId val="{00000000-AA7F-4579-8712-6A9EF9173B41}"/>
            </c:ext>
          </c:extLst>
        </c:ser>
        <c:ser>
          <c:idx val="3"/>
          <c:order val="3"/>
          <c:tx>
            <c:strRef>
              <c:f>Model!$D$1226:$F$1226</c:f>
              <c:strCache>
                <c:ptCount val="3"/>
                <c:pt idx="0">
                  <c:v>Corporate profit</c:v>
                </c:pt>
              </c:strCache>
            </c:strRef>
          </c:tx>
          <c:spPr>
            <a:solidFill>
              <a:srgbClr val="FF7D5F"/>
            </a:solidFill>
            <a:ln>
              <a:noFill/>
            </a:ln>
            <a:effectLst/>
          </c:spPr>
          <c:invertIfNegative val="0"/>
          <c:cat>
            <c:strRef>
              <c:f>Model!$G$1222:$Q$1222</c:f>
              <c:strCache>
                <c:ptCount val="11"/>
                <c:pt idx="0">
                  <c:v>Tanzania w/o sharing</c:v>
                </c:pt>
                <c:pt idx="1">
                  <c:v>Tanzania w 50/50 sharing</c:v>
                </c:pt>
                <c:pt idx="2">
                  <c:v>Ecuador</c:v>
                </c:pt>
                <c:pt idx="3">
                  <c:v>Philippines FTAA</c:v>
                </c:pt>
                <c:pt idx="4">
                  <c:v>Burkina Faso</c:v>
                </c:pt>
                <c:pt idx="5">
                  <c:v>DRC</c:v>
                </c:pt>
                <c:pt idx="6">
                  <c:v>Ghana</c:v>
                </c:pt>
                <c:pt idx="7">
                  <c:v>South Africa (gold)</c:v>
                </c:pt>
                <c:pt idx="8">
                  <c:v>Indonesia</c:v>
                </c:pt>
                <c:pt idx="9">
                  <c:v>Peru</c:v>
                </c:pt>
                <c:pt idx="10">
                  <c:v>Western Australia</c:v>
                </c:pt>
              </c:strCache>
            </c:strRef>
          </c:cat>
          <c:val>
            <c:numRef>
              <c:f>Model!$G$1226:$Q$1226</c:f>
              <c:numCache>
                <c:formatCode>_(* #,##0_);_(* \(#,##0\);_(* "-"??_);_(@_)</c:formatCode>
                <c:ptCount val="11"/>
                <c:pt idx="0">
                  <c:v>2199.1949356780547</c:v>
                </c:pt>
                <c:pt idx="1">
                  <c:v>1768.4947466983313</c:v>
                </c:pt>
                <c:pt idx="2">
                  <c:v>2367.6929532437548</c:v>
                </c:pt>
                <c:pt idx="3">
                  <c:v>2000.2576554304419</c:v>
                </c:pt>
                <c:pt idx="4">
                  <c:v>1841.0427616432887</c:v>
                </c:pt>
                <c:pt idx="5">
                  <c:v>2236.520536748792</c:v>
                </c:pt>
                <c:pt idx="6">
                  <c:v>2290.8013593713622</c:v>
                </c:pt>
                <c:pt idx="7">
                  <c:v>2071.9183142001311</c:v>
                </c:pt>
                <c:pt idx="8">
                  <c:v>2077.0821635992347</c:v>
                </c:pt>
                <c:pt idx="9">
                  <c:v>1757.5461847000208</c:v>
                </c:pt>
                <c:pt idx="10">
                  <c:v>1617.4920306301838</c:v>
                </c:pt>
              </c:numCache>
            </c:numRef>
          </c:val>
          <c:extLst>
            <c:ext xmlns:c16="http://schemas.microsoft.com/office/drawing/2014/chart" uri="{C3380CC4-5D6E-409C-BE32-E72D297353CC}">
              <c16:uniqueId val="{00000001-7ECD-4B08-8E89-81A84736CD10}"/>
            </c:ext>
          </c:extLst>
        </c:ser>
        <c:dLbls>
          <c:showLegendKey val="0"/>
          <c:showVal val="0"/>
          <c:showCatName val="0"/>
          <c:showSerName val="0"/>
          <c:showPercent val="0"/>
          <c:showBubbleSize val="0"/>
        </c:dLbls>
        <c:gapWidth val="150"/>
        <c:overlap val="100"/>
        <c:axId val="576388784"/>
        <c:axId val="576391136"/>
      </c:barChart>
      <c:catAx>
        <c:axId val="576388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6391136"/>
        <c:crosses val="autoZero"/>
        <c:auto val="1"/>
        <c:lblAlgn val="ctr"/>
        <c:lblOffset val="100"/>
        <c:noMultiLvlLbl val="0"/>
      </c:catAx>
      <c:valAx>
        <c:axId val="57639113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576388784"/>
        <c:crosses val="autoZero"/>
        <c:crossBetween val="between"/>
      </c:valAx>
      <c:spPr>
        <a:noFill/>
        <a:ln>
          <a:noFill/>
        </a:ln>
        <a:effectLst/>
      </c:spPr>
    </c:plotArea>
    <c:legend>
      <c:legendPos val="b"/>
      <c:layout>
        <c:manualLayout>
          <c:xMode val="edge"/>
          <c:yMode val="edge"/>
          <c:x val="0.26789422710592797"/>
          <c:y val="0.92172764967049237"/>
          <c:w val="0.70129834422193782"/>
          <c:h val="7.28040468776599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sz="1100">
          <a:solidFill>
            <a:schemeClr val="tx1">
              <a:lumMod val="75000"/>
              <a:lumOff val="25000"/>
            </a:schemeClr>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Proportion of total government revenue paid in project's first ten years</a:t>
            </a:r>
          </a:p>
        </c:rich>
      </c:tx>
      <c:layout>
        <c:manualLayout>
          <c:xMode val="edge"/>
          <c:yMode val="edge"/>
          <c:x val="0.10893150027123857"/>
          <c:y val="2.1404586211018217E-2"/>
        </c:manualLayout>
      </c:layout>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5.7029998884360514E-2"/>
          <c:y val="0.12583492879940963"/>
          <c:w val="0.66778112545320156"/>
          <c:h val="0.70233676191691974"/>
        </c:manualLayout>
      </c:layout>
      <c:lineChart>
        <c:grouping val="standard"/>
        <c:varyColors val="0"/>
        <c:ser>
          <c:idx val="2"/>
          <c:order val="0"/>
          <c:tx>
            <c:strRef>
              <c:f>Model!$D$1058</c:f>
              <c:strCache>
                <c:ptCount val="1"/>
                <c:pt idx="0">
                  <c:v>Tanzania w/o sharing</c:v>
                </c:pt>
              </c:strCache>
            </c:strRef>
          </c:tx>
          <c:spPr>
            <a:ln w="28575" cap="rnd">
              <a:solidFill>
                <a:srgbClr val="FF7D5F"/>
              </a:solidFill>
              <a:round/>
            </a:ln>
            <a:effectLst/>
          </c:spPr>
          <c:marker>
            <c:symbol val="none"/>
          </c:marker>
          <c:val>
            <c:numRef>
              <c:f>Model!$G$1058:$P$1058</c:f>
              <c:numCache>
                <c:formatCode>0%</c:formatCode>
                <c:ptCount val="10"/>
                <c:pt idx="0">
                  <c:v>0</c:v>
                </c:pt>
                <c:pt idx="1">
                  <c:v>0</c:v>
                </c:pt>
                <c:pt idx="2">
                  <c:v>8.4481786608482982E-4</c:v>
                </c:pt>
                <c:pt idx="3">
                  <c:v>3.3792714643393184E-3</c:v>
                </c:pt>
                <c:pt idx="4">
                  <c:v>7.3968211779895533E-3</c:v>
                </c:pt>
                <c:pt idx="5">
                  <c:v>2.547791775203995E-2</c:v>
                </c:pt>
                <c:pt idx="6">
                  <c:v>3.0983369740493562E-2</c:v>
                </c:pt>
                <c:pt idx="7">
                  <c:v>3.8632214053313046E-2</c:v>
                </c:pt>
                <c:pt idx="8">
                  <c:v>3.8613292275501553E-2</c:v>
                </c:pt>
                <c:pt idx="9">
                  <c:v>4.6601366741546087E-2</c:v>
                </c:pt>
              </c:numCache>
            </c:numRef>
          </c:val>
          <c:smooth val="0"/>
          <c:extLst>
            <c:ext xmlns:c16="http://schemas.microsoft.com/office/drawing/2014/chart" uri="{C3380CC4-5D6E-409C-BE32-E72D297353CC}">
              <c16:uniqueId val="{00000000-EFC4-41CA-B795-D19477E685CB}"/>
            </c:ext>
          </c:extLst>
        </c:ser>
        <c:ser>
          <c:idx val="3"/>
          <c:order val="1"/>
          <c:tx>
            <c:strRef>
              <c:f>Model!$D$1059</c:f>
              <c:strCache>
                <c:ptCount val="1"/>
                <c:pt idx="0">
                  <c:v>Tanzania w 50/50 sharing</c:v>
                </c:pt>
              </c:strCache>
            </c:strRef>
          </c:tx>
          <c:spPr>
            <a:ln w="28575" cap="rnd">
              <a:solidFill>
                <a:srgbClr val="00545A"/>
              </a:solidFill>
              <a:round/>
            </a:ln>
            <a:effectLst/>
          </c:spPr>
          <c:marker>
            <c:symbol val="none"/>
          </c:marker>
          <c:cat>
            <c:numRef>
              <c:f>Model!$G$1056:$P$1056</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Model!$G$1059:$P$1059</c:f>
              <c:numCache>
                <c:formatCode>0%</c:formatCode>
                <c:ptCount val="10"/>
                <c:pt idx="0">
                  <c:v>0</c:v>
                </c:pt>
                <c:pt idx="1">
                  <c:v>0</c:v>
                </c:pt>
                <c:pt idx="2">
                  <c:v>9.7035634786983322E-4</c:v>
                </c:pt>
                <c:pt idx="3">
                  <c:v>3.8814253914793324E-3</c:v>
                </c:pt>
                <c:pt idx="4">
                  <c:v>1.1485697339124294E-2</c:v>
                </c:pt>
                <c:pt idx="5">
                  <c:v>3.2027500391614984E-2</c:v>
                </c:pt>
                <c:pt idx="6">
                  <c:v>3.6149362373948002E-2</c:v>
                </c:pt>
                <c:pt idx="7">
                  <c:v>5.9298613248611439E-3</c:v>
                </c:pt>
                <c:pt idx="8">
                  <c:v>4.0007808906776965E-2</c:v>
                </c:pt>
                <c:pt idx="9">
                  <c:v>4.8317778711843749E-2</c:v>
                </c:pt>
              </c:numCache>
            </c:numRef>
          </c:val>
          <c:smooth val="0"/>
          <c:extLst>
            <c:ext xmlns:c16="http://schemas.microsoft.com/office/drawing/2014/chart" uri="{C3380CC4-5D6E-409C-BE32-E72D297353CC}">
              <c16:uniqueId val="{00000001-0BBE-4509-A611-64497B6C0698}"/>
            </c:ext>
          </c:extLst>
        </c:ser>
        <c:ser>
          <c:idx val="4"/>
          <c:order val="2"/>
          <c:tx>
            <c:strRef>
              <c:f>Model!$D$1060</c:f>
              <c:strCache>
                <c:ptCount val="1"/>
                <c:pt idx="0">
                  <c:v>Ecuador</c:v>
                </c:pt>
              </c:strCache>
            </c:strRef>
          </c:tx>
          <c:spPr>
            <a:ln w="28575" cap="rnd">
              <a:solidFill>
                <a:srgbClr val="00C9C8"/>
              </a:solidFill>
              <a:round/>
            </a:ln>
            <a:effectLst/>
          </c:spPr>
          <c:marker>
            <c:symbol val="none"/>
          </c:marker>
          <c:cat>
            <c:numRef>
              <c:f>Model!$G$1056:$P$1056</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Model!$G$1060:$P$1060</c:f>
              <c:numCache>
                <c:formatCode>0%</c:formatCode>
                <c:ptCount val="10"/>
                <c:pt idx="0">
                  <c:v>0</c:v>
                </c:pt>
                <c:pt idx="1">
                  <c:v>0</c:v>
                </c:pt>
                <c:pt idx="2">
                  <c:v>8.8026090186529089E-4</c:v>
                </c:pt>
                <c:pt idx="3">
                  <c:v>3.5210436074611631E-3</c:v>
                </c:pt>
                <c:pt idx="4">
                  <c:v>8.6189410045378403E-3</c:v>
                </c:pt>
                <c:pt idx="5">
                  <c:v>3.620446912603667E-2</c:v>
                </c:pt>
                <c:pt idx="6">
                  <c:v>3.6692779230063539E-2</c:v>
                </c:pt>
                <c:pt idx="7">
                  <c:v>3.9473875662183883E-2</c:v>
                </c:pt>
                <c:pt idx="8">
                  <c:v>3.9994825124943539E-2</c:v>
                </c:pt>
                <c:pt idx="9">
                  <c:v>4.5156122780434481E-2</c:v>
                </c:pt>
              </c:numCache>
            </c:numRef>
          </c:val>
          <c:smooth val="0"/>
          <c:extLst xmlns:c15="http://schemas.microsoft.com/office/drawing/2012/chart">
            <c:ext xmlns:c16="http://schemas.microsoft.com/office/drawing/2014/chart" uri="{C3380CC4-5D6E-409C-BE32-E72D297353CC}">
              <c16:uniqueId val="{00000002-0BBE-4509-A611-64497B6C0698}"/>
            </c:ext>
          </c:extLst>
        </c:ser>
        <c:ser>
          <c:idx val="0"/>
          <c:order val="3"/>
          <c:tx>
            <c:strRef>
              <c:f>Model!$D$1061</c:f>
              <c:strCache>
                <c:ptCount val="1"/>
                <c:pt idx="0">
                  <c:v>Philippines FTAA</c:v>
                </c:pt>
              </c:strCache>
            </c:strRef>
          </c:tx>
          <c:spPr>
            <a:ln w="28575" cap="rnd">
              <a:solidFill>
                <a:srgbClr val="C5325D"/>
              </a:solidFill>
              <a:round/>
            </a:ln>
            <a:effectLst/>
          </c:spPr>
          <c:marker>
            <c:symbol val="none"/>
          </c:marker>
          <c:val>
            <c:numRef>
              <c:f>Model!$G$1061:$P$1061</c:f>
              <c:numCache>
                <c:formatCode>0%</c:formatCode>
                <c:ptCount val="10"/>
                <c:pt idx="0">
                  <c:v>0</c:v>
                </c:pt>
                <c:pt idx="1">
                  <c:v>0</c:v>
                </c:pt>
                <c:pt idx="2">
                  <c:v>0</c:v>
                </c:pt>
                <c:pt idx="3">
                  <c:v>0</c:v>
                </c:pt>
                <c:pt idx="4">
                  <c:v>5.6019230366728002E-3</c:v>
                </c:pt>
                <c:pt idx="5">
                  <c:v>1.3071153752236534E-2</c:v>
                </c:pt>
                <c:pt idx="6">
                  <c:v>4.4483750000175536E-2</c:v>
                </c:pt>
                <c:pt idx="7">
                  <c:v>4.4896063111403851E-2</c:v>
                </c:pt>
                <c:pt idx="8">
                  <c:v>4.5292664698230976E-2</c:v>
                </c:pt>
                <c:pt idx="9">
                  <c:v>4.5674012377872428E-2</c:v>
                </c:pt>
              </c:numCache>
            </c:numRef>
          </c:val>
          <c:smooth val="0"/>
          <c:extLst>
            <c:ext xmlns:c16="http://schemas.microsoft.com/office/drawing/2014/chart" uri="{C3380CC4-5D6E-409C-BE32-E72D297353CC}">
              <c16:uniqueId val="{00000007-CABE-4CBA-9A66-E0E9A8143BF1}"/>
            </c:ext>
          </c:extLst>
        </c:ser>
        <c:dLbls>
          <c:showLegendKey val="0"/>
          <c:showVal val="0"/>
          <c:showCatName val="0"/>
          <c:showSerName val="0"/>
          <c:showPercent val="0"/>
          <c:showBubbleSize val="0"/>
        </c:dLbls>
        <c:smooth val="0"/>
        <c:axId val="576389176"/>
        <c:axId val="576385648"/>
        <c:extLst>
          <c:ext xmlns:c15="http://schemas.microsoft.com/office/drawing/2012/chart" uri="{02D57815-91ED-43cb-92C2-25804820EDAC}">
            <c15:filteredLineSeries>
              <c15:ser>
                <c:idx val="6"/>
                <c:order val="4"/>
                <c:tx>
                  <c:strRef>
                    <c:extLst>
                      <c:ext uri="{02D57815-91ED-43cb-92C2-25804820EDAC}">
                        <c15:formulaRef>
                          <c15:sqref>Model!$D$1062</c15:sqref>
                        </c15:formulaRef>
                      </c:ext>
                    </c:extLst>
                    <c:strCache>
                      <c:ptCount val="1"/>
                      <c:pt idx="0">
                        <c:v>Burkina Faso</c:v>
                      </c:pt>
                    </c:strCache>
                  </c:strRef>
                </c:tx>
                <c:spPr>
                  <a:ln w="28575" cap="rnd">
                    <a:solidFill>
                      <a:srgbClr val="FFD66D"/>
                    </a:solidFill>
                    <a:round/>
                  </a:ln>
                  <a:effectLst/>
                </c:spPr>
                <c:marker>
                  <c:symbol val="none"/>
                </c:marker>
                <c:cat>
                  <c:numRef>
                    <c:extLst>
                      <c:ext uri="{02D57815-91ED-43cb-92C2-25804820EDAC}">
                        <c15:formulaRef>
                          <c15:sqref>Model!$G$1056:$P$1056</c15:sqref>
                        </c15:formulaRef>
                      </c:ext>
                    </c:extLst>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extLst>
                      <c:ext uri="{02D57815-91ED-43cb-92C2-25804820EDAC}">
                        <c15:formulaRef>
                          <c15:sqref>Model!$G$1062:$P$1062</c15:sqref>
                        </c15:formulaRef>
                      </c:ext>
                    </c:extLst>
                    <c:numCache>
                      <c:formatCode>0%</c:formatCode>
                      <c:ptCount val="10"/>
                      <c:pt idx="0">
                        <c:v>0</c:v>
                      </c:pt>
                      <c:pt idx="1">
                        <c:v>0</c:v>
                      </c:pt>
                      <c:pt idx="2">
                        <c:v>4.8444308787883413E-4</c:v>
                      </c:pt>
                      <c:pt idx="3">
                        <c:v>1.9377723515153363E-3</c:v>
                      </c:pt>
                      <c:pt idx="4">
                        <c:v>8.103635832228423E-3</c:v>
                      </c:pt>
                      <c:pt idx="5">
                        <c:v>1.7456400780096495E-2</c:v>
                      </c:pt>
                      <c:pt idx="6">
                        <c:v>3.9055729042440271E-2</c:v>
                      </c:pt>
                      <c:pt idx="7">
                        <c:v>4.2779538785850502E-2</c:v>
                      </c:pt>
                      <c:pt idx="8">
                        <c:v>4.3025228670991289E-2</c:v>
                      </c:pt>
                      <c:pt idx="9">
                        <c:v>4.5145816630134734E-2</c:v>
                      </c:pt>
                    </c:numCache>
                  </c:numRef>
                </c:val>
                <c:smooth val="0"/>
                <c:extLst>
                  <c:ext xmlns:c16="http://schemas.microsoft.com/office/drawing/2014/chart" uri="{C3380CC4-5D6E-409C-BE32-E72D297353CC}">
                    <c16:uniqueId val="{00000004-0BBE-4509-A611-64497B6C0698}"/>
                  </c:ext>
                </c:extLst>
              </c15:ser>
            </c15:filteredLineSeries>
            <c15:filteredLineSeries>
              <c15:ser>
                <c:idx val="1"/>
                <c:order val="5"/>
                <c:tx>
                  <c:strRef>
                    <c:extLst xmlns:c15="http://schemas.microsoft.com/office/drawing/2012/chart">
                      <c:ext xmlns:c15="http://schemas.microsoft.com/office/drawing/2012/chart" uri="{02D57815-91ED-43cb-92C2-25804820EDAC}">
                        <c15:formulaRef>
                          <c15:sqref>Model!$D$1063</c15:sqref>
                        </c15:formulaRef>
                      </c:ext>
                    </c:extLst>
                    <c:strCache>
                      <c:ptCount val="1"/>
                      <c:pt idx="0">
                        <c:v>DRC</c:v>
                      </c:pt>
                    </c:strCache>
                  </c:strRef>
                </c:tx>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Model!$G$1063:$P$1063</c15:sqref>
                        </c15:formulaRef>
                      </c:ext>
                    </c:extLst>
                    <c:numCache>
                      <c:formatCode>0%</c:formatCode>
                      <c:ptCount val="10"/>
                      <c:pt idx="0">
                        <c:v>0</c:v>
                      </c:pt>
                      <c:pt idx="1">
                        <c:v>0</c:v>
                      </c:pt>
                      <c:pt idx="2">
                        <c:v>9.6581594089358523E-4</c:v>
                      </c:pt>
                      <c:pt idx="3">
                        <c:v>3.8632637635743401E-3</c:v>
                      </c:pt>
                      <c:pt idx="4">
                        <c:v>5.9614658584416121E-3</c:v>
                      </c:pt>
                      <c:pt idx="5">
                        <c:v>3.3172874383082779E-2</c:v>
                      </c:pt>
                      <c:pt idx="6">
                        <c:v>3.4454306515774025E-2</c:v>
                      </c:pt>
                      <c:pt idx="7">
                        <c:v>4.200333444068835E-2</c:v>
                      </c:pt>
                      <c:pt idx="8">
                        <c:v>4.2245600212314875E-2</c:v>
                      </c:pt>
                      <c:pt idx="9">
                        <c:v>4.4760897230968225E-2</c:v>
                      </c:pt>
                    </c:numCache>
                  </c:numRef>
                </c:val>
                <c:smooth val="0"/>
                <c:extLst xmlns:c15="http://schemas.microsoft.com/office/drawing/2012/chart">
                  <c:ext xmlns:c16="http://schemas.microsoft.com/office/drawing/2014/chart" uri="{C3380CC4-5D6E-409C-BE32-E72D297353CC}">
                    <c16:uniqueId val="{00000008-CABE-4CBA-9A66-E0E9A8143BF1}"/>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Model!$D$1064</c15:sqref>
                        </c15:formulaRef>
                      </c:ext>
                    </c:extLst>
                    <c:strCache>
                      <c:ptCount val="1"/>
                      <c:pt idx="0">
                        <c:v>Ghana</c:v>
                      </c:pt>
                    </c:strCache>
                  </c:strRef>
                </c:tx>
                <c:spPr>
                  <a:ln w="28575" cap="rnd">
                    <a:solidFill>
                      <a:srgbClr val="C5325D"/>
                    </a:solidFill>
                    <a:round/>
                  </a:ln>
                  <a:effectLst/>
                </c:spPr>
                <c:marker>
                  <c:symbol val="none"/>
                </c:marker>
                <c:cat>
                  <c:numRef>
                    <c:extLst xmlns:c15="http://schemas.microsoft.com/office/drawing/2012/chart">
                      <c:ext xmlns:c15="http://schemas.microsoft.com/office/drawing/2012/chart" uri="{02D57815-91ED-43cb-92C2-25804820EDAC}">
                        <c15:formulaRef>
                          <c15:sqref>Model!$G$1056:$P$1056</c15:sqref>
                        </c15:formulaRef>
                      </c:ext>
                    </c:extLst>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extLst xmlns:c15="http://schemas.microsoft.com/office/drawing/2012/chart">
                      <c:ext xmlns:c15="http://schemas.microsoft.com/office/drawing/2012/chart" uri="{02D57815-91ED-43cb-92C2-25804820EDAC}">
                        <c15:formulaRef>
                          <c15:sqref>Model!$G$1064:$P$1064</c15:sqref>
                        </c15:formulaRef>
                      </c:ext>
                    </c:extLst>
                    <c:numCache>
                      <c:formatCode>0%</c:formatCode>
                      <c:ptCount val="10"/>
                      <c:pt idx="0">
                        <c:v>0</c:v>
                      </c:pt>
                      <c:pt idx="1">
                        <c:v>0</c:v>
                      </c:pt>
                      <c:pt idx="2">
                        <c:v>1.1956759157709413E-3</c:v>
                      </c:pt>
                      <c:pt idx="3">
                        <c:v>4.7827036630837651E-3</c:v>
                      </c:pt>
                      <c:pt idx="4">
                        <c:v>6.2535201908542771E-3</c:v>
                      </c:pt>
                      <c:pt idx="5">
                        <c:v>2.6207169707085882E-2</c:v>
                      </c:pt>
                      <c:pt idx="6">
                        <c:v>3.2207938154097684E-2</c:v>
                      </c:pt>
                      <c:pt idx="7">
                        <c:v>3.7665577845676097E-2</c:v>
                      </c:pt>
                      <c:pt idx="8">
                        <c:v>3.7520833272208037E-2</c:v>
                      </c:pt>
                      <c:pt idx="9">
                        <c:v>4.6678660629199731E-2</c:v>
                      </c:pt>
                    </c:numCache>
                  </c:numRef>
                </c:val>
                <c:smooth val="0"/>
                <c:extLst xmlns:c15="http://schemas.microsoft.com/office/drawing/2012/chart">
                  <c:ext xmlns:c16="http://schemas.microsoft.com/office/drawing/2014/chart" uri="{C3380CC4-5D6E-409C-BE32-E72D297353CC}">
                    <c16:uniqueId val="{00000008-0BBE-4509-A611-64497B6C0698}"/>
                  </c:ext>
                </c:extLst>
              </c15:ser>
            </c15:filteredLineSeries>
            <c15:filteredLineSeries>
              <c15:ser>
                <c:idx val="5"/>
                <c:order val="7"/>
                <c:tx>
                  <c:strRef>
                    <c:extLst xmlns:c15="http://schemas.microsoft.com/office/drawing/2012/chart">
                      <c:ext xmlns:c15="http://schemas.microsoft.com/office/drawing/2012/chart" uri="{02D57815-91ED-43cb-92C2-25804820EDAC}">
                        <c15:formulaRef>
                          <c15:sqref>Model!$D$1065</c15:sqref>
                        </c15:formulaRef>
                      </c:ext>
                    </c:extLst>
                    <c:strCache>
                      <c:ptCount val="1"/>
                      <c:pt idx="0">
                        <c:v>South Africa (gold)</c:v>
                      </c:pt>
                    </c:strCache>
                  </c:strRef>
                </c:tx>
                <c:spPr>
                  <a:ln w="28575" cap="rnd">
                    <a:solidFill>
                      <a:schemeClr val="accent6"/>
                    </a:solidFill>
                    <a:round/>
                  </a:ln>
                  <a:effectLst/>
                </c:spPr>
                <c:marker>
                  <c:symbol val="none"/>
                </c:marker>
                <c:val>
                  <c:numRef>
                    <c:extLst xmlns:c15="http://schemas.microsoft.com/office/drawing/2012/chart">
                      <c:ext xmlns:c15="http://schemas.microsoft.com/office/drawing/2012/chart" uri="{02D57815-91ED-43cb-92C2-25804820EDAC}">
                        <c15:formulaRef>
                          <c15:sqref>Model!$G$1065:$P$1065</c15:sqref>
                        </c15:formulaRef>
                      </c:ext>
                    </c:extLst>
                    <c:numCache>
                      <c:formatCode>0%</c:formatCode>
                      <c:ptCount val="10"/>
                      <c:pt idx="0">
                        <c:v>0</c:v>
                      </c:pt>
                      <c:pt idx="1">
                        <c:v>0</c:v>
                      </c:pt>
                      <c:pt idx="2">
                        <c:v>1.0441345837391926E-3</c:v>
                      </c:pt>
                      <c:pt idx="3">
                        <c:v>4.1765383349567703E-3</c:v>
                      </c:pt>
                      <c:pt idx="4">
                        <c:v>3.2127684350839458E-3</c:v>
                      </c:pt>
                      <c:pt idx="5">
                        <c:v>1.5298479865262173E-2</c:v>
                      </c:pt>
                      <c:pt idx="6">
                        <c:v>2.6265676634774443E-2</c:v>
                      </c:pt>
                      <c:pt idx="7">
                        <c:v>4.3785430411760029E-2</c:v>
                      </c:pt>
                      <c:pt idx="8">
                        <c:v>4.4137610311069338E-2</c:v>
                      </c:pt>
                      <c:pt idx="9">
                        <c:v>4.6719848088690639E-2</c:v>
                      </c:pt>
                    </c:numCache>
                  </c:numRef>
                </c:val>
                <c:smooth val="0"/>
                <c:extLst xmlns:c15="http://schemas.microsoft.com/office/drawing/2012/chart">
                  <c:ext xmlns:c16="http://schemas.microsoft.com/office/drawing/2014/chart" uri="{C3380CC4-5D6E-409C-BE32-E72D297353CC}">
                    <c16:uniqueId val="{00000009-CABE-4CBA-9A66-E0E9A8143BF1}"/>
                  </c:ext>
                </c:extLst>
              </c15:ser>
            </c15:filteredLineSeries>
            <c15:filteredLineSeries>
              <c15:ser>
                <c:idx val="7"/>
                <c:order val="8"/>
                <c:tx>
                  <c:strRef>
                    <c:extLst xmlns:c15="http://schemas.microsoft.com/office/drawing/2012/chart">
                      <c:ext xmlns:c15="http://schemas.microsoft.com/office/drawing/2012/chart" uri="{02D57815-91ED-43cb-92C2-25804820EDAC}">
                        <c15:formulaRef>
                          <c15:sqref>Model!$D$1066</c15:sqref>
                        </c15:formulaRef>
                      </c:ext>
                    </c:extLst>
                    <c:strCache>
                      <c:ptCount val="1"/>
                      <c:pt idx="0">
                        <c:v>Indonesia</c:v>
                      </c:pt>
                    </c:strCache>
                  </c:strRef>
                </c:tx>
                <c:spPr>
                  <a:ln w="28575" cap="rnd">
                    <a:solidFill>
                      <a:schemeClr val="accent2">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Model!$G$1066:$P$1066</c15:sqref>
                        </c15:formulaRef>
                      </c:ext>
                    </c:extLst>
                    <c:numCache>
                      <c:formatCode>0%</c:formatCode>
                      <c:ptCount val="10"/>
                      <c:pt idx="0">
                        <c:v>0</c:v>
                      </c:pt>
                      <c:pt idx="1">
                        <c:v>0</c:v>
                      </c:pt>
                      <c:pt idx="2">
                        <c:v>1.3779091111838246E-3</c:v>
                      </c:pt>
                      <c:pt idx="3">
                        <c:v>5.5116364447352992E-3</c:v>
                      </c:pt>
                      <c:pt idx="4">
                        <c:v>8.6150165024354384E-3</c:v>
                      </c:pt>
                      <c:pt idx="5">
                        <c:v>3.3410407132280016E-2</c:v>
                      </c:pt>
                      <c:pt idx="6">
                        <c:v>3.473127677673666E-2</c:v>
                      </c:pt>
                      <c:pt idx="7">
                        <c:v>4.3079458238815267E-2</c:v>
                      </c:pt>
                      <c:pt idx="8">
                        <c:v>4.3210244546481494E-2</c:v>
                      </c:pt>
                      <c:pt idx="9">
                        <c:v>4.5822323617945394E-2</c:v>
                      </c:pt>
                    </c:numCache>
                  </c:numRef>
                </c:val>
                <c:smooth val="0"/>
                <c:extLst xmlns:c15="http://schemas.microsoft.com/office/drawing/2012/chart">
                  <c:ext xmlns:c16="http://schemas.microsoft.com/office/drawing/2014/chart" uri="{C3380CC4-5D6E-409C-BE32-E72D297353CC}">
                    <c16:uniqueId val="{0000000A-CABE-4CBA-9A66-E0E9A8143BF1}"/>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Model!$D$1067</c15:sqref>
                        </c15:formulaRef>
                      </c:ext>
                    </c:extLst>
                    <c:strCache>
                      <c:ptCount val="1"/>
                      <c:pt idx="0">
                        <c:v>Peru</c:v>
                      </c:pt>
                    </c:strCache>
                  </c:strRef>
                </c:tx>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Model!$G$1067:$P$1067</c15:sqref>
                        </c15:formulaRef>
                      </c:ext>
                    </c:extLst>
                    <c:numCache>
                      <c:formatCode>0%</c:formatCode>
                      <c:ptCount val="10"/>
                      <c:pt idx="0">
                        <c:v>0</c:v>
                      </c:pt>
                      <c:pt idx="1">
                        <c:v>0</c:v>
                      </c:pt>
                      <c:pt idx="2">
                        <c:v>0</c:v>
                      </c:pt>
                      <c:pt idx="3">
                        <c:v>0</c:v>
                      </c:pt>
                      <c:pt idx="4">
                        <c:v>8.3275945858630514E-3</c:v>
                      </c:pt>
                      <c:pt idx="5">
                        <c:v>4.013563458888101E-2</c:v>
                      </c:pt>
                      <c:pt idx="6">
                        <c:v>4.0941554936046037E-2</c:v>
                      </c:pt>
                      <c:pt idx="7">
                        <c:v>4.302934392547629E-2</c:v>
                      </c:pt>
                      <c:pt idx="8">
                        <c:v>4.3047236550407784E-2</c:v>
                      </c:pt>
                      <c:pt idx="9">
                        <c:v>4.3813755438309725E-2</c:v>
                      </c:pt>
                    </c:numCache>
                  </c:numRef>
                </c:val>
                <c:smooth val="0"/>
                <c:extLst xmlns:c15="http://schemas.microsoft.com/office/drawing/2012/chart">
                  <c:ext xmlns:c16="http://schemas.microsoft.com/office/drawing/2014/chart" uri="{C3380CC4-5D6E-409C-BE32-E72D297353CC}">
                    <c16:uniqueId val="{0000000B-CABE-4CBA-9A66-E0E9A8143BF1}"/>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Model!$D$1068</c15:sqref>
                        </c15:formulaRef>
                      </c:ext>
                    </c:extLst>
                    <c:strCache>
                      <c:ptCount val="1"/>
                      <c:pt idx="0">
                        <c:v>Western Australia</c:v>
                      </c:pt>
                    </c:strCache>
                  </c:strRef>
                </c:tx>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Model!$G$1068:$P$1068</c15:sqref>
                        </c15:formulaRef>
                      </c:ext>
                    </c:extLst>
                    <c:numCache>
                      <c:formatCode>0%</c:formatCode>
                      <c:ptCount val="10"/>
                      <c:pt idx="0">
                        <c:v>0</c:v>
                      </c:pt>
                      <c:pt idx="1">
                        <c:v>0</c:v>
                      </c:pt>
                      <c:pt idx="2">
                        <c:v>1.3225230304708736E-3</c:v>
                      </c:pt>
                      <c:pt idx="3">
                        <c:v>5.2900921218834935E-3</c:v>
                      </c:pt>
                      <c:pt idx="4">
                        <c:v>7.5000633578929396E-3</c:v>
                      </c:pt>
                      <c:pt idx="5">
                        <c:v>4.3313744266508844E-2</c:v>
                      </c:pt>
                      <c:pt idx="6">
                        <c:v>4.3257845332327148E-2</c:v>
                      </c:pt>
                      <c:pt idx="7">
                        <c:v>4.3196185771450089E-2</c:v>
                      </c:pt>
                      <c:pt idx="8">
                        <c:v>4.3129012982131086E-2</c:v>
                      </c:pt>
                      <c:pt idx="9">
                        <c:v>4.3056566875505083E-2</c:v>
                      </c:pt>
                    </c:numCache>
                  </c:numRef>
                </c:val>
                <c:smooth val="0"/>
                <c:extLst xmlns:c15="http://schemas.microsoft.com/office/drawing/2012/chart">
                  <c:ext xmlns:c16="http://schemas.microsoft.com/office/drawing/2014/chart" uri="{C3380CC4-5D6E-409C-BE32-E72D297353CC}">
                    <c16:uniqueId val="{0000000C-CABE-4CBA-9A66-E0E9A8143BF1}"/>
                  </c:ext>
                </c:extLst>
              </c15:ser>
            </c15:filteredLineSeries>
          </c:ext>
        </c:extLst>
      </c:lineChart>
      <c:catAx>
        <c:axId val="576389176"/>
        <c:scaling>
          <c:orientation val="minMax"/>
        </c:scaling>
        <c:delete val="0"/>
        <c:axPos val="b"/>
        <c:title>
          <c:tx>
            <c:rich>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r>
                  <a:rPr lang="en-US"/>
                  <a:t>Years from start of project</a:t>
                </a:r>
              </a:p>
            </c:rich>
          </c:tx>
          <c:layout>
            <c:manualLayout>
              <c:xMode val="edge"/>
              <c:yMode val="edge"/>
              <c:x val="0.31963576384462838"/>
              <c:y val="0.92039058334294277"/>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crossAx val="576385648"/>
        <c:crosses val="autoZero"/>
        <c:auto val="1"/>
        <c:lblAlgn val="ctr"/>
        <c:lblOffset val="100"/>
        <c:noMultiLvlLbl val="0"/>
      </c:catAx>
      <c:valAx>
        <c:axId val="57638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crossAx val="576389176"/>
        <c:crosses val="autoZero"/>
        <c:crossBetween val="between"/>
      </c:valAx>
      <c:spPr>
        <a:noFill/>
        <a:ln>
          <a:noFill/>
        </a:ln>
        <a:effectLst/>
      </c:spPr>
    </c:plotArea>
    <c:legend>
      <c:legendPos val="b"/>
      <c:layout>
        <c:manualLayout>
          <c:xMode val="edge"/>
          <c:yMode val="edge"/>
          <c:x val="0.74342024539470841"/>
          <c:y val="0.12116128453410033"/>
          <c:w val="0.24469613993206712"/>
          <c:h val="0.8693249856951001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sz="1050">
          <a:solidFill>
            <a:schemeClr val="tx1">
              <a:lumMod val="75000"/>
              <a:lumOff val="25000"/>
            </a:schemeClr>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r>
              <a: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rPr>
              <a:t>Marginal effective tax rate</a:t>
            </a:r>
          </a:p>
        </c:rich>
      </c:tx>
      <c:layout>
        <c:manualLayout>
          <c:xMode val="edge"/>
          <c:yMode val="edge"/>
          <c:x val="0.33227264435304427"/>
          <c:y val="2.7566374927211042E-2"/>
        </c:manualLayout>
      </c:layout>
      <c:overlay val="0"/>
      <c:spPr>
        <a:noFill/>
        <a:ln>
          <a:noFill/>
        </a:ln>
        <a:effectLst/>
      </c:spPr>
      <c:txPr>
        <a:bodyPr rot="0" spcFirstLastPara="1" vertOverflow="ellipsis" vert="horz" wrap="square" anchor="ctr" anchorCtr="1"/>
        <a:lstStyle/>
        <a:p>
          <a:pPr algn="ctr" rtl="0">
            <a:defRPr lang="en-US" sz="1300" b="1" i="0" u="none" strike="noStrike" kern="1200" spc="0" baseline="0">
              <a:solidFill>
                <a:schemeClr val="tx1">
                  <a:lumMod val="75000"/>
                  <a:lumOff val="25000"/>
                </a:schemeClr>
              </a:solidFill>
              <a:effectLst/>
              <a:latin typeface="Noto Sans" panose="020B0502040504020204" pitchFamily="34" charset="0"/>
              <a:ea typeface="Noto Sans" panose="020B0502040504020204" pitchFamily="34" charset="0"/>
              <a:cs typeface="Noto Sans" panose="020B0502040504020204" pitchFamily="34" charset="0"/>
            </a:defRPr>
          </a:pPr>
          <a:endParaRPr lang="en-US"/>
        </a:p>
      </c:txPr>
    </c:title>
    <c:autoTitleDeleted val="0"/>
    <c:plotArea>
      <c:layout>
        <c:manualLayout>
          <c:layoutTarget val="inner"/>
          <c:xMode val="edge"/>
          <c:yMode val="edge"/>
          <c:x val="6.9685701619112875E-2"/>
          <c:y val="0.13721092330964341"/>
          <c:w val="0.91179356045741577"/>
          <c:h val="0.63036008233868934"/>
        </c:manualLayout>
      </c:layout>
      <c:barChart>
        <c:barDir val="col"/>
        <c:grouping val="clustered"/>
        <c:varyColors val="0"/>
        <c:ser>
          <c:idx val="0"/>
          <c:order val="0"/>
          <c:tx>
            <c:strRef>
              <c:f>Results!$D$182</c:f>
              <c:strCache>
                <c:ptCount val="1"/>
                <c:pt idx="0">
                  <c:v>METR</c:v>
                </c:pt>
              </c:strCache>
            </c:strRef>
          </c:tx>
          <c:spPr>
            <a:solidFill>
              <a:srgbClr val="FF7D5F"/>
            </a:solidFill>
            <a:ln>
              <a:noFill/>
            </a:ln>
            <a:effectLst/>
          </c:spPr>
          <c:invertIfNegative val="0"/>
          <c:cat>
            <c:strRef>
              <c:f>Results!$B$183:$B$193</c:f>
              <c:strCache>
                <c:ptCount val="11"/>
                <c:pt idx="0">
                  <c:v>Peru</c:v>
                </c:pt>
                <c:pt idx="1">
                  <c:v>Western Australia</c:v>
                </c:pt>
                <c:pt idx="2">
                  <c:v>South Africa (gold)</c:v>
                </c:pt>
                <c:pt idx="3">
                  <c:v>Tanzania w 50/50 sharing</c:v>
                </c:pt>
                <c:pt idx="4">
                  <c:v>Philippines FTAA</c:v>
                </c:pt>
                <c:pt idx="5">
                  <c:v>Burkina Faso</c:v>
                </c:pt>
                <c:pt idx="6">
                  <c:v>DRC</c:v>
                </c:pt>
                <c:pt idx="7">
                  <c:v>Ghana</c:v>
                </c:pt>
                <c:pt idx="8">
                  <c:v>Indonesia</c:v>
                </c:pt>
                <c:pt idx="9">
                  <c:v>Ecuador</c:v>
                </c:pt>
                <c:pt idx="10">
                  <c:v>Tanzania w/o sharing</c:v>
                </c:pt>
              </c:strCache>
            </c:strRef>
          </c:cat>
          <c:val>
            <c:numRef>
              <c:f>Results!$D$183:$D$193</c:f>
              <c:numCache>
                <c:formatCode>0%</c:formatCode>
                <c:ptCount val="11"/>
                <c:pt idx="0">
                  <c:v>0.29655477692863863</c:v>
                </c:pt>
                <c:pt idx="1">
                  <c:v>0.36217405951455028</c:v>
                </c:pt>
                <c:pt idx="2">
                  <c:v>0.4036844832240476</c:v>
                </c:pt>
                <c:pt idx="3">
                  <c:v>0.41335149123979403</c:v>
                </c:pt>
                <c:pt idx="4">
                  <c:v>0.41657009273230627</c:v>
                </c:pt>
                <c:pt idx="5">
                  <c:v>0.42233317710778862</c:v>
                </c:pt>
                <c:pt idx="6">
                  <c:v>0.42573728069406819</c:v>
                </c:pt>
                <c:pt idx="7">
                  <c:v>0.43891218411506616</c:v>
                </c:pt>
                <c:pt idx="8">
                  <c:v>0.45017199831322069</c:v>
                </c:pt>
                <c:pt idx="9">
                  <c:v>0.47274391900230373</c:v>
                </c:pt>
                <c:pt idx="10">
                  <c:v>0.47809673028295824</c:v>
                </c:pt>
              </c:numCache>
            </c:numRef>
          </c:val>
          <c:extLst>
            <c:ext xmlns:c16="http://schemas.microsoft.com/office/drawing/2014/chart" uri="{C3380CC4-5D6E-409C-BE32-E72D297353CC}">
              <c16:uniqueId val="{00000000-DF50-4BAB-A479-5F9E6C8BC4BB}"/>
            </c:ext>
          </c:extLst>
        </c:ser>
        <c:dLbls>
          <c:showLegendKey val="0"/>
          <c:showVal val="0"/>
          <c:showCatName val="0"/>
          <c:showSerName val="0"/>
          <c:showPercent val="0"/>
          <c:showBubbleSize val="0"/>
        </c:dLbls>
        <c:gapWidth val="219"/>
        <c:overlap val="-27"/>
        <c:axId val="576387216"/>
        <c:axId val="576387608"/>
      </c:barChart>
      <c:catAx>
        <c:axId val="57638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crossAx val="576387608"/>
        <c:crosses val="autoZero"/>
        <c:auto val="1"/>
        <c:lblAlgn val="ctr"/>
        <c:lblOffset val="100"/>
        <c:noMultiLvlLbl val="0"/>
      </c:catAx>
      <c:valAx>
        <c:axId val="576387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crossAx val="576387216"/>
        <c:crosses val="autoZero"/>
        <c:crossBetween val="between"/>
        <c:majorUnit val="0.1"/>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sz="1050">
          <a:solidFill>
            <a:schemeClr val="tx1">
              <a:lumMod val="75000"/>
              <a:lumOff val="25000"/>
            </a:schemeClr>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320" b="0" i="0" u="none" strike="noStrike" kern="1200" spc="0" baseline="0">
                <a:solidFill>
                  <a:schemeClr val="tx1">
                    <a:lumMod val="75000"/>
                    <a:lumOff val="25000"/>
                  </a:schemeClr>
                </a:solidFill>
                <a:latin typeface="+mn-lt"/>
                <a:ea typeface="+mn-ea"/>
                <a:cs typeface="+mn-cs"/>
              </a:defRPr>
            </a:pPr>
            <a:r>
              <a:rPr lang="en-US" sz="1300" b="1">
                <a:latin typeface="Noto Sans" panose="020B0502040504020204" pitchFamily="34" charset="0"/>
                <a:ea typeface="Noto Sans" panose="020B0502040504020204" pitchFamily="34" charset="0"/>
                <a:cs typeface="Noto Sans" panose="020B0502040504020204" pitchFamily="34" charset="0"/>
              </a:rPr>
              <a:t>Sharing of project benefits</a:t>
            </a:r>
          </a:p>
        </c:rich>
      </c:tx>
      <c:layout>
        <c:manualLayout>
          <c:xMode val="edge"/>
          <c:yMode val="edge"/>
          <c:x val="0.32634950850813893"/>
          <c:y val="2.6310534601378825E-2"/>
        </c:manualLayout>
      </c:layout>
      <c:overlay val="0"/>
      <c:spPr>
        <a:noFill/>
        <a:ln>
          <a:noFill/>
        </a:ln>
        <a:effectLst/>
      </c:spPr>
      <c:txPr>
        <a:bodyPr rot="0" spcFirstLastPara="1" vertOverflow="ellipsis" vert="horz" wrap="square" anchor="ctr" anchorCtr="1"/>
        <a:lstStyle/>
        <a:p>
          <a:pPr algn="ctr" rtl="0">
            <a:defRPr sz="132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manualLayout>
          <c:layoutTarget val="inner"/>
          <c:xMode val="edge"/>
          <c:yMode val="edge"/>
          <c:x val="0.11117738798903086"/>
          <c:y val="0.11973214327177149"/>
          <c:w val="0.86228660253836253"/>
          <c:h val="0.70608863723074589"/>
        </c:manualLayout>
      </c:layout>
      <c:lineChart>
        <c:grouping val="standard"/>
        <c:varyColors val="0"/>
        <c:ser>
          <c:idx val="2"/>
          <c:order val="0"/>
          <c:tx>
            <c:v>Final govt benefits</c:v>
          </c:tx>
          <c:spPr>
            <a:ln w="28575" cap="rnd">
              <a:solidFill>
                <a:srgbClr val="00C9C8"/>
              </a:solidFill>
              <a:round/>
            </a:ln>
            <a:effectLst/>
          </c:spPr>
          <c:marker>
            <c:symbol val="none"/>
          </c:marker>
          <c:val>
            <c:numRef>
              <c:f>Model!$G$776:$AT$776</c:f>
              <c:numCache>
                <c:formatCode>#,##0;\-#,##0;\-</c:formatCode>
                <c:ptCount val="40"/>
                <c:pt idx="0">
                  <c:v>0</c:v>
                </c:pt>
                <c:pt idx="1">
                  <c:v>0</c:v>
                </c:pt>
                <c:pt idx="2">
                  <c:v>2.9261250000000003</c:v>
                </c:pt>
                <c:pt idx="3">
                  <c:v>11.93859</c:v>
                </c:pt>
                <c:pt idx="4">
                  <c:v>26.654788940400003</c:v>
                </c:pt>
                <c:pt idx="5">
                  <c:v>93.647078124470454</c:v>
                </c:pt>
                <c:pt idx="6">
                  <c:v>116.16067358343439</c:v>
                </c:pt>
                <c:pt idx="7">
                  <c:v>147.73392710086779</c:v>
                </c:pt>
                <c:pt idx="8">
                  <c:v>150.61479945847225</c:v>
                </c:pt>
                <c:pt idx="9">
                  <c:v>185.40850040223782</c:v>
                </c:pt>
                <c:pt idx="10">
                  <c:v>189.11667041028258</c:v>
                </c:pt>
                <c:pt idx="11">
                  <c:v>192.89900381848815</c:v>
                </c:pt>
                <c:pt idx="12">
                  <c:v>196.75698389485797</c:v>
                </c:pt>
                <c:pt idx="13">
                  <c:v>200.69212357275512</c:v>
                </c:pt>
                <c:pt idx="14">
                  <c:v>204.70596604421024</c:v>
                </c:pt>
                <c:pt idx="15">
                  <c:v>208.80008536509439</c:v>
                </c:pt>
                <c:pt idx="16">
                  <c:v>212.97608707239635</c:v>
                </c:pt>
                <c:pt idx="17">
                  <c:v>217.23560881384429</c:v>
                </c:pt>
                <c:pt idx="18">
                  <c:v>220.51056455068652</c:v>
                </c:pt>
                <c:pt idx="19">
                  <c:v>224.91823743658969</c:v>
                </c:pt>
                <c:pt idx="20">
                  <c:v>229.4107775219025</c:v>
                </c:pt>
                <c:pt idx="21">
                  <c:v>233.98877358614371</c:v>
                </c:pt>
                <c:pt idx="22">
                  <c:v>238.65219532429774</c:v>
                </c:pt>
                <c:pt idx="23">
                  <c:v>241.58091262825087</c:v>
                </c:pt>
                <c:pt idx="24">
                  <c:v>246.37242603399881</c:v>
                </c:pt>
                <c:pt idx="25">
                  <c:v>251.23248635448252</c:v>
                </c:pt>
                <c:pt idx="26">
                  <c:v>265.14318389410641</c:v>
                </c:pt>
                <c:pt idx="27">
                  <c:v>100.97905738438547</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5="http://schemas.microsoft.com/office/drawing/2012/chart" uri="{02D57815-91ED-43cb-92C2-25804820EDAC}">
              <c15:filteredCategoryTitle>
                <c15:cat>
                  <c:strRef>
                    <c:extLst>
                      <c:ext uri="{02D57815-91ED-43cb-92C2-25804820EDAC}">
                        <c15:formulaRef>
                          <c15:sqref>Results!#REF!</c15:sqref>
                        </c15:formulaRef>
                      </c:ext>
                    </c:extLst>
                    <c:strCache>
                      <c:ptCount val="1"/>
                      <c:pt idx="0">
                        <c:v>#REF!</c:v>
                      </c:pt>
                    </c:strCache>
                  </c:strRef>
                </c15:cat>
              </c15:filteredCategoryTitle>
            </c:ext>
            <c:ext xmlns:c16="http://schemas.microsoft.com/office/drawing/2014/chart" uri="{C3380CC4-5D6E-409C-BE32-E72D297353CC}">
              <c16:uniqueId val="{00000002-35D8-483D-B6CF-543A83E35F31}"/>
            </c:ext>
          </c:extLst>
        </c:ser>
        <c:ser>
          <c:idx val="3"/>
          <c:order val="1"/>
          <c:tx>
            <c:v>Final investor benefits</c:v>
          </c:tx>
          <c:spPr>
            <a:ln w="28575" cap="rnd">
              <a:solidFill>
                <a:srgbClr val="FF7D5F"/>
              </a:solidFill>
              <a:round/>
            </a:ln>
            <a:effectLst/>
          </c:spPr>
          <c:marker>
            <c:symbol val="none"/>
          </c:marker>
          <c:val>
            <c:numRef>
              <c:f>Model!$G$777:$AT$777</c:f>
              <c:numCache>
                <c:formatCode>#,##0;\-#,##0;\-</c:formatCode>
                <c:ptCount val="40"/>
                <c:pt idx="0">
                  <c:v>0</c:v>
                </c:pt>
                <c:pt idx="1">
                  <c:v>0</c:v>
                </c:pt>
                <c:pt idx="2">
                  <c:v>0</c:v>
                </c:pt>
                <c:pt idx="3">
                  <c:v>0</c:v>
                </c:pt>
                <c:pt idx="4">
                  <c:v>0</c:v>
                </c:pt>
                <c:pt idx="5">
                  <c:v>0</c:v>
                </c:pt>
                <c:pt idx="6">
                  <c:v>23.709300084908186</c:v>
                </c:pt>
                <c:pt idx="7">
                  <c:v>119.04463358685241</c:v>
                </c:pt>
                <c:pt idx="8">
                  <c:v>125.47233938469844</c:v>
                </c:pt>
                <c:pt idx="9">
                  <c:v>141.98710877184433</c:v>
                </c:pt>
                <c:pt idx="10">
                  <c:v>144.82685094728126</c:v>
                </c:pt>
                <c:pt idx="11">
                  <c:v>147.72338796622674</c:v>
                </c:pt>
                <c:pt idx="12">
                  <c:v>150.67785572555138</c:v>
                </c:pt>
                <c:pt idx="13">
                  <c:v>153.69141284006238</c:v>
                </c:pt>
                <c:pt idx="14">
                  <c:v>156.76524109686363</c:v>
                </c:pt>
                <c:pt idx="15">
                  <c:v>159.90054591880084</c:v>
                </c:pt>
                <c:pt idx="16">
                  <c:v>163.09855683717694</c:v>
                </c:pt>
                <c:pt idx="17">
                  <c:v>166.36052797392051</c:v>
                </c:pt>
                <c:pt idx="18">
                  <c:v>168.48528503350764</c:v>
                </c:pt>
                <c:pt idx="19">
                  <c:v>171.85213745468644</c:v>
                </c:pt>
                <c:pt idx="20">
                  <c:v>175.28263302476293</c:v>
                </c:pt>
                <c:pt idx="21">
                  <c:v>178.77679853127481</c:v>
                </c:pt>
                <c:pt idx="22">
                  <c:v>182.33395218285906</c:v>
                </c:pt>
                <c:pt idx="23">
                  <c:v>183.9075266427007</c:v>
                </c:pt>
                <c:pt idx="24">
                  <c:v>187.54059755589535</c:v>
                </c:pt>
                <c:pt idx="25">
                  <c:v>191.21566219277398</c:v>
                </c:pt>
                <c:pt idx="26">
                  <c:v>219.33729023133662</c:v>
                </c:pt>
                <c:pt idx="27">
                  <c:v>124.96501629485783</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5="http://schemas.microsoft.com/office/drawing/2012/chart" uri="{02D57815-91ED-43cb-92C2-25804820EDAC}">
              <c15:filteredCategoryTitle>
                <c15:cat>
                  <c:strRef>
                    <c:extLst>
                      <c:ext uri="{02D57815-91ED-43cb-92C2-25804820EDAC}">
                        <c15:formulaRef>
                          <c15:sqref>Results!#REF!</c15:sqref>
                        </c15:formulaRef>
                      </c:ext>
                    </c:extLst>
                    <c:strCache>
                      <c:ptCount val="1"/>
                      <c:pt idx="0">
                        <c:v>#REF!</c:v>
                      </c:pt>
                    </c:strCache>
                  </c:strRef>
                </c15:cat>
              </c15:filteredCategoryTitle>
            </c:ext>
            <c:ext xmlns:c16="http://schemas.microsoft.com/office/drawing/2014/chart" uri="{C3380CC4-5D6E-409C-BE32-E72D297353CC}">
              <c16:uniqueId val="{00000003-35D8-483D-B6CF-543A83E35F31}"/>
            </c:ext>
          </c:extLst>
        </c:ser>
        <c:ser>
          <c:idx val="0"/>
          <c:order val="2"/>
          <c:tx>
            <c:v>Initial govt benefits</c:v>
          </c:tx>
          <c:spPr>
            <a:ln w="28575" cap="rnd">
              <a:solidFill>
                <a:srgbClr val="00545A"/>
              </a:solidFill>
              <a:prstDash val="dash"/>
              <a:round/>
            </a:ln>
            <a:effectLst/>
          </c:spPr>
          <c:marker>
            <c:symbol val="none"/>
          </c:marker>
          <c:val>
            <c:numRef>
              <c:f>Model!$G$773:$AT$773</c:f>
              <c:numCache>
                <c:formatCode>#,##0;\-#,##0;\-</c:formatCode>
                <c:ptCount val="40"/>
                <c:pt idx="0">
                  <c:v>0</c:v>
                </c:pt>
                <c:pt idx="1">
                  <c:v>0</c:v>
                </c:pt>
                <c:pt idx="2">
                  <c:v>2.9261250000000003</c:v>
                </c:pt>
                <c:pt idx="3">
                  <c:v>11.93859</c:v>
                </c:pt>
                <c:pt idx="4">
                  <c:v>26.654788940400003</c:v>
                </c:pt>
                <c:pt idx="5">
                  <c:v>93.647078124470454</c:v>
                </c:pt>
                <c:pt idx="6">
                  <c:v>116.16067358343439</c:v>
                </c:pt>
                <c:pt idx="7">
                  <c:v>147.73392710086779</c:v>
                </c:pt>
                <c:pt idx="8">
                  <c:v>150.61479945847225</c:v>
                </c:pt>
                <c:pt idx="9">
                  <c:v>185.40850040223782</c:v>
                </c:pt>
                <c:pt idx="10">
                  <c:v>189.11667041028258</c:v>
                </c:pt>
                <c:pt idx="11">
                  <c:v>192.89900381848815</c:v>
                </c:pt>
                <c:pt idx="12">
                  <c:v>196.75698389485797</c:v>
                </c:pt>
                <c:pt idx="13">
                  <c:v>200.69212357275512</c:v>
                </c:pt>
                <c:pt idx="14">
                  <c:v>204.70596604421024</c:v>
                </c:pt>
                <c:pt idx="15">
                  <c:v>208.80008536509439</c:v>
                </c:pt>
                <c:pt idx="16">
                  <c:v>212.97608707239635</c:v>
                </c:pt>
                <c:pt idx="17">
                  <c:v>217.23560881384429</c:v>
                </c:pt>
                <c:pt idx="18">
                  <c:v>220.51056455068652</c:v>
                </c:pt>
                <c:pt idx="19">
                  <c:v>224.91823743658969</c:v>
                </c:pt>
                <c:pt idx="20">
                  <c:v>229.4107775219025</c:v>
                </c:pt>
                <c:pt idx="21">
                  <c:v>233.98877358614371</c:v>
                </c:pt>
                <c:pt idx="22">
                  <c:v>238.65219532429774</c:v>
                </c:pt>
                <c:pt idx="23">
                  <c:v>241.58091262825087</c:v>
                </c:pt>
                <c:pt idx="24">
                  <c:v>246.37242603399881</c:v>
                </c:pt>
                <c:pt idx="25">
                  <c:v>251.23248635448252</c:v>
                </c:pt>
                <c:pt idx="26">
                  <c:v>265.14318389410641</c:v>
                </c:pt>
                <c:pt idx="27">
                  <c:v>100.97905738438547</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5="http://schemas.microsoft.com/office/drawing/2012/chart" uri="{02D57815-91ED-43cb-92C2-25804820EDAC}">
              <c15:filteredCategoryTitle>
                <c15:cat>
                  <c:strRef>
                    <c:extLst>
                      <c:ext uri="{02D57815-91ED-43cb-92C2-25804820EDAC}">
                        <c15:formulaRef>
                          <c15:sqref>Results!#REF!</c15:sqref>
                        </c15:formulaRef>
                      </c:ext>
                    </c:extLst>
                    <c:strCache>
                      <c:ptCount val="1"/>
                      <c:pt idx="0">
                        <c:v>#REF!</c:v>
                      </c:pt>
                    </c:strCache>
                  </c:strRef>
                </c15:cat>
              </c15:filteredCategoryTitle>
            </c:ext>
            <c:ext xmlns:c16="http://schemas.microsoft.com/office/drawing/2014/chart" uri="{C3380CC4-5D6E-409C-BE32-E72D297353CC}">
              <c16:uniqueId val="{00000000-35D8-483D-B6CF-543A83E35F31}"/>
            </c:ext>
          </c:extLst>
        </c:ser>
        <c:ser>
          <c:idx val="1"/>
          <c:order val="3"/>
          <c:tx>
            <c:v>Initial investor benefits</c:v>
          </c:tx>
          <c:spPr>
            <a:ln w="28575" cap="rnd">
              <a:solidFill>
                <a:srgbClr val="C5325D"/>
              </a:solidFill>
              <a:prstDash val="dash"/>
              <a:round/>
            </a:ln>
            <a:effectLst/>
          </c:spPr>
          <c:marker>
            <c:symbol val="none"/>
          </c:marker>
          <c:val>
            <c:numRef>
              <c:f>Model!$G$774:$AT$774</c:f>
              <c:numCache>
                <c:formatCode>#,##0;\-#,##0;\-</c:formatCode>
                <c:ptCount val="40"/>
                <c:pt idx="0">
                  <c:v>0</c:v>
                </c:pt>
                <c:pt idx="1">
                  <c:v>0</c:v>
                </c:pt>
                <c:pt idx="2">
                  <c:v>0</c:v>
                </c:pt>
                <c:pt idx="3">
                  <c:v>0</c:v>
                </c:pt>
                <c:pt idx="4">
                  <c:v>0</c:v>
                </c:pt>
                <c:pt idx="5">
                  <c:v>0</c:v>
                </c:pt>
                <c:pt idx="6">
                  <c:v>23.709300084908186</c:v>
                </c:pt>
                <c:pt idx="7">
                  <c:v>119.04463358685241</c:v>
                </c:pt>
                <c:pt idx="8">
                  <c:v>125.47233938469844</c:v>
                </c:pt>
                <c:pt idx="9">
                  <c:v>141.98710877184433</c:v>
                </c:pt>
                <c:pt idx="10">
                  <c:v>144.82685094728126</c:v>
                </c:pt>
                <c:pt idx="11">
                  <c:v>147.72338796622674</c:v>
                </c:pt>
                <c:pt idx="12">
                  <c:v>150.67785572555138</c:v>
                </c:pt>
                <c:pt idx="13">
                  <c:v>153.69141284006238</c:v>
                </c:pt>
                <c:pt idx="14">
                  <c:v>156.76524109686363</c:v>
                </c:pt>
                <c:pt idx="15">
                  <c:v>159.90054591880084</c:v>
                </c:pt>
                <c:pt idx="16">
                  <c:v>163.09855683717694</c:v>
                </c:pt>
                <c:pt idx="17">
                  <c:v>166.36052797392051</c:v>
                </c:pt>
                <c:pt idx="18">
                  <c:v>168.48528503350764</c:v>
                </c:pt>
                <c:pt idx="19">
                  <c:v>171.85213745468644</c:v>
                </c:pt>
                <c:pt idx="20">
                  <c:v>175.28263302476293</c:v>
                </c:pt>
                <c:pt idx="21">
                  <c:v>178.77679853127481</c:v>
                </c:pt>
                <c:pt idx="22">
                  <c:v>182.33395218285906</c:v>
                </c:pt>
                <c:pt idx="23">
                  <c:v>183.9075266427007</c:v>
                </c:pt>
                <c:pt idx="24">
                  <c:v>187.54059755589535</c:v>
                </c:pt>
                <c:pt idx="25">
                  <c:v>191.21566219277398</c:v>
                </c:pt>
                <c:pt idx="26">
                  <c:v>219.33729023133662</c:v>
                </c:pt>
                <c:pt idx="27">
                  <c:v>124.96501629485783</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5="http://schemas.microsoft.com/office/drawing/2012/chart" uri="{02D57815-91ED-43cb-92C2-25804820EDAC}">
              <c15:filteredCategoryTitle>
                <c15:cat>
                  <c:strRef>
                    <c:extLst>
                      <c:ext uri="{02D57815-91ED-43cb-92C2-25804820EDAC}">
                        <c15:formulaRef>
                          <c15:sqref>Results!#REF!</c15:sqref>
                        </c15:formulaRef>
                      </c:ext>
                    </c:extLst>
                    <c:strCache>
                      <c:ptCount val="1"/>
                      <c:pt idx="0">
                        <c:v>#REF!</c:v>
                      </c:pt>
                    </c:strCache>
                  </c:strRef>
                </c15:cat>
              </c15:filteredCategoryTitle>
            </c:ext>
            <c:ext xmlns:c16="http://schemas.microsoft.com/office/drawing/2014/chart" uri="{C3380CC4-5D6E-409C-BE32-E72D297353CC}">
              <c16:uniqueId val="{00000001-35D8-483D-B6CF-543A83E35F31}"/>
            </c:ext>
          </c:extLst>
        </c:ser>
        <c:dLbls>
          <c:showLegendKey val="0"/>
          <c:showVal val="0"/>
          <c:showCatName val="0"/>
          <c:showSerName val="0"/>
          <c:showPercent val="0"/>
          <c:showBubbleSize val="0"/>
        </c:dLbls>
        <c:smooth val="0"/>
        <c:axId val="714648144"/>
        <c:axId val="714661040"/>
      </c:lineChart>
      <c:catAx>
        <c:axId val="71464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714661040"/>
        <c:crosses val="autoZero"/>
        <c:auto val="1"/>
        <c:lblAlgn val="ctr"/>
        <c:lblOffset val="100"/>
        <c:noMultiLvlLbl val="0"/>
      </c:catAx>
      <c:valAx>
        <c:axId val="714661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r>
                  <a:rPr lang="en-US"/>
                  <a:t>USD millions</a:t>
                </a:r>
              </a:p>
            </c:rich>
          </c:tx>
          <c:layout>
            <c:manualLayout>
              <c:xMode val="edge"/>
              <c:yMode val="edge"/>
              <c:x val="8.9559531110521406E-3"/>
              <c:y val="0.3639255704774919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crossAx val="714648144"/>
        <c:crosses val="autoZero"/>
        <c:crossBetween val="between"/>
      </c:valAx>
      <c:spPr>
        <a:noFill/>
        <a:ln>
          <a:noFill/>
        </a:ln>
        <a:effectLst/>
      </c:spPr>
    </c:plotArea>
    <c:legend>
      <c:legendPos val="b"/>
      <c:layout>
        <c:manualLayout>
          <c:xMode val="edge"/>
          <c:yMode val="edge"/>
          <c:x val="4.9464944332938778E-2"/>
          <c:y val="0.92155963323668311"/>
          <c:w val="0.92067795447137735"/>
          <c:h val="7.844036676331693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 cap="flat" cmpd="sng" algn="ctr">
      <a:solidFill>
        <a:schemeClr val="bg1">
          <a:lumMod val="50000"/>
        </a:schemeClr>
      </a:solidFill>
      <a:round/>
    </a:ln>
    <a:effectLst/>
  </c:spPr>
  <c:txPr>
    <a:bodyPr/>
    <a:lstStyle/>
    <a:p>
      <a:pPr>
        <a:defRPr sz="1100">
          <a:solidFill>
            <a:schemeClr val="tx1">
              <a:lumMod val="75000"/>
              <a:lumOff val="25000"/>
            </a:schemeClr>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9</xdr:col>
      <xdr:colOff>183339</xdr:colOff>
      <xdr:row>39</xdr:row>
      <xdr:rowOff>102219</xdr:rowOff>
    </xdr:from>
    <xdr:to>
      <xdr:col>11</xdr:col>
      <xdr:colOff>315727</xdr:colOff>
      <xdr:row>42</xdr:row>
      <xdr:rowOff>1237</xdr:rowOff>
    </xdr:to>
    <xdr:pic>
      <xdr:nvPicPr>
        <xdr:cNvPr id="2" name="Picture 1" descr="https://licensebuttons.net/l/by/4.0/88x3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29018" y="9640826"/>
          <a:ext cx="1414634" cy="426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306241</xdr:colOff>
      <xdr:row>22</xdr:row>
      <xdr:rowOff>102907</xdr:rowOff>
    </xdr:from>
    <xdr:to>
      <xdr:col>18</xdr:col>
      <xdr:colOff>625929</xdr:colOff>
      <xdr:row>26</xdr:row>
      <xdr:rowOff>221961</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306241" y="5219193"/>
          <a:ext cx="13845188" cy="12620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The NRGI model is based on the IMF’s FARI model, published</a:t>
          </a:r>
          <a:r>
            <a:rPr lang="en-GB" sz="1100" baseline="0">
              <a:solidFill>
                <a:schemeClr val="dk1"/>
              </a:solidFill>
              <a:effectLst/>
              <a:latin typeface="Noto Sans" panose="020B0502040504020204" pitchFamily="34" charset="0"/>
              <a:ea typeface="Noto Sans" panose="020B0502040504020204" pitchFamily="34" charset="0"/>
              <a:cs typeface="Noto Sans" panose="020B0502040504020204" pitchFamily="34" charset="0"/>
            </a:rPr>
            <a:t> in 2016</a:t>
          </a:r>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 </a:t>
          </a:r>
          <a:r>
            <a:rPr lang="en-GB" sz="1100" u="sng">
              <a:solidFill>
                <a:schemeClr val="dk1"/>
              </a:solidFill>
              <a:effectLst/>
              <a:latin typeface="Noto Sans" panose="020B0502040504020204" pitchFamily="34" charset="0"/>
              <a:ea typeface="Noto Sans" panose="020B0502040504020204" pitchFamily="34" charset="0"/>
              <a:cs typeface="Noto Sans" panose="020B0502040504020204" pitchFamily="34" charset="0"/>
              <a:hlinkClick xmlns:r="http://schemas.openxmlformats.org/officeDocument/2006/relationships" r:id=""/>
            </a:rPr>
            <a:t>www.imf.org/external/pubs/ft/tnm/2016/data/tnm1601.xlsm</a:t>
          </a:r>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 We did this to make our model is as familiar as possible to people who understand the FARI model, and to facilitate a debate on analyzes using each of these models. However, there are some differences between the NRGI model and the FARI model.</a:t>
          </a:r>
          <a:r>
            <a:rPr lang="en-GB" sz="1100" baseline="0">
              <a:solidFill>
                <a:schemeClr val="dk1"/>
              </a:solidFill>
              <a:effectLst/>
              <a:latin typeface="Noto Sans" panose="020B0502040504020204" pitchFamily="34" charset="0"/>
              <a:ea typeface="Noto Sans" panose="020B0502040504020204" pitchFamily="34" charset="0"/>
              <a:cs typeface="Noto Sans" panose="020B0502040504020204" pitchFamily="34" charset="0"/>
            </a:rPr>
            <a:t> These are either cosmetic (do not change the underlying calculations) or functional additions.</a:t>
          </a:r>
          <a:endPar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endParaRPr>
        </a:p>
        <a:p>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 </a:t>
          </a:r>
        </a:p>
        <a:p>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Aside from these differences, the two models are the same. The IMF’s guidance on the background concepts and use of their model can therefore be applied to the NRGI Model. This guidanc</a:t>
          </a:r>
          <a:r>
            <a:rPr lang="en-GB" sz="1100" baseline="0">
              <a:solidFill>
                <a:schemeClr val="dk1"/>
              </a:solidFill>
              <a:effectLst/>
              <a:latin typeface="Noto Sans" panose="020B0502040504020204" pitchFamily="34" charset="0"/>
              <a:ea typeface="Noto Sans" panose="020B0502040504020204" pitchFamily="34" charset="0"/>
              <a:cs typeface="Noto Sans" panose="020B0502040504020204" pitchFamily="34" charset="0"/>
            </a:rPr>
            <a:t>e is f</a:t>
          </a:r>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ound here: </a:t>
          </a:r>
          <a:r>
            <a:rPr lang="en-GB" sz="1100" u="sng">
              <a:solidFill>
                <a:schemeClr val="dk1"/>
              </a:solidFill>
              <a:effectLst/>
              <a:latin typeface="Noto Sans" panose="020B0502040504020204" pitchFamily="34" charset="0"/>
              <a:ea typeface="Noto Sans" panose="020B0502040504020204" pitchFamily="34" charset="0"/>
              <a:cs typeface="Noto Sans" panose="020B0502040504020204" pitchFamily="34" charset="0"/>
              <a:hlinkClick xmlns:r="http://schemas.openxmlformats.org/officeDocument/2006/relationships" r:id=""/>
            </a:rPr>
            <a:t>www.imf.org/external/np/fad/fari/#2</a:t>
          </a:r>
          <a:endPar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endParaRPr>
        </a:p>
      </xdr:txBody>
    </xdr:sp>
    <xdr:clientData/>
  </xdr:twoCellAnchor>
  <xdr:twoCellAnchor>
    <xdr:from>
      <xdr:col>0</xdr:col>
      <xdr:colOff>311118</xdr:colOff>
      <xdr:row>8</xdr:row>
      <xdr:rowOff>104894</xdr:rowOff>
    </xdr:from>
    <xdr:to>
      <xdr:col>18</xdr:col>
      <xdr:colOff>627287</xdr:colOff>
      <xdr:row>13</xdr:row>
      <xdr:rowOff>162792</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11118" y="2186787"/>
          <a:ext cx="13841669" cy="106482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This model is based on the IMF’s FARI model and contains the data and assumptions made specifically for the report:</a:t>
          </a:r>
        </a:p>
        <a:p>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Thomas Scurfield</a:t>
          </a:r>
          <a:r>
            <a:rPr lang="en-GB" sz="1100" baseline="0">
              <a:solidFill>
                <a:schemeClr val="dk1"/>
              </a:solidFill>
              <a:effectLst/>
              <a:latin typeface="Noto Sans" panose="020B0502040504020204" pitchFamily="34" charset="0"/>
              <a:ea typeface="Noto Sans" panose="020B0502040504020204" pitchFamily="34" charset="0"/>
              <a:cs typeface="Noto Sans" panose="020B0502040504020204" pitchFamily="34" charset="0"/>
            </a:rPr>
            <a:t>. </a:t>
          </a:r>
          <a:r>
            <a:rPr lang="en-GB" sz="1100" i="1" baseline="0">
              <a:solidFill>
                <a:schemeClr val="dk1"/>
              </a:solidFill>
              <a:effectLst/>
              <a:latin typeface="Noto Sans" panose="020B0502040504020204" pitchFamily="34" charset="0"/>
              <a:ea typeface="Noto Sans" panose="020B0502040504020204" pitchFamily="34" charset="0"/>
              <a:cs typeface="Noto Sans" panose="020B0502040504020204" pitchFamily="34" charset="0"/>
            </a:rPr>
            <a:t>Equitable Sharing of Mining Profits: As Good as It Sounds for Tanzania? </a:t>
          </a:r>
          <a:r>
            <a:rPr lang="en-GB" sz="1100" baseline="0">
              <a:solidFill>
                <a:schemeClr val="dk1"/>
              </a:solidFill>
              <a:effectLst/>
              <a:latin typeface="Noto Sans" panose="020B0502040504020204" pitchFamily="34" charset="0"/>
              <a:ea typeface="Noto Sans" panose="020B0502040504020204" pitchFamily="34" charset="0"/>
              <a:cs typeface="Noto Sans" panose="020B0502040504020204" pitchFamily="34" charset="0"/>
            </a:rPr>
            <a:t>(2023).</a:t>
          </a:r>
          <a:endPar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endParaRPr>
        </a:p>
        <a:p>
          <a:endPar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endParaRPr>
        </a:p>
        <a:p>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In essence, the model shows the workings and calculations for this report. Other users may wish to use this model to scrutinize the analysis of the fiscal regime, and—via the function enabling different inputs—to explore how the assumptions affect the conclusions in the report.</a:t>
          </a:r>
        </a:p>
      </xdr:txBody>
    </xdr:sp>
    <xdr:clientData/>
  </xdr:twoCellAnchor>
  <xdr:twoCellAnchor>
    <xdr:from>
      <xdr:col>1</xdr:col>
      <xdr:colOff>0</xdr:colOff>
      <xdr:row>29</xdr:row>
      <xdr:rowOff>1</xdr:rowOff>
    </xdr:from>
    <xdr:to>
      <xdr:col>19</xdr:col>
      <xdr:colOff>0</xdr:colOff>
      <xdr:row>30</xdr:row>
      <xdr:rowOff>163286</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312964" y="6980465"/>
          <a:ext cx="13852072" cy="50346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We sourced data from public websites, reports and legislation, except in the case of the project profiles. These profiles are based on data from the S&amp;P Global metals and mining database:</a:t>
          </a:r>
          <a:r>
            <a:rPr lang="en-GB" sz="1100" baseline="0">
              <a:solidFill>
                <a:schemeClr val="dk1"/>
              </a:solidFill>
              <a:effectLst/>
              <a:latin typeface="Noto Sans" panose="020B0502040504020204" pitchFamily="34" charset="0"/>
              <a:ea typeface="Noto Sans" panose="020B0502040504020204" pitchFamily="34" charset="0"/>
              <a:cs typeface="Noto Sans" panose="020B0502040504020204" pitchFamily="34" charset="0"/>
            </a:rPr>
            <a:t> </a:t>
          </a:r>
          <a:r>
            <a:rPr lang="en-US" sz="1100" u="sng">
              <a:solidFill>
                <a:schemeClr val="dk1"/>
              </a:solidFill>
              <a:effectLst/>
              <a:latin typeface="Noto Sans" panose="020B0502040504020204" pitchFamily="34" charset="0"/>
              <a:ea typeface="Noto Sans" panose="020B0502040504020204" pitchFamily="34" charset="0"/>
              <a:cs typeface="Noto Sans" panose="020B0502040504020204" pitchFamily="34" charset="0"/>
              <a:hlinkClick xmlns:r="http://schemas.openxmlformats.org/officeDocument/2006/relationships" r:id=""/>
            </a:rPr>
            <a:t>https://www.spglobal.com/</a:t>
          </a:r>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a:t>
          </a:r>
        </a:p>
        <a:p>
          <a:endPar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endParaRPr>
        </a:p>
        <a:p>
          <a:pPr algn="l"/>
          <a:endParaRPr lang="en-GB" sz="1050" i="1">
            <a:solidFill>
              <a:schemeClr val="dk1"/>
            </a:solidFill>
            <a:effectLst/>
            <a:latin typeface="+mn-lt"/>
            <a:ea typeface="+mn-ea"/>
            <a:cs typeface="+mn-cs"/>
          </a:endParaRPr>
        </a:p>
      </xdr:txBody>
    </xdr:sp>
    <xdr:clientData/>
  </xdr:twoCellAnchor>
  <xdr:twoCellAnchor editAs="oneCell">
    <xdr:from>
      <xdr:col>0</xdr:col>
      <xdr:colOff>137580</xdr:colOff>
      <xdr:row>0</xdr:row>
      <xdr:rowOff>37930</xdr:rowOff>
    </xdr:from>
    <xdr:to>
      <xdr:col>8</xdr:col>
      <xdr:colOff>444500</xdr:colOff>
      <xdr:row>5</xdr:row>
      <xdr:rowOff>108865</xdr:rowOff>
    </xdr:to>
    <xdr:pic>
      <xdr:nvPicPr>
        <xdr:cNvPr id="6" name="Picture 5">
          <a:extLst>
            <a:ext uri="{FF2B5EF4-FFF2-40B4-BE49-F238E27FC236}">
              <a16:creationId xmlns:a16="http://schemas.microsoft.com/office/drawing/2014/main" id="{669FA1E7-5933-86B5-87F1-1190B27CE11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7580" y="37930"/>
          <a:ext cx="5918733" cy="1507623"/>
        </a:xfrm>
        <a:prstGeom prst="rect">
          <a:avLst/>
        </a:prstGeom>
      </xdr:spPr>
    </xdr:pic>
    <xdr:clientData/>
  </xdr:twoCellAnchor>
  <xdr:twoCellAnchor>
    <xdr:from>
      <xdr:col>1</xdr:col>
      <xdr:colOff>2721</xdr:colOff>
      <xdr:row>32</xdr:row>
      <xdr:rowOff>111579</xdr:rowOff>
    </xdr:from>
    <xdr:to>
      <xdr:col>19</xdr:col>
      <xdr:colOff>2721</xdr:colOff>
      <xdr:row>35</xdr:row>
      <xdr:rowOff>139246</xdr:rowOff>
    </xdr:to>
    <xdr:sp macro="" textlink="">
      <xdr:nvSpPr>
        <xdr:cNvPr id="7" name="TextBox 6">
          <a:extLst>
            <a:ext uri="{FF2B5EF4-FFF2-40B4-BE49-F238E27FC236}">
              <a16:creationId xmlns:a16="http://schemas.microsoft.com/office/drawing/2014/main" id="{29AA0E0A-CEB3-45FB-846B-F135AB6AA690}"/>
            </a:ext>
          </a:extLst>
        </xdr:cNvPr>
        <xdr:cNvSpPr txBox="1"/>
      </xdr:nvSpPr>
      <xdr:spPr>
        <a:xfrm>
          <a:off x="315685" y="8030936"/>
          <a:ext cx="13852072" cy="68081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rPr>
            <a:t>This model is based on the methodology employed by the IMF. The model comes with serious limitations as compared with those operated by government authorities, extractives companies or the IMF or World Bank, as we mainly use publicly available data. Although we are confident that it captures magnitudes and trends with a reasonable degree of accuracy, it may not be as precise as other models using primarily proprietary or privileged information. </a:t>
          </a:r>
          <a:endParaRPr lang="en-US" sz="1100">
            <a:solidFill>
              <a:schemeClr val="dk1"/>
            </a:solidFill>
            <a:effectLst/>
            <a:latin typeface="Noto Sans" panose="020B0502040504020204" pitchFamily="34" charset="0"/>
            <a:ea typeface="Noto Sans" panose="020B0502040504020204" pitchFamily="34" charset="0"/>
            <a:cs typeface="Noto Sans" panose="020B0502040504020204" pitchFamily="34" charset="0"/>
          </a:endParaRPr>
        </a:p>
        <a:p>
          <a:endParaRPr lang="en-GB" sz="1100">
            <a:solidFill>
              <a:schemeClr val="dk1"/>
            </a:solidFill>
            <a:effectLst/>
            <a:latin typeface="Noto Sans" panose="020B0502040504020204" pitchFamily="34" charset="0"/>
            <a:ea typeface="Noto Sans" panose="020B0502040504020204" pitchFamily="34" charset="0"/>
            <a:cs typeface="Noto Sans" panose="020B0502040504020204" pitchFamily="34" charset="0"/>
          </a:endParaRPr>
        </a:p>
        <a:p>
          <a:pPr algn="l"/>
          <a:endParaRPr lang="en-GB" sz="1050" i="1">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249220</xdr:colOff>
      <xdr:row>5</xdr:row>
      <xdr:rowOff>102375</xdr:rowOff>
    </xdr:from>
    <xdr:to>
      <xdr:col>10</xdr:col>
      <xdr:colOff>32319</xdr:colOff>
      <xdr:row>28</xdr:row>
      <xdr:rowOff>125866</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285749</xdr:colOff>
      <xdr:row>41</xdr:row>
      <xdr:rowOff>0</xdr:rowOff>
    </xdr:from>
    <xdr:to>
      <xdr:col>9</xdr:col>
      <xdr:colOff>76200</xdr:colOff>
      <xdr:row>41</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167766</xdr:colOff>
      <xdr:row>142</xdr:row>
      <xdr:rowOff>145709</xdr:rowOff>
    </xdr:from>
    <xdr:to>
      <xdr:col>12</xdr:col>
      <xdr:colOff>355600</xdr:colOff>
      <xdr:row>161</xdr:row>
      <xdr:rowOff>142874</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31056</xdr:colOff>
      <xdr:row>101</xdr:row>
      <xdr:rowOff>48984</xdr:rowOff>
    </xdr:from>
    <xdr:to>
      <xdr:col>5</xdr:col>
      <xdr:colOff>2296197</xdr:colOff>
      <xdr:row>120</xdr:row>
      <xdr:rowOff>67584</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1978149</xdr:colOff>
      <xdr:row>56</xdr:row>
      <xdr:rowOff>181770</xdr:rowOff>
    </xdr:from>
    <xdr:to>
      <xdr:col>19</xdr:col>
      <xdr:colOff>469802</xdr:colOff>
      <xdr:row>75</xdr:row>
      <xdr:rowOff>130293</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10871</xdr:colOff>
      <xdr:row>120</xdr:row>
      <xdr:rowOff>171897</xdr:rowOff>
    </xdr:from>
    <xdr:to>
      <xdr:col>5</xdr:col>
      <xdr:colOff>2278961</xdr:colOff>
      <xdr:row>139</xdr:row>
      <xdr:rowOff>152397</xdr:rowOff>
    </xdr:to>
    <xdr:graphicFrame macro="">
      <xdr:nvGraphicFramePr>
        <xdr:cNvPr id="22" name="Chart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204898</xdr:colOff>
      <xdr:row>36</xdr:row>
      <xdr:rowOff>145143</xdr:rowOff>
    </xdr:from>
    <xdr:to>
      <xdr:col>10</xdr:col>
      <xdr:colOff>1536699</xdr:colOff>
      <xdr:row>56</xdr:row>
      <xdr:rowOff>25857</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380523" y="7161893"/>
          <a:ext cx="4109926" cy="3373214"/>
        </a:xfrm>
        <a:prstGeom prst="rect">
          <a:avLst/>
        </a:prstGeom>
        <a:solidFill>
          <a:schemeClr val="lt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The average effective tax rate is the government share of a project's pre-tax profits across its lifetime, given the assumed mineral price.</a:t>
          </a:r>
        </a:p>
        <a:p>
          <a:endParaRPr lang="en-GB" sz="1100" b="0" baseline="0"/>
        </a:p>
        <a:p>
          <a:r>
            <a:rPr lang="en-GB" sz="1100" b="0" baseline="0">
              <a:solidFill>
                <a:schemeClr val="dk1"/>
              </a:solidFill>
              <a:effectLst/>
              <a:latin typeface="+mn-lt"/>
              <a:ea typeface="+mn-ea"/>
              <a:cs typeface="+mn-cs"/>
            </a:rPr>
            <a:t>Comparing the AETR of the modelled project under each of the tax regimes in the chosen peer group </a:t>
          </a:r>
          <a:r>
            <a:rPr lang="en-GB" sz="1100" b="0" baseline="0"/>
            <a:t>gives one indication of the competitiveness of the tax regime. A relatively high AETR may indicate that the tax regime will discourage investment in the country: either because it will prevent an investor from making the minimum return it requires, or because an investor will be able to make higher returns elsewhere. A relatively low AETR may indicate that the government will not receive as much revenue as it could.</a:t>
          </a:r>
        </a:p>
        <a:p>
          <a:endParaRPr lang="en-GB" sz="1100" b="0" baseline="0"/>
        </a:p>
        <a:p>
          <a:r>
            <a:rPr lang="en-GB" sz="1100" b="0" baseline="0"/>
            <a:t>However, there are caveats to this assessment. </a:t>
          </a:r>
        </a:p>
        <a:p>
          <a:r>
            <a:rPr lang="en-GB" sz="1100" b="0" baseline="0"/>
            <a:t>1) Investors are also concerned about other tax and non-tax factors such as geological potential and the risk of changes to government policy in the future. A simple comparison of AETRs across countries should be accompanied by an analysis of these other factors.</a:t>
          </a:r>
        </a:p>
        <a:p>
          <a:r>
            <a:rPr lang="en-GB" sz="1100" b="0" baseline="0"/>
            <a:t>2) AETR is strongly influenced by the choice of project and the price assumption. It is important to analyze this AETR comparison alongside the other metrics in this model.</a:t>
          </a:r>
        </a:p>
        <a:p>
          <a:endParaRPr lang="en-GB" sz="1100" b="0" baseline="0"/>
        </a:p>
        <a:p>
          <a:endParaRPr lang="en-GB" sz="1100" b="0"/>
        </a:p>
      </xdr:txBody>
    </xdr:sp>
    <xdr:clientData/>
  </xdr:twoCellAnchor>
  <xdr:twoCellAnchor>
    <xdr:from>
      <xdr:col>13</xdr:col>
      <xdr:colOff>126557</xdr:colOff>
      <xdr:row>101</xdr:row>
      <xdr:rowOff>30391</xdr:rowOff>
    </xdr:from>
    <xdr:to>
      <xdr:col>19</xdr:col>
      <xdr:colOff>477848</xdr:colOff>
      <xdr:row>120</xdr:row>
      <xdr:rowOff>29635</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15890432" y="19985266"/>
          <a:ext cx="4494666" cy="361874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Profit levels can change across a</a:t>
          </a:r>
          <a:r>
            <a:rPr lang="en-US" sz="1100" baseline="0">
              <a:solidFill>
                <a:schemeClr val="dk1"/>
              </a:solidFill>
              <a:effectLst/>
              <a:latin typeface="+mn-lt"/>
              <a:ea typeface="+mn-ea"/>
              <a:cs typeface="+mn-cs"/>
            </a:rPr>
            <a:t> project's</a:t>
          </a:r>
          <a:r>
            <a:rPr lang="en-US" sz="1100">
              <a:solidFill>
                <a:schemeClr val="dk1"/>
              </a:solidFill>
              <a:effectLst/>
              <a:latin typeface="+mn-lt"/>
              <a:ea typeface="+mn-ea"/>
              <a:cs typeface="+mn-cs"/>
            </a:rPr>
            <a:t> lifetime of a project, and may vary across different projects. A tax</a:t>
          </a:r>
          <a:r>
            <a:rPr lang="en-US" sz="1100" baseline="0">
              <a:solidFill>
                <a:schemeClr val="dk1"/>
              </a:solidFill>
              <a:effectLst/>
              <a:latin typeface="+mn-lt"/>
              <a:ea typeface="+mn-ea"/>
              <a:cs typeface="+mn-cs"/>
            </a:rPr>
            <a:t> regime that accounts for these variations, most likely by placing a greater emphasis on profit taxes, is described as progressive. In a progressive regime, the tax burden is lower when profts are low and higher when profits are high. </a:t>
          </a:r>
        </a:p>
        <a:p>
          <a:endParaRPr lang="en-US" sz="900" baseline="0">
            <a:solidFill>
              <a:schemeClr val="dk1"/>
            </a:solidFill>
            <a:effectLst/>
            <a:latin typeface="+mn-lt"/>
            <a:ea typeface="+mn-ea"/>
            <a:cs typeface="+mn-cs"/>
          </a:endParaRPr>
        </a:p>
        <a:p>
          <a:r>
            <a:rPr lang="en-US" sz="1100">
              <a:solidFill>
                <a:schemeClr val="dk1"/>
              </a:solidFill>
              <a:effectLst/>
              <a:latin typeface="+mn-lt"/>
              <a:ea typeface="+mn-ea"/>
              <a:cs typeface="+mn-cs"/>
            </a:rPr>
            <a:t>A progressive</a:t>
          </a:r>
          <a:r>
            <a:rPr lang="en-US" sz="1100" baseline="0">
              <a:solidFill>
                <a:schemeClr val="dk1"/>
              </a:solidFill>
              <a:effectLst/>
              <a:latin typeface="+mn-lt"/>
              <a:ea typeface="+mn-ea"/>
              <a:cs typeface="+mn-cs"/>
            </a:rPr>
            <a:t> regime</a:t>
          </a:r>
          <a:r>
            <a:rPr lang="en-US" sz="1100">
              <a:solidFill>
                <a:schemeClr val="dk1"/>
              </a:solidFill>
              <a:effectLst/>
              <a:latin typeface="+mn-lt"/>
              <a:ea typeface="+mn-ea"/>
              <a:cs typeface="+mn-cs"/>
            </a:rPr>
            <a:t> is more likely to attract investment, ensure that production continues when profits</a:t>
          </a:r>
          <a:r>
            <a:rPr lang="en-US" sz="1100" baseline="0">
              <a:solidFill>
                <a:schemeClr val="dk1"/>
              </a:solidFill>
              <a:effectLst/>
              <a:latin typeface="+mn-lt"/>
              <a:ea typeface="+mn-ea"/>
              <a:cs typeface="+mn-cs"/>
            </a:rPr>
            <a:t> fall</a:t>
          </a:r>
          <a:r>
            <a:rPr lang="en-US" sz="1100">
              <a:solidFill>
                <a:schemeClr val="dk1"/>
              </a:solidFill>
              <a:effectLst/>
              <a:latin typeface="+mn-lt"/>
              <a:ea typeface="+mn-ea"/>
              <a:cs typeface="+mn-cs"/>
            </a:rPr>
            <a:t> and capture any windfall profits. However, greater progressivity</a:t>
          </a:r>
          <a:r>
            <a:rPr lang="en-US" sz="1100" baseline="0">
              <a:solidFill>
                <a:schemeClr val="dk1"/>
              </a:solidFill>
              <a:effectLst/>
              <a:latin typeface="+mn-lt"/>
              <a:ea typeface="+mn-ea"/>
              <a:cs typeface="+mn-cs"/>
            </a:rPr>
            <a:t> comes at the cost of reduced revenue reliability and requires taxes that are more difficult to administer.</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left</a:t>
          </a:r>
          <a:r>
            <a:rPr lang="en-US" sz="1100" baseline="0">
              <a:solidFill>
                <a:schemeClr val="dk1"/>
              </a:solidFill>
              <a:effectLst/>
              <a:latin typeface="+mn-lt"/>
              <a:ea typeface="+mn-ea"/>
              <a:cs typeface="+mn-cs"/>
            </a:rPr>
            <a:t> chart</a:t>
          </a:r>
          <a:r>
            <a:rPr lang="en-US" sz="1100">
              <a:solidFill>
                <a:schemeClr val="dk1"/>
              </a:solidFill>
              <a:effectLst/>
              <a:latin typeface="+mn-lt"/>
              <a:ea typeface="+mn-ea"/>
              <a:cs typeface="+mn-cs"/>
            </a:rPr>
            <a:t> shows progressivity with respect to a change in the mineral price</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(with costs remaining constant). An upward</a:t>
          </a:r>
          <a:r>
            <a:rPr lang="en-US" sz="1100" baseline="0">
              <a:solidFill>
                <a:schemeClr val="dk1"/>
              </a:solidFill>
              <a:effectLst/>
              <a:latin typeface="+mn-lt"/>
              <a:ea typeface="+mn-ea"/>
              <a:cs typeface="+mn-cs"/>
            </a:rPr>
            <a:t> sloping curve indicates a progressive regime. </a:t>
          </a:r>
          <a:r>
            <a:rPr lang="en-US" sz="1100">
              <a:solidFill>
                <a:schemeClr val="dk1"/>
              </a:solidFill>
              <a:effectLst/>
              <a:latin typeface="+mn-lt"/>
              <a:ea typeface="+mn-ea"/>
              <a:cs typeface="+mn-cs"/>
            </a:rPr>
            <a:t>A downward sloping curve indicates a regressive regime. The steeper the curve, the more regressive or progressive the regime is. </a:t>
          </a:r>
        </a:p>
        <a:p>
          <a:endParaRPr lang="en-GB" sz="900" baseline="0"/>
        </a:p>
        <a:p>
          <a:r>
            <a:rPr lang="en-GB" sz="1100" baseline="0"/>
            <a:t>The right chart shows progressivity with respect to a change in the operating cost (with the mineral price remaining constant). A downward sloping curve indicates a progressive regime, and an upward sloping curve represents a regressive regime. </a:t>
          </a:r>
        </a:p>
      </xdr:txBody>
    </xdr:sp>
    <xdr:clientData/>
  </xdr:twoCellAnchor>
  <xdr:twoCellAnchor>
    <xdr:from>
      <xdr:col>13</xdr:col>
      <xdr:colOff>98589</xdr:colOff>
      <xdr:row>120</xdr:row>
      <xdr:rowOff>180976</xdr:rowOff>
    </xdr:from>
    <xdr:to>
      <xdr:col>19</xdr:col>
      <xdr:colOff>477848</xdr:colOff>
      <xdr:row>139</xdr:row>
      <xdr:rowOff>162717</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5862464" y="23755351"/>
          <a:ext cx="4522634" cy="3601241"/>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These charts also measure a regime's responsiveness to changes in a project's profitability. </a:t>
          </a:r>
        </a:p>
        <a:p>
          <a:endParaRPr lang="en-GB" sz="1100" b="0" baseline="0"/>
        </a:p>
        <a:p>
          <a:r>
            <a:rPr lang="en-GB" sz="1100" b="0" baseline="0"/>
            <a:t>The left chart shows the change in the NPV of total government revenues over the life of the project given a 20% increase or decrease in the mineral price. Wider bars indicate a greater responsiveness to price changes or greater progressivity. This measure is sensitive to the baseline mineral price assumption used. </a:t>
          </a:r>
        </a:p>
        <a:p>
          <a:endParaRPr lang="en-GB" sz="1100" b="0" baseline="0"/>
        </a:p>
        <a:p>
          <a:r>
            <a:rPr lang="en-GB" sz="1100" b="0" baseline="0"/>
            <a:t>The coefficient of variation in the NPV of government revenues given the range of prices measured in the left chart. The coefficient of variation equals the standard devition of NPV revenue values divided by the average of NPV revenue values. It allows for a single value measure of progressivity. A higher coefficient of variation shows greater progressivity, a lower coefficient shows lower progressivity.</a:t>
          </a:r>
        </a:p>
        <a:p>
          <a:endParaRPr lang="en-GB" sz="1100" b="0" baseline="0"/>
        </a:p>
        <a:p>
          <a:endParaRPr lang="en-GB" sz="1100" baseline="0"/>
        </a:p>
        <a:p>
          <a:endParaRPr lang="en-GB" sz="1100"/>
        </a:p>
      </xdr:txBody>
    </xdr:sp>
    <xdr:clientData/>
  </xdr:twoCellAnchor>
  <xdr:twoCellAnchor>
    <xdr:from>
      <xdr:col>6</xdr:col>
      <xdr:colOff>187324</xdr:colOff>
      <xdr:row>56</xdr:row>
      <xdr:rowOff>169862</xdr:rowOff>
    </xdr:from>
    <xdr:to>
      <xdr:col>10</xdr:col>
      <xdr:colOff>1535907</xdr:colOff>
      <xdr:row>75</xdr:row>
      <xdr:rowOff>142081</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8362949" y="10679112"/>
          <a:ext cx="4126708" cy="3290094"/>
        </a:xfrm>
        <a:prstGeom prst="rect">
          <a:avLst/>
        </a:prstGeom>
        <a:solidFill>
          <a:schemeClr val="lt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GB" sz="1100" b="0" baseline="0"/>
            <a:t>The marginal effective tax rate indicates how close to "neutral" each tax regime is: the effect the regime has on decisions to invest and produce.</a:t>
          </a:r>
        </a:p>
        <a:p>
          <a:pPr marL="0" marR="0" indent="0" defTabSz="914400" eaLnBrk="1" fontAlgn="auto" latinLnBrk="0" hangingPunct="1">
            <a:lnSpc>
              <a:spcPct val="100000"/>
            </a:lnSpc>
            <a:spcBef>
              <a:spcPts val="0"/>
            </a:spcBef>
            <a:spcAft>
              <a:spcPts val="0"/>
            </a:spcAft>
            <a:buClrTx/>
            <a:buSzTx/>
            <a:buFontTx/>
            <a:buNone/>
            <a:tabLst/>
            <a:defRPr/>
          </a:pPr>
          <a:endParaRPr lang="en-GB" sz="1100" b="0" baseline="0"/>
        </a:p>
        <a:p>
          <a:pPr marL="0" marR="0" indent="0" defTabSz="914400" eaLnBrk="1" fontAlgn="auto" latinLnBrk="0" hangingPunct="1">
            <a:lnSpc>
              <a:spcPct val="100000"/>
            </a:lnSpc>
            <a:spcBef>
              <a:spcPts val="0"/>
            </a:spcBef>
            <a:spcAft>
              <a:spcPts val="0"/>
            </a:spcAft>
            <a:buClrTx/>
            <a:buSzTx/>
            <a:buFontTx/>
            <a:buNone/>
            <a:tabLst/>
            <a:defRPr/>
          </a:pPr>
          <a:r>
            <a:rPr lang="en-GB" sz="1100" b="0" baseline="0"/>
            <a:t>The METR is the proportion of pre-tax profits on the marginal unit of production that is taxed. It indicates the profit an investor can expect if the project were to increase production.</a:t>
          </a:r>
        </a:p>
      </xdr:txBody>
    </xdr:sp>
    <xdr:clientData/>
  </xdr:twoCellAnchor>
  <mc:AlternateContent xmlns:mc="http://schemas.openxmlformats.org/markup-compatibility/2006">
    <mc:Choice xmlns:a14="http://schemas.microsoft.com/office/drawing/2010/main" Requires="a14">
      <xdr:twoCellAnchor>
        <xdr:from>
          <xdr:col>22</xdr:col>
          <xdr:colOff>336550</xdr:colOff>
          <xdr:row>1048371</xdr:row>
          <xdr:rowOff>0</xdr:rowOff>
        </xdr:from>
        <xdr:to>
          <xdr:col>26</xdr:col>
          <xdr:colOff>577850</xdr:colOff>
          <xdr:row>1048371</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Breakeven &amp; METR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292100</xdr:colOff>
          <xdr:row>1</xdr:row>
          <xdr:rowOff>19050</xdr:rowOff>
        </xdr:from>
        <xdr:to>
          <xdr:col>7</xdr:col>
          <xdr:colOff>254000</xdr:colOff>
          <xdr:row>2</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86868" rIns="45720" bIns="86868" anchor="ctr" upright="1"/>
            <a:lstStyle/>
            <a:p>
              <a:pPr algn="ctr" rtl="0">
                <a:defRPr sz="1000"/>
              </a:pPr>
              <a:r>
                <a:rPr lang="en-US" sz="1200" b="1" i="0" u="none" strike="noStrike" baseline="0">
                  <a:solidFill>
                    <a:srgbClr val="000000"/>
                  </a:solidFill>
                  <a:latin typeface="Noto Sans"/>
                  <a:ea typeface="Noto Sans"/>
                  <a:cs typeface="Noto Sans"/>
                </a:rPr>
                <a:t>Press for results</a:t>
              </a:r>
            </a:p>
          </xdr:txBody>
        </xdr:sp>
        <xdr:clientData fPrintsWithSheet="0"/>
      </xdr:twoCellAnchor>
    </mc:Choice>
    <mc:Fallback/>
  </mc:AlternateContent>
  <xdr:twoCellAnchor>
    <xdr:from>
      <xdr:col>6</xdr:col>
      <xdr:colOff>203895</xdr:colOff>
      <xdr:row>120</xdr:row>
      <xdr:rowOff>171262</xdr:rowOff>
    </xdr:from>
    <xdr:to>
      <xdr:col>12</xdr:col>
      <xdr:colOff>319314</xdr:colOff>
      <xdr:row>139</xdr:row>
      <xdr:rowOff>161925</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206036</xdr:colOff>
      <xdr:row>101</xdr:row>
      <xdr:rowOff>31183</xdr:rowOff>
    </xdr:from>
    <xdr:to>
      <xdr:col>12</xdr:col>
      <xdr:colOff>317507</xdr:colOff>
      <xdr:row>120</xdr:row>
      <xdr:rowOff>49783</xdr:rowOff>
    </xdr:to>
    <xdr:graphicFrame macro="">
      <xdr:nvGraphicFramePr>
        <xdr:cNvPr id="26" name="Chart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69506</xdr:colOff>
      <xdr:row>36</xdr:row>
      <xdr:rowOff>154132</xdr:rowOff>
    </xdr:from>
    <xdr:to>
      <xdr:col>5</xdr:col>
      <xdr:colOff>2353670</xdr:colOff>
      <xdr:row>56</xdr:row>
      <xdr:rowOff>9235</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324765</xdr:colOff>
      <xdr:row>5</xdr:row>
      <xdr:rowOff>97404</xdr:rowOff>
    </xdr:from>
    <xdr:to>
      <xdr:col>15</xdr:col>
      <xdr:colOff>172365</xdr:colOff>
      <xdr:row>28</xdr:row>
      <xdr:rowOff>117588</xdr:rowOff>
    </xdr:to>
    <xdr:graphicFrame macro="">
      <xdr:nvGraphicFramePr>
        <xdr:cNvPr id="30" name="Chart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12685</xdr:colOff>
      <xdr:row>142</xdr:row>
      <xdr:rowOff>179614</xdr:rowOff>
    </xdr:from>
    <xdr:to>
      <xdr:col>5</xdr:col>
      <xdr:colOff>2315982</xdr:colOff>
      <xdr:row>161</xdr:row>
      <xdr:rowOff>178253</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69835</xdr:colOff>
      <xdr:row>79</xdr:row>
      <xdr:rowOff>25400</xdr:rowOff>
    </xdr:from>
    <xdr:to>
      <xdr:col>5</xdr:col>
      <xdr:colOff>2335992</xdr:colOff>
      <xdr:row>97</xdr:row>
      <xdr:rowOff>162719</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69832</xdr:colOff>
      <xdr:row>56</xdr:row>
      <xdr:rowOff>179387</xdr:rowOff>
    </xdr:from>
    <xdr:to>
      <xdr:col>5</xdr:col>
      <xdr:colOff>2335198</xdr:colOff>
      <xdr:row>75</xdr:row>
      <xdr:rowOff>123825</xdr:rowOff>
    </xdr:to>
    <xdr:graphicFrame macro="">
      <xdr:nvGraphicFramePr>
        <xdr:cNvPr id="35" name="Chart 34">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165254</xdr:colOff>
      <xdr:row>79</xdr:row>
      <xdr:rowOff>25400</xdr:rowOff>
    </xdr:from>
    <xdr:to>
      <xdr:col>10</xdr:col>
      <xdr:colOff>1533525</xdr:colOff>
      <xdr:row>97</xdr:row>
      <xdr:rowOff>142875</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8340879" y="14678025"/>
          <a:ext cx="4146396" cy="3260725"/>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 design of a fiscal regime affects the timing of revenues. Input taxes are likely to generate revenue as soon as an investment takes place, while gross sales taxes, such as royalties, will be paid once production commences. Profit taxes, on the other hand, may take a number of years before they generate revenue. Minority state equity tends to provide even later revenue.</a:t>
          </a:r>
        </a:p>
        <a:p>
          <a:endParaRPr lang="en-US" sz="1100" baseline="0">
            <a:solidFill>
              <a:schemeClr val="dk1"/>
            </a:solidFill>
            <a:effectLst/>
            <a:latin typeface="+mn-lt"/>
            <a:ea typeface="+mn-ea"/>
            <a:cs typeface="+mn-cs"/>
          </a:endParaRPr>
        </a:p>
        <a:p>
          <a:r>
            <a:rPr lang="en-GB" sz="1100">
              <a:solidFill>
                <a:schemeClr val="dk1"/>
              </a:solidFill>
              <a:effectLst/>
              <a:latin typeface="+mn-lt"/>
              <a:ea typeface="+mn-ea"/>
              <a:cs typeface="+mn-cs"/>
            </a:rPr>
            <a:t>Early revenue is useful, but it involves trade-offs. Considering that the tax level is constrained by the need to attract investment, the more revenue that is generated in the first few years, the less revenue is likely to be paid in later years. It also requires taxes that are less responsive to profits. </a:t>
          </a:r>
          <a:endParaRPr lang="en-GB" sz="1100" baseline="0"/>
        </a:p>
        <a:p>
          <a:endParaRPr lang="en-GB" sz="1100"/>
        </a:p>
      </xdr:txBody>
    </xdr:sp>
    <xdr:clientData/>
  </xdr:twoCellAnchor>
  <xdr:twoCellAnchor>
    <xdr:from>
      <xdr:col>13</xdr:col>
      <xdr:colOff>164206</xdr:colOff>
      <xdr:row>142</xdr:row>
      <xdr:rowOff>144992</xdr:rowOff>
    </xdr:from>
    <xdr:to>
      <xdr:col>19</xdr:col>
      <xdr:colOff>573098</xdr:colOff>
      <xdr:row>161</xdr:row>
      <xdr:rowOff>158750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15928081" y="28005617"/>
          <a:ext cx="4552267" cy="3633258"/>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Tax avoidance by companies is a significant concern for almost all governments. Central to limiting tax avoidance is the accurate measurement of the tax base. However, the base of some taxes is more difficult to measure than others and therefore more susceptible to company manipulation. Measuring the value of inputs and gross sales is simpler</a:t>
          </a:r>
          <a:r>
            <a:rPr lang="en-US" sz="1100" baseline="0">
              <a:solidFill>
                <a:schemeClr val="dk1"/>
              </a:solidFill>
              <a:effectLst/>
              <a:latin typeface="+mn-lt"/>
              <a:ea typeface="+mn-ea"/>
              <a:cs typeface="+mn-cs"/>
            </a:rPr>
            <a:t> than measuring operating or corporate profits. Therefore a regime with a greater reliance on profit taxes is likely to increase a government's exposure to tax avoidance risks than a regime that relies heavily on input and gross sales taxes.</a:t>
          </a:r>
        </a:p>
        <a:p>
          <a:endParaRPr lang="en-GB" sz="1100" b="0" baseline="0"/>
        </a:p>
        <a:p>
          <a:endParaRPr lang="en-GB" sz="1100" baseline="0"/>
        </a:p>
        <a:p>
          <a:endParaRPr lang="en-GB" sz="1100"/>
        </a:p>
      </xdr:txBody>
    </xdr:sp>
    <xdr:clientData/>
  </xdr:twoCellAnchor>
  <xdr:twoCellAnchor>
    <xdr:from>
      <xdr:col>15</xdr:col>
      <xdr:colOff>505513</xdr:colOff>
      <xdr:row>5</xdr:row>
      <xdr:rowOff>72116</xdr:rowOff>
    </xdr:from>
    <xdr:to>
      <xdr:col>25</xdr:col>
      <xdr:colOff>31076</xdr:colOff>
      <xdr:row>28</xdr:row>
      <xdr:rowOff>102278</xdr:rowOff>
    </xdr:to>
    <xdr:graphicFrame macro="">
      <xdr:nvGraphicFramePr>
        <xdr:cNvPr id="24" name="Chart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41</xdr:col>
      <xdr:colOff>339725</xdr:colOff>
      <xdr:row>149</xdr:row>
      <xdr:rowOff>177800</xdr:rowOff>
    </xdr:from>
    <xdr:to>
      <xdr:col>43</xdr:col>
      <xdr:colOff>609600</xdr:colOff>
      <xdr:row>154</xdr:row>
      <xdr:rowOff>163559</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37786582" y="29612771"/>
          <a:ext cx="1728561" cy="965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If the price-rate schedule</a:t>
          </a:r>
          <a:r>
            <a:rPr lang="en-GB" sz="1100" baseline="0"/>
            <a:t> has less than 14 levels, fill in the rest with a high price value.</a:t>
          </a:r>
          <a:endParaRPr lang="en-GB" sz="1100"/>
        </a:p>
      </xdr:txBody>
    </xdr:sp>
    <xdr:clientData/>
  </xdr:twoCellAnchor>
  <xdr:twoCellAnchor>
    <xdr:from>
      <xdr:col>0</xdr:col>
      <xdr:colOff>79375</xdr:colOff>
      <xdr:row>204</xdr:row>
      <xdr:rowOff>142874</xdr:rowOff>
    </xdr:from>
    <xdr:to>
      <xdr:col>1</xdr:col>
      <xdr:colOff>682625</xdr:colOff>
      <xdr:row>213</xdr:row>
      <xdr:rowOff>31749</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9375" y="40354703"/>
          <a:ext cx="875393" cy="1358446"/>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Price</a:t>
          </a:r>
          <a:r>
            <a:rPr lang="en-US" sz="1100" baseline="0"/>
            <a:t> s</a:t>
          </a:r>
          <a:r>
            <a:rPr lang="en-US" sz="1100"/>
            <a:t>ensitivity</a:t>
          </a:r>
          <a:r>
            <a:rPr lang="en-US" sz="1100" baseline="0"/>
            <a:t> analysis requires "price time series 1" to be used.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493059</xdr:colOff>
      <xdr:row>1247</xdr:row>
      <xdr:rowOff>73356</xdr:rowOff>
    </xdr:from>
    <xdr:to>
      <xdr:col>8</xdr:col>
      <xdr:colOff>205066</xdr:colOff>
      <xdr:row>1249</xdr:row>
      <xdr:rowOff>0</xdr:rowOff>
    </xdr:to>
    <xdr:sp macro="" textlink="">
      <xdr:nvSpPr>
        <xdr:cNvPr id="9" name="Right Brace 8">
          <a:extLst>
            <a:ext uri="{FF2B5EF4-FFF2-40B4-BE49-F238E27FC236}">
              <a16:creationId xmlns:a16="http://schemas.microsoft.com/office/drawing/2014/main" id="{00000000-0008-0000-0300-000009000000}"/>
            </a:ext>
          </a:extLst>
        </xdr:cNvPr>
        <xdr:cNvSpPr/>
      </xdr:nvSpPr>
      <xdr:spPr>
        <a:xfrm>
          <a:off x="10551459" y="65186256"/>
          <a:ext cx="359707" cy="314367"/>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8</xdr:col>
      <xdr:colOff>232514</xdr:colOff>
      <xdr:row>1247</xdr:row>
      <xdr:rowOff>0</xdr:rowOff>
    </xdr:from>
    <xdr:to>
      <xdr:col>18</xdr:col>
      <xdr:colOff>112058</xdr:colOff>
      <xdr:row>1249</xdr:row>
      <xdr:rowOff>123266</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9331690" y="86206853"/>
          <a:ext cx="6479809" cy="504266"/>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ysClr val="windowText" lastClr="000000"/>
              </a:solidFill>
              <a:latin typeface="Arial" pitchFamily="34" charset="0"/>
              <a:ea typeface="+mn-ea"/>
              <a:cs typeface="Arial" pitchFamily="34" charset="0"/>
            </a:rPr>
            <a:t>Step 2. </a:t>
          </a:r>
          <a:r>
            <a:rPr lang="en-US" sz="1000" b="1">
              <a:solidFill>
                <a:schemeClr val="dk1"/>
              </a:solidFill>
              <a:latin typeface="Arial" pitchFamily="34" charset="0"/>
              <a:ea typeface="+mn-ea"/>
              <a:cs typeface="Arial" pitchFamily="34" charset="0"/>
            </a:rPr>
            <a:t>Go to Data -&gt; What if analysis -&gt; Goal seek</a:t>
          </a:r>
          <a:endParaRPr lang="en-US" sz="1050" b="1" u="sng">
            <a:solidFill>
              <a:sysClr val="windowText" lastClr="000000"/>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Goal seek: set "Contractor</a:t>
          </a:r>
          <a:r>
            <a:rPr lang="en-US" sz="1000" b="1" baseline="0">
              <a:solidFill>
                <a:schemeClr val="dk1"/>
              </a:solidFill>
              <a:latin typeface="Arial" pitchFamily="34" charset="0"/>
              <a:ea typeface="+mn-ea"/>
              <a:cs typeface="Arial" pitchFamily="34" charset="0"/>
            </a:rPr>
            <a:t> post-tax IRR on total funds"</a:t>
          </a:r>
          <a:r>
            <a:rPr lang="en-US" sz="1000" b="1">
              <a:solidFill>
                <a:schemeClr val="dk1"/>
              </a:solidFill>
              <a:latin typeface="Arial" pitchFamily="34" charset="0"/>
              <a:ea typeface="+mn-ea"/>
              <a:cs typeface="Arial" pitchFamily="34" charset="0"/>
            </a:rPr>
            <a:t> to bring post-tax IRR to 12.5%, by changing </a:t>
          </a:r>
          <a:r>
            <a:rPr lang="en-US" sz="1000" b="1" baseline="0">
              <a:solidFill>
                <a:schemeClr val="dk1"/>
              </a:solidFill>
              <a:latin typeface="Arial" pitchFamily="34" charset="0"/>
              <a:ea typeface="+mn-ea"/>
              <a:cs typeface="Arial" pitchFamily="34" charset="0"/>
            </a:rPr>
            <a:t>cell </a:t>
          </a:r>
          <a:r>
            <a:rPr lang="en-US" sz="1100" b="1">
              <a:solidFill>
                <a:schemeClr val="dk1"/>
              </a:solidFill>
              <a:effectLst/>
              <a:latin typeface="+mn-lt"/>
              <a:ea typeface="+mn-ea"/>
              <a:cs typeface="+mn-cs"/>
            </a:rPr>
            <a:t>Inputs!E182</a:t>
          </a:r>
          <a:r>
            <a:rPr lang="en-US" sz="1000" b="1" baseline="0">
              <a:solidFill>
                <a:schemeClr val="dk1"/>
              </a:solidFill>
              <a:latin typeface="Arial" pitchFamily="34" charset="0"/>
              <a:ea typeface="+mn-ea"/>
              <a:cs typeface="Arial" pitchFamily="34" charset="0"/>
            </a:rPr>
            <a:t> (mineral price)</a:t>
          </a:r>
          <a:endParaRPr lang="en-US" sz="1000" b="1">
            <a:latin typeface="Arial" pitchFamily="34" charset="0"/>
            <a:cs typeface="Arial" pitchFamily="34" charset="0"/>
          </a:endParaRPr>
        </a:p>
      </xdr:txBody>
    </xdr:sp>
    <xdr:clientData/>
  </xdr:twoCellAnchor>
  <xdr:twoCellAnchor>
    <xdr:from>
      <xdr:col>6</xdr:col>
      <xdr:colOff>139273</xdr:colOff>
      <xdr:row>1253</xdr:row>
      <xdr:rowOff>56029</xdr:rowOff>
    </xdr:from>
    <xdr:to>
      <xdr:col>6</xdr:col>
      <xdr:colOff>534840</xdr:colOff>
      <xdr:row>1256</xdr:row>
      <xdr:rowOff>145676</xdr:rowOff>
    </xdr:to>
    <xdr:sp macro="" textlink="">
      <xdr:nvSpPr>
        <xdr:cNvPr id="21" name="Right Brace 20">
          <a:extLst>
            <a:ext uri="{FF2B5EF4-FFF2-40B4-BE49-F238E27FC236}">
              <a16:creationId xmlns:a16="http://schemas.microsoft.com/office/drawing/2014/main" id="{00000000-0008-0000-0300-000015000000}"/>
            </a:ext>
          </a:extLst>
        </xdr:cNvPr>
        <xdr:cNvSpPr/>
      </xdr:nvSpPr>
      <xdr:spPr>
        <a:xfrm>
          <a:off x="7391880" y="120424815"/>
          <a:ext cx="395567" cy="661147"/>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6</xdr:col>
      <xdr:colOff>562290</xdr:colOff>
      <xdr:row>1253</xdr:row>
      <xdr:rowOff>142473</xdr:rowOff>
    </xdr:from>
    <xdr:to>
      <xdr:col>12</xdr:col>
      <xdr:colOff>537882</xdr:colOff>
      <xdr:row>1257</xdr:row>
      <xdr:rowOff>22410</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814897" y="120511259"/>
          <a:ext cx="9514199" cy="641937"/>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Arial" pitchFamily="34" charset="0"/>
              <a:ea typeface="+mn-ea"/>
              <a:cs typeface="Arial" pitchFamily="34" charset="0"/>
            </a:rPr>
            <a:t>Step 3. </a:t>
          </a:r>
          <a:r>
            <a:rPr lang="en-US" sz="1000" b="1">
              <a:solidFill>
                <a:schemeClr val="dk1"/>
              </a:solidFill>
              <a:latin typeface="Arial" pitchFamily="34" charset="0"/>
              <a:ea typeface="+mn-ea"/>
              <a:cs typeface="Arial" pitchFamily="34" charset="0"/>
            </a:rPr>
            <a:t>Confirm that cells</a:t>
          </a:r>
          <a:r>
            <a:rPr lang="en-US" sz="1000" b="1" baseline="0">
              <a:solidFill>
                <a:schemeClr val="dk1"/>
              </a:solidFill>
              <a:latin typeface="Arial" pitchFamily="34" charset="0"/>
              <a:ea typeface="+mn-ea"/>
              <a:cs typeface="Arial" pitchFamily="34" charset="0"/>
            </a:rPr>
            <a:t> F802 and F807 - 810 are green. If the cells are red, the breakeven price routine has not been run or is not functioning correctly.</a:t>
          </a:r>
          <a:endParaRPr lang="en-US" sz="1000" b="1">
            <a:latin typeface="Arial" pitchFamily="34" charset="0"/>
            <a:cs typeface="Arial" pitchFamily="34" charset="0"/>
          </a:endParaRPr>
        </a:p>
      </xdr:txBody>
    </xdr:sp>
    <xdr:clientData/>
  </xdr:twoCellAnchor>
  <xdr:twoCellAnchor>
    <xdr:from>
      <xdr:col>8</xdr:col>
      <xdr:colOff>582705</xdr:colOff>
      <xdr:row>1260</xdr:row>
      <xdr:rowOff>95768</xdr:rowOff>
    </xdr:from>
    <xdr:to>
      <xdr:col>8</xdr:col>
      <xdr:colOff>978272</xdr:colOff>
      <xdr:row>1263</xdr:row>
      <xdr:rowOff>89648</xdr:rowOff>
    </xdr:to>
    <xdr:sp macro="" textlink="">
      <xdr:nvSpPr>
        <xdr:cNvPr id="36" name="Right Brace 35">
          <a:extLst>
            <a:ext uri="{FF2B5EF4-FFF2-40B4-BE49-F238E27FC236}">
              <a16:creationId xmlns:a16="http://schemas.microsoft.com/office/drawing/2014/main" id="{00000000-0008-0000-0300-000024000000}"/>
            </a:ext>
          </a:extLst>
        </xdr:cNvPr>
        <xdr:cNvSpPr/>
      </xdr:nvSpPr>
      <xdr:spPr>
        <a:xfrm>
          <a:off x="10768852" y="142276003"/>
          <a:ext cx="395567" cy="56538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8</xdr:col>
      <xdr:colOff>1128987</xdr:colOff>
      <xdr:row>1260</xdr:row>
      <xdr:rowOff>78442</xdr:rowOff>
    </xdr:from>
    <xdr:to>
      <xdr:col>12</xdr:col>
      <xdr:colOff>1274904</xdr:colOff>
      <xdr:row>1263</xdr:row>
      <xdr:rowOff>160085</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11315134" y="142258677"/>
          <a:ext cx="4998064" cy="653143"/>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Arial" pitchFamily="34" charset="0"/>
              <a:ea typeface="+mn-ea"/>
              <a:cs typeface="Arial" pitchFamily="34" charset="0"/>
            </a:rPr>
            <a:t>Step 4. </a:t>
          </a:r>
          <a:r>
            <a:rPr lang="en-US" sz="1000" b="1">
              <a:latin typeface="Arial" pitchFamily="34" charset="0"/>
              <a:cs typeface="Arial" pitchFamily="34" charset="0"/>
            </a:rPr>
            <a:t>Copy and</a:t>
          </a:r>
          <a:r>
            <a:rPr lang="en-US" sz="1000" b="1" baseline="0">
              <a:latin typeface="Arial" pitchFamily="34" charset="0"/>
              <a:cs typeface="Arial" pitchFamily="34" charset="0"/>
            </a:rPr>
            <a:t> paste as values</a:t>
          </a:r>
          <a:r>
            <a:rPr lang="en-US" sz="1000" b="1">
              <a:latin typeface="Arial" pitchFamily="34" charset="0"/>
              <a:cs typeface="Arial" pitchFamily="34" charset="0"/>
            </a:rPr>
            <a:t> the breakeven price calculated in cell F802 a</a:t>
          </a:r>
          <a:r>
            <a:rPr lang="en-US" sz="1000" b="1" baseline="0">
              <a:latin typeface="Arial" pitchFamily="34" charset="0"/>
              <a:cs typeface="Arial" pitchFamily="34" charset="0"/>
            </a:rPr>
            <a:t>nd the METR from cell F810 for each of the regimes analyzed.</a:t>
          </a:r>
          <a:endParaRPr lang="en-US" sz="1000" b="1">
            <a:latin typeface="Arial" pitchFamily="34" charset="0"/>
            <a:cs typeface="Arial" pitchFamily="34" charset="0"/>
          </a:endParaRPr>
        </a:p>
      </xdr:txBody>
    </xdr:sp>
    <xdr:clientData/>
  </xdr:twoCellAnchor>
  <xdr:twoCellAnchor>
    <xdr:from>
      <xdr:col>6</xdr:col>
      <xdr:colOff>33596</xdr:colOff>
      <xdr:row>1250</xdr:row>
      <xdr:rowOff>163003</xdr:rowOff>
    </xdr:from>
    <xdr:to>
      <xdr:col>6</xdr:col>
      <xdr:colOff>429161</xdr:colOff>
      <xdr:row>1250</xdr:row>
      <xdr:rowOff>347382</xdr:rowOff>
    </xdr:to>
    <xdr:sp macro="" textlink="">
      <xdr:nvSpPr>
        <xdr:cNvPr id="42" name="Right Brace 41">
          <a:extLst>
            <a:ext uri="{FF2B5EF4-FFF2-40B4-BE49-F238E27FC236}">
              <a16:creationId xmlns:a16="http://schemas.microsoft.com/office/drawing/2014/main" id="{00000000-0008-0000-0300-00002A000000}"/>
            </a:ext>
          </a:extLst>
        </xdr:cNvPr>
        <xdr:cNvSpPr/>
      </xdr:nvSpPr>
      <xdr:spPr>
        <a:xfrm>
          <a:off x="7765655" y="86941356"/>
          <a:ext cx="395565" cy="184379"/>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6</xdr:col>
      <xdr:colOff>456610</xdr:colOff>
      <xdr:row>1250</xdr:row>
      <xdr:rowOff>67235</xdr:rowOff>
    </xdr:from>
    <xdr:to>
      <xdr:col>16</xdr:col>
      <xdr:colOff>156882</xdr:colOff>
      <xdr:row>1251</xdr:row>
      <xdr:rowOff>123265</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8188669" y="86845588"/>
          <a:ext cx="6367772" cy="470648"/>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ysClr val="windowText" lastClr="000000"/>
              </a:solidFill>
              <a:latin typeface="Arial" pitchFamily="34" charset="0"/>
              <a:ea typeface="+mn-ea"/>
              <a:cs typeface="Arial" pitchFamily="34" charset="0"/>
            </a:rPr>
            <a:t>Step 1. </a:t>
          </a:r>
          <a:r>
            <a:rPr lang="en-US" sz="1000" b="1">
              <a:solidFill>
                <a:schemeClr val="dk1"/>
              </a:solidFill>
              <a:latin typeface="Arial" pitchFamily="34" charset="0"/>
              <a:ea typeface="+mn-ea"/>
              <a:cs typeface="Arial" pitchFamily="34" charset="0"/>
            </a:rPr>
            <a:t>Save the original price from cell Inputs!E182 here, before starting the </a:t>
          </a:r>
          <a:r>
            <a:rPr lang="en-US" sz="1000" b="1" baseline="0">
              <a:solidFill>
                <a:schemeClr val="dk1"/>
              </a:solidFill>
              <a:latin typeface="Arial" pitchFamily="34" charset="0"/>
              <a:ea typeface="+mn-ea"/>
              <a:cs typeface="Arial" pitchFamily="34" charset="0"/>
            </a:rPr>
            <a:t>breakeven price </a:t>
          </a:r>
          <a:r>
            <a:rPr lang="en-US" sz="1000" b="1">
              <a:solidFill>
                <a:schemeClr val="dk1"/>
              </a:solidFill>
              <a:latin typeface="Arial" pitchFamily="34" charset="0"/>
              <a:ea typeface="+mn-ea"/>
              <a:cs typeface="Arial" pitchFamily="34" charset="0"/>
            </a:rPr>
            <a:t>analysis . </a:t>
          </a:r>
          <a:endParaRPr lang="en-US" sz="1050" b="1" u="sng">
            <a:solidFill>
              <a:sysClr val="windowText" lastClr="000000"/>
            </a:solidFill>
            <a:latin typeface="Arial" pitchFamily="34" charset="0"/>
            <a:ea typeface="+mn-ea"/>
            <a:cs typeface="Arial" pitchFamily="34" charset="0"/>
          </a:endParaRPr>
        </a:p>
        <a:p>
          <a:r>
            <a:rPr lang="en-US" sz="1100" b="1" u="sng">
              <a:solidFill>
                <a:sysClr val="windowText" lastClr="000000"/>
              </a:solidFill>
              <a:latin typeface="Arial" pitchFamily="34" charset="0"/>
              <a:ea typeface="+mn-ea"/>
              <a:cs typeface="Arial" pitchFamily="34" charset="0"/>
            </a:rPr>
            <a:t>Step 5</a:t>
          </a:r>
          <a:r>
            <a:rPr lang="en-US" sz="1050" b="1">
              <a:solidFill>
                <a:schemeClr val="dk1"/>
              </a:solidFill>
              <a:latin typeface="Arial" pitchFamily="34" charset="0"/>
              <a:ea typeface="+mn-ea"/>
              <a:cs typeface="Arial" pitchFamily="34" charset="0"/>
            </a:rPr>
            <a:t>. </a:t>
          </a:r>
          <a:r>
            <a:rPr lang="en-US" sz="1000" b="1">
              <a:solidFill>
                <a:schemeClr val="dk1"/>
              </a:solidFill>
              <a:latin typeface="Arial" pitchFamily="34" charset="0"/>
              <a:ea typeface="+mn-ea"/>
              <a:cs typeface="Arial" pitchFamily="34" charset="0"/>
            </a:rPr>
            <a:t>To restore</a:t>
          </a:r>
          <a:r>
            <a:rPr lang="en-US" sz="1000" b="1" baseline="0">
              <a:solidFill>
                <a:schemeClr val="dk1"/>
              </a:solidFill>
              <a:latin typeface="Arial" pitchFamily="34" charset="0"/>
              <a:ea typeface="+mn-ea"/>
              <a:cs typeface="Arial" pitchFamily="34" charset="0"/>
            </a:rPr>
            <a:t> </a:t>
          </a:r>
          <a:r>
            <a:rPr lang="en-US" sz="1000" b="1">
              <a:solidFill>
                <a:schemeClr val="dk1"/>
              </a:solidFill>
              <a:latin typeface="Arial" pitchFamily="34" charset="0"/>
              <a:ea typeface="+mn-ea"/>
              <a:cs typeface="Arial" pitchFamily="34" charset="0"/>
            </a:rPr>
            <a:t>the original price in cell </a:t>
          </a:r>
          <a:r>
            <a:rPr lang="en-US" sz="1100" b="1">
              <a:solidFill>
                <a:schemeClr val="dk1"/>
              </a:solidFill>
              <a:effectLst/>
              <a:latin typeface="+mn-lt"/>
              <a:ea typeface="+mn-ea"/>
              <a:cs typeface="+mn-cs"/>
            </a:rPr>
            <a:t>Inputs!E182</a:t>
          </a:r>
          <a:r>
            <a:rPr lang="en-US" sz="1000" b="1">
              <a:solidFill>
                <a:schemeClr val="dk1"/>
              </a:solidFill>
              <a:latin typeface="Arial" pitchFamily="34" charset="0"/>
              <a:ea typeface="+mn-ea"/>
              <a:cs typeface="Arial" pitchFamily="34" charset="0"/>
            </a:rPr>
            <a:t>, copy cell F804 and paste it as a value  in cell </a:t>
          </a:r>
          <a:r>
            <a:rPr lang="en-US" sz="1100" b="1">
              <a:solidFill>
                <a:schemeClr val="dk1"/>
              </a:solidFill>
              <a:effectLst/>
              <a:latin typeface="+mn-lt"/>
              <a:ea typeface="+mn-ea"/>
              <a:cs typeface="+mn-cs"/>
            </a:rPr>
            <a:t>Inputs!E182</a:t>
          </a:r>
          <a:r>
            <a:rPr lang="en-US" sz="1000" b="1">
              <a:solidFill>
                <a:schemeClr val="dk1"/>
              </a:solidFill>
              <a:latin typeface="Arial" pitchFamily="34" charset="0"/>
              <a:ea typeface="+mn-ea"/>
              <a:cs typeface="Arial" pitchFamily="34" charset="0"/>
            </a:rPr>
            <a:t>.</a:t>
          </a:r>
        </a:p>
      </xdr:txBody>
    </xdr:sp>
    <xdr:clientData/>
  </xdr:twoCellAnchor>
  <xdr:twoCellAnchor>
    <xdr:from>
      <xdr:col>1</xdr:col>
      <xdr:colOff>7937</xdr:colOff>
      <xdr:row>105</xdr:row>
      <xdr:rowOff>178594</xdr:rowOff>
    </xdr:from>
    <xdr:to>
      <xdr:col>1</xdr:col>
      <xdr:colOff>2127250</xdr:colOff>
      <xdr:row>111</xdr:row>
      <xdr:rowOff>63500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31812" y="18895219"/>
          <a:ext cx="2119313" cy="10279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royalty</a:t>
          </a:r>
          <a:r>
            <a:rPr lang="en-GB" sz="1100" baseline="0"/>
            <a:t> base is used as the tax base for all royalties. This means that a regime that has a net back royalty will also affect any variable rate royalties.</a:t>
          </a:r>
          <a:endParaRPr lang="en-GB" sz="1100"/>
        </a:p>
      </xdr:txBody>
    </xdr:sp>
    <xdr:clientData/>
  </xdr:twoCellAnchor>
  <xdr:twoCellAnchor>
    <xdr:from>
      <xdr:col>1</xdr:col>
      <xdr:colOff>312058</xdr:colOff>
      <xdr:row>142</xdr:row>
      <xdr:rowOff>38087</xdr:rowOff>
    </xdr:from>
    <xdr:to>
      <xdr:col>2</xdr:col>
      <xdr:colOff>18144</xdr:colOff>
      <xdr:row>157</xdr:row>
      <xdr:rowOff>59531</xdr:rowOff>
    </xdr:to>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764496" y="26196118"/>
          <a:ext cx="1873023" cy="28789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variable rate royalty</a:t>
          </a:r>
          <a:r>
            <a:rPr lang="en-GB" sz="1100" baseline="0"/>
            <a:t> is with respect to the real price, not nominal.</a:t>
          </a:r>
        </a:p>
        <a:p>
          <a:endParaRPr lang="en-GB" sz="1100" baseline="0"/>
        </a:p>
        <a:p>
          <a:r>
            <a:rPr lang="en-GB" sz="1100" baseline="0"/>
            <a:t>A VRR applied on a marginal basis means that each segment of the prevailing price is taxed at the corresponding rate for that price bracket .</a:t>
          </a:r>
        </a:p>
        <a:p>
          <a:endParaRPr lang="en-GB" sz="1100" baseline="0"/>
        </a:p>
        <a:p>
          <a:r>
            <a:rPr lang="en-GB" sz="1100" baseline="0"/>
            <a:t>A VRT applied on a non-marginal basis means that the prevailing price establishes the tax rate for the entire value.</a:t>
          </a:r>
          <a:endParaRPr lang="en-GB" sz="1100"/>
        </a:p>
      </xdr:txBody>
    </xdr:sp>
    <xdr:clientData/>
  </xdr:twoCellAnchor>
  <xdr:twoCellAnchor>
    <xdr:from>
      <xdr:col>1</xdr:col>
      <xdr:colOff>6879</xdr:colOff>
      <xdr:row>103</xdr:row>
      <xdr:rowOff>0</xdr:rowOff>
    </xdr:from>
    <xdr:to>
      <xdr:col>1</xdr:col>
      <xdr:colOff>2149779</xdr:colOff>
      <xdr:row>103</xdr:row>
      <xdr:rowOff>0</xdr:rowOff>
    </xdr:to>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459317" y="16092043"/>
          <a:ext cx="2142900" cy="961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Some goods</a:t>
          </a:r>
          <a:r>
            <a:rPr lang="en-GB" sz="1100" baseline="0"/>
            <a:t> and services will be sourced locally. </a:t>
          </a:r>
          <a:r>
            <a:rPr lang="en-GB" sz="1100"/>
            <a:t>The proportion of development</a:t>
          </a:r>
          <a:r>
            <a:rPr lang="en-GB" sz="1100" baseline="0"/>
            <a:t> and operating c</a:t>
          </a:r>
          <a:r>
            <a:rPr lang="en-GB" sz="1100"/>
            <a:t>osts that attract import duties is determined in the Inputs sheet.</a:t>
          </a:r>
        </a:p>
      </xdr:txBody>
    </xdr:sp>
    <xdr:clientData/>
  </xdr:twoCellAnchor>
  <xdr:twoCellAnchor>
    <xdr:from>
      <xdr:col>0</xdr:col>
      <xdr:colOff>298056</xdr:colOff>
      <xdr:row>460</xdr:row>
      <xdr:rowOff>3264</xdr:rowOff>
    </xdr:from>
    <xdr:to>
      <xdr:col>1</xdr:col>
      <xdr:colOff>2015218</xdr:colOff>
      <xdr:row>464</xdr:row>
      <xdr:rowOff>87085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98056" y="83866807"/>
          <a:ext cx="2413848" cy="8675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a:t>
          </a:r>
          <a:r>
            <a:rPr lang="en-GB" sz="1100" baseline="0"/>
            <a:t>SA gold profit tax</a:t>
          </a:r>
          <a:r>
            <a:rPr lang="en-GB" sz="1100"/>
            <a:t> base is the same as the CIT base. This includes the assumed</a:t>
          </a:r>
          <a:r>
            <a:rPr lang="en-GB" sz="1100" baseline="0"/>
            <a:t> </a:t>
          </a:r>
          <a:r>
            <a:rPr lang="en-GB" sz="1100"/>
            <a:t>depreciation</a:t>
          </a:r>
          <a:r>
            <a:rPr lang="en-GB" sz="1100" baseline="0"/>
            <a:t> allowance and loss carry forward.</a:t>
          </a:r>
          <a:endParaRPr lang="en-GB" sz="1100"/>
        </a:p>
      </xdr:txBody>
    </xdr:sp>
    <xdr:clientData/>
  </xdr:twoCellAnchor>
  <xdr:twoCellAnchor>
    <xdr:from>
      <xdr:col>0</xdr:col>
      <xdr:colOff>366126</xdr:colOff>
      <xdr:row>487</xdr:row>
      <xdr:rowOff>163132</xdr:rowOff>
    </xdr:from>
    <xdr:to>
      <xdr:col>1</xdr:col>
      <xdr:colOff>1980801</xdr:colOff>
      <xdr:row>491</xdr:row>
      <xdr:rowOff>97973</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366126" y="89317132"/>
          <a:ext cx="2311361" cy="7186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resource</a:t>
          </a:r>
          <a:r>
            <a:rPr lang="en-GB" sz="1100" baseline="0"/>
            <a:t> rent tax </a:t>
          </a:r>
          <a:r>
            <a:rPr lang="en-GB" sz="1100"/>
            <a:t>uses the project</a:t>
          </a:r>
          <a:r>
            <a:rPr lang="en-GB" sz="1100" baseline="0"/>
            <a:t> net cash flow, not the CIT tax base.</a:t>
          </a:r>
          <a:endParaRPr lang="en-GB" sz="1100"/>
        </a:p>
      </xdr:txBody>
    </xdr:sp>
    <xdr:clientData/>
  </xdr:twoCellAnchor>
  <xdr:twoCellAnchor>
    <xdr:from>
      <xdr:col>0</xdr:col>
      <xdr:colOff>284805</xdr:colOff>
      <xdr:row>596</xdr:row>
      <xdr:rowOff>126811</xdr:rowOff>
    </xdr:from>
    <xdr:to>
      <xdr:col>1</xdr:col>
      <xdr:colOff>1991741</xdr:colOff>
      <xdr:row>604</xdr:row>
      <xdr:rowOff>186344</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284805" y="105896644"/>
          <a:ext cx="2416019" cy="15835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 the Inputs sheet</a:t>
          </a:r>
          <a:r>
            <a:rPr lang="en-GB" sz="1100" baseline="0"/>
            <a:t>, you can "turn off" interest and dividend WHT. This is useful when assuming a country's tax treaties effectively reduce the WHT rates to zero.</a:t>
          </a:r>
        </a:p>
        <a:p>
          <a:endParaRPr lang="en-GB" sz="1100" baseline="0"/>
        </a:p>
        <a:p>
          <a:pPr marL="0" marR="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The switch turns off both dividends and interest WHT.</a:t>
          </a:r>
          <a:endParaRPr lang="en-US">
            <a:effectLst/>
          </a:endParaRPr>
        </a:p>
        <a:p>
          <a:endParaRPr lang="en-GB" sz="1100"/>
        </a:p>
      </xdr:txBody>
    </xdr:sp>
    <xdr:clientData/>
  </xdr:twoCellAnchor>
  <xdr:twoCellAnchor>
    <xdr:from>
      <xdr:col>0</xdr:col>
      <xdr:colOff>601756</xdr:colOff>
      <xdr:row>967</xdr:row>
      <xdr:rowOff>170423</xdr:rowOff>
    </xdr:from>
    <xdr:to>
      <xdr:col>1</xdr:col>
      <xdr:colOff>2046568</xdr:colOff>
      <xdr:row>973</xdr:row>
      <xdr:rowOff>186531</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601756" y="144497986"/>
          <a:ext cx="2151250" cy="1159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 are used</a:t>
          </a:r>
          <a:r>
            <a:rPr lang="en-GB" sz="1100" baseline="0"/>
            <a:t> to populate the revenue time profile charts.</a:t>
          </a:r>
        </a:p>
        <a:p>
          <a:endParaRPr lang="en-GB" sz="1100" baseline="0"/>
        </a:p>
        <a:p>
          <a:r>
            <a:rPr lang="en-GB" sz="1100" baseline="0"/>
            <a:t>When you add or remove taxes above, this section also needs amending.</a:t>
          </a:r>
          <a:endParaRPr lang="en-GB" sz="1100"/>
        </a:p>
      </xdr:txBody>
    </xdr:sp>
    <xdr:clientData/>
  </xdr:twoCellAnchor>
  <xdr:twoCellAnchor>
    <xdr:from>
      <xdr:col>0</xdr:col>
      <xdr:colOff>519207</xdr:colOff>
      <xdr:row>844</xdr:row>
      <xdr:rowOff>146143</xdr:rowOff>
    </xdr:from>
    <xdr:to>
      <xdr:col>1</xdr:col>
      <xdr:colOff>1998663</xdr:colOff>
      <xdr:row>852</xdr:row>
      <xdr:rowOff>158748</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519207" y="120685018"/>
          <a:ext cx="2185894" cy="15366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 are used</a:t>
          </a:r>
          <a:r>
            <a:rPr lang="en-GB" sz="1100" baseline="0"/>
            <a:t> to indirectly populate the revenue time profile charts.</a:t>
          </a:r>
        </a:p>
        <a:p>
          <a:endParaRPr lang="en-GB" sz="1100" baseline="0"/>
        </a:p>
        <a:p>
          <a:r>
            <a:rPr lang="en-GB" sz="1100" baseline="0"/>
            <a:t>You must add new taxes here.</a:t>
          </a:r>
        </a:p>
        <a:p>
          <a:endParaRPr lang="en-GB" sz="1100" baseline="0"/>
        </a:p>
        <a:p>
          <a:r>
            <a:rPr lang="en-GB" sz="1100" baseline="0"/>
            <a:t>All other lists of tax names come from here.</a:t>
          </a:r>
          <a:endParaRPr lang="en-GB" sz="1100"/>
        </a:p>
      </xdr:txBody>
    </xdr:sp>
    <xdr:clientData/>
  </xdr:twoCellAnchor>
  <xdr:twoCellAnchor>
    <xdr:from>
      <xdr:col>1</xdr:col>
      <xdr:colOff>129834</xdr:colOff>
      <xdr:row>195</xdr:row>
      <xdr:rowOff>55559</xdr:rowOff>
    </xdr:from>
    <xdr:to>
      <xdr:col>1</xdr:col>
      <xdr:colOff>2069533</xdr:colOff>
      <xdr:row>199</xdr:row>
      <xdr:rowOff>91278</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653709" y="36488684"/>
          <a:ext cx="1939699" cy="797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Variable</a:t>
          </a:r>
          <a:r>
            <a:rPr lang="en-GB" sz="1100" baseline="0"/>
            <a:t> rate royalty (price-based) aggregates both marginal and non-marginal approaches.</a:t>
          </a:r>
          <a:endParaRPr lang="en-GB" sz="1100"/>
        </a:p>
      </xdr:txBody>
    </xdr:sp>
    <xdr:clientData/>
  </xdr:twoCellAnchor>
  <xdr:twoCellAnchor>
    <xdr:from>
      <xdr:col>1</xdr:col>
      <xdr:colOff>95250</xdr:colOff>
      <xdr:row>925</xdr:row>
      <xdr:rowOff>163287</xdr:rowOff>
    </xdr:from>
    <xdr:to>
      <xdr:col>1</xdr:col>
      <xdr:colOff>2160094</xdr:colOff>
      <xdr:row>929</xdr:row>
      <xdr:rowOff>166689</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547688" y="108188693"/>
          <a:ext cx="2064844" cy="7654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To avoid double counting,</a:t>
          </a:r>
          <a:r>
            <a:rPr lang="en-GB" sz="1100" baseline="0"/>
            <a:t> state dividends are deducted from the government revenue amount.</a:t>
          </a:r>
          <a:endParaRPr lang="en-GB" sz="1100"/>
        </a:p>
      </xdr:txBody>
    </xdr:sp>
    <xdr:clientData/>
  </xdr:twoCellAnchor>
  <xdr:twoCellAnchor>
    <xdr:from>
      <xdr:col>1</xdr:col>
      <xdr:colOff>100853</xdr:colOff>
      <xdr:row>1163</xdr:row>
      <xdr:rowOff>0</xdr:rowOff>
    </xdr:from>
    <xdr:to>
      <xdr:col>2</xdr:col>
      <xdr:colOff>7657</xdr:colOff>
      <xdr:row>1163</xdr:row>
      <xdr:rowOff>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53291" y="136665233"/>
          <a:ext cx="2073741" cy="6852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00" b="0"/>
            <a:t>Results used to determine the evaluation criteria "Tax base simplicity."</a:t>
          </a:r>
        </a:p>
      </xdr:txBody>
    </xdr:sp>
    <xdr:clientData/>
  </xdr:twoCellAnchor>
  <xdr:twoCellAnchor>
    <xdr:from>
      <xdr:col>0</xdr:col>
      <xdr:colOff>376798</xdr:colOff>
      <xdr:row>1057</xdr:row>
      <xdr:rowOff>34996</xdr:rowOff>
    </xdr:from>
    <xdr:to>
      <xdr:col>1</xdr:col>
      <xdr:colOff>2015564</xdr:colOff>
      <xdr:row>1060</xdr:row>
      <xdr:rowOff>136680</xdr:rowOff>
    </xdr:to>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376798" y="119966652"/>
          <a:ext cx="2091204" cy="6731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a:t>Results used to determine the evaluation criteria "Timing of revenues."</a:t>
          </a:r>
        </a:p>
      </xdr:txBody>
    </xdr:sp>
    <xdr:clientData/>
  </xdr:twoCellAnchor>
  <xdr:twoCellAnchor>
    <xdr:from>
      <xdr:col>1</xdr:col>
      <xdr:colOff>89647</xdr:colOff>
      <xdr:row>1193</xdr:row>
      <xdr:rowOff>41317</xdr:rowOff>
    </xdr:from>
    <xdr:to>
      <xdr:col>1</xdr:col>
      <xdr:colOff>2164976</xdr:colOff>
      <xdr:row>1196</xdr:row>
      <xdr:rowOff>108553</xdr:rowOff>
    </xdr:to>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542085" y="151393567"/>
          <a:ext cx="2075329" cy="6387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a:t>Results used to determine the evaluation criteria "Progressivity as prices change."</a:t>
          </a:r>
        </a:p>
      </xdr:txBody>
    </xdr:sp>
    <xdr:clientData/>
  </xdr:twoCellAnchor>
  <xdr:twoCellAnchor>
    <xdr:from>
      <xdr:col>1</xdr:col>
      <xdr:colOff>0</xdr:colOff>
      <xdr:row>1207</xdr:row>
      <xdr:rowOff>0</xdr:rowOff>
    </xdr:from>
    <xdr:to>
      <xdr:col>1</xdr:col>
      <xdr:colOff>2532529</xdr:colOff>
      <xdr:row>1210</xdr:row>
      <xdr:rowOff>67236</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784412" y="138650382"/>
          <a:ext cx="2532529" cy="6387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a:t>Results used to determine the evaluation criteria "Progressivity as costs change."</a:t>
          </a:r>
        </a:p>
      </xdr:txBody>
    </xdr:sp>
    <xdr:clientData/>
  </xdr:twoCellAnchor>
  <xdr:twoCellAnchor>
    <xdr:from>
      <xdr:col>1</xdr:col>
      <xdr:colOff>6880</xdr:colOff>
      <xdr:row>103</xdr:row>
      <xdr:rowOff>0</xdr:rowOff>
    </xdr:from>
    <xdr:to>
      <xdr:col>1</xdr:col>
      <xdr:colOff>2127251</xdr:colOff>
      <xdr:row>103</xdr:row>
      <xdr:rowOff>0</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459318" y="17085469"/>
          <a:ext cx="2120371" cy="13454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GB" sz="1100"/>
            <a:t>Some goods</a:t>
          </a:r>
          <a:r>
            <a:rPr lang="en-GB" sz="1100" baseline="0"/>
            <a:t> and services are exempt from VAT. E.g. labour. </a:t>
          </a:r>
          <a:r>
            <a:rPr lang="en-GB" sz="1100">
              <a:solidFill>
                <a:schemeClr val="dk1"/>
              </a:solidFill>
              <a:effectLst/>
              <a:latin typeface="+mn-lt"/>
              <a:ea typeface="+mn-ea"/>
              <a:cs typeface="+mn-cs"/>
            </a:rPr>
            <a:t>The proportion of development</a:t>
          </a:r>
          <a:r>
            <a:rPr lang="en-GB" sz="1100" baseline="0">
              <a:solidFill>
                <a:schemeClr val="dk1"/>
              </a:solidFill>
              <a:effectLst/>
              <a:latin typeface="+mn-lt"/>
              <a:ea typeface="+mn-ea"/>
              <a:cs typeface="+mn-cs"/>
            </a:rPr>
            <a:t> and operating c</a:t>
          </a:r>
          <a:r>
            <a:rPr lang="en-GB" sz="1100">
              <a:solidFill>
                <a:schemeClr val="dk1"/>
              </a:solidFill>
              <a:effectLst/>
              <a:latin typeface="+mn-lt"/>
              <a:ea typeface="+mn-ea"/>
              <a:cs typeface="+mn-cs"/>
            </a:rPr>
            <a:t>osts that attract VAT is determined in the Inputs sheet.</a:t>
          </a:r>
          <a:r>
            <a:rPr lang="en-GB" sz="1100" baseline="0"/>
            <a:t> But the effective rate may be 0% if exports are zero-rated.</a:t>
          </a:r>
          <a:endParaRPr lang="en-GB" sz="1100"/>
        </a:p>
      </xdr:txBody>
    </xdr:sp>
    <xdr:clientData/>
  </xdr:twoCellAnchor>
  <xdr:twoCellAnchor>
    <xdr:from>
      <xdr:col>0</xdr:col>
      <xdr:colOff>316426</xdr:colOff>
      <xdr:row>495</xdr:row>
      <xdr:rowOff>90072</xdr:rowOff>
    </xdr:from>
    <xdr:to>
      <xdr:col>1</xdr:col>
      <xdr:colOff>2045493</xdr:colOff>
      <xdr:row>501</xdr:row>
      <xdr:rowOff>107156</xdr:rowOff>
    </xdr:to>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316426" y="66062603"/>
          <a:ext cx="2181505" cy="1160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Zimbabwe</a:t>
          </a:r>
          <a:r>
            <a:rPr lang="en-GB" sz="1100" baseline="0"/>
            <a:t> additional profit tax</a:t>
          </a:r>
          <a:r>
            <a:rPr lang="en-GB" sz="1100"/>
            <a:t> base is the same as the RRT base. I.e.</a:t>
          </a:r>
          <a:r>
            <a:rPr lang="en-GB" sz="1100" baseline="0"/>
            <a:t> the project net cash flow. A negative balance in a given year is uplifted by a specified factor and inflation. </a:t>
          </a:r>
          <a:endParaRPr lang="en-GB" sz="1100"/>
        </a:p>
      </xdr:txBody>
    </xdr:sp>
    <xdr:clientData/>
  </xdr:twoCellAnchor>
  <xdr:twoCellAnchor>
    <xdr:from>
      <xdr:col>0</xdr:col>
      <xdr:colOff>704586</xdr:colOff>
      <xdr:row>279</xdr:row>
      <xdr:rowOff>89278</xdr:rowOff>
    </xdr:from>
    <xdr:to>
      <xdr:col>1</xdr:col>
      <xdr:colOff>1933085</xdr:colOff>
      <xdr:row>288</xdr:row>
      <xdr:rowOff>65467</xdr:rowOff>
    </xdr:to>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704586" y="49291195"/>
          <a:ext cx="1937582" cy="16906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Each entity in an unincorporated JV is treated as a separate taxable entity. Each entity </a:t>
          </a:r>
          <a:r>
            <a:rPr lang="en-GB" sz="1100" baseline="0">
              <a:solidFill>
                <a:schemeClr val="dk1"/>
              </a:solidFill>
              <a:effectLst/>
              <a:latin typeface="+mn-lt"/>
              <a:ea typeface="+mn-ea"/>
              <a:cs typeface="+mn-cs"/>
            </a:rPr>
            <a:t>will therefore only be taxed on the revenues it retains and the costs it incurs. We assume any state entity involved in the JV will not be taxed. </a:t>
          </a:r>
          <a:endParaRPr lang="en-GB" sz="1100"/>
        </a:p>
      </xdr:txBody>
    </xdr:sp>
    <xdr:clientData/>
  </xdr:twoCellAnchor>
  <xdr:twoCellAnchor>
    <xdr:from>
      <xdr:col>1</xdr:col>
      <xdr:colOff>32393</xdr:colOff>
      <xdr:row>246</xdr:row>
      <xdr:rowOff>33343</xdr:rowOff>
    </xdr:from>
    <xdr:to>
      <xdr:col>1</xdr:col>
      <xdr:colOff>2218532</xdr:colOff>
      <xdr:row>253</xdr:row>
      <xdr:rowOff>87312</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738831" y="42125906"/>
          <a:ext cx="2186139" cy="1387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State equity in an unincorporated JV that requires no contribution is the equivalent of a royalty or production share. We therefore treat it as such, and do not provide the option of free equity in an unincorporated JV.</a:t>
          </a:r>
        </a:p>
        <a:p>
          <a:endParaRPr lang="en-GB" sz="1100" baseline="0"/>
        </a:p>
        <a:p>
          <a:endParaRPr lang="en-GB" sz="1100" baseline="0"/>
        </a:p>
      </xdr:txBody>
    </xdr:sp>
    <xdr:clientData/>
  </xdr:twoCellAnchor>
  <xdr:twoCellAnchor>
    <xdr:from>
      <xdr:col>0</xdr:col>
      <xdr:colOff>261938</xdr:colOff>
      <xdr:row>512</xdr:row>
      <xdr:rowOff>158749</xdr:rowOff>
    </xdr:from>
    <xdr:to>
      <xdr:col>1</xdr:col>
      <xdr:colOff>1991005</xdr:colOff>
      <xdr:row>521</xdr:row>
      <xdr:rowOff>81643</xdr:rowOff>
    </xdr:to>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261938" y="89175166"/>
          <a:ext cx="2438150" cy="16373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We assume that the</a:t>
          </a:r>
          <a:r>
            <a:rPr lang="en-GB" sz="1100" baseline="0"/>
            <a:t> Tanzanian approach of state equity also providing a prorportionate share of loan repayments does not entail this share being</a:t>
          </a:r>
          <a:r>
            <a:rPr lang="en-GB" sz="1100"/>
            <a:t> paid out of the loan principle</a:t>
          </a:r>
          <a:r>
            <a:rPr lang="en-GB" sz="1100" baseline="0"/>
            <a:t> or interest payment themselves, given the  creditor will need to receive repayment in full. We assume the equivalent is deducted from project cash flow.</a:t>
          </a:r>
          <a:endParaRPr lang="en-GB" sz="1100"/>
        </a:p>
      </xdr:txBody>
    </xdr:sp>
    <xdr:clientData/>
  </xdr:twoCellAnchor>
  <xdr:twoCellAnchor>
    <xdr:from>
      <xdr:col>0</xdr:col>
      <xdr:colOff>560159</xdr:colOff>
      <xdr:row>659</xdr:row>
      <xdr:rowOff>170845</xdr:rowOff>
    </xdr:from>
    <xdr:to>
      <xdr:col>2</xdr:col>
      <xdr:colOff>72947</xdr:colOff>
      <xdr:row>665</xdr:row>
      <xdr:rowOff>33262</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560159" y="117364631"/>
          <a:ext cx="2488217" cy="10054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positive adjustment means the government receives an</a:t>
          </a:r>
          <a:r>
            <a:rPr lang="en-GB" sz="1100" baseline="0"/>
            <a:t> additional amount</a:t>
          </a:r>
          <a:r>
            <a:rPr lang="en-GB" sz="1100"/>
            <a:t> from</a:t>
          </a:r>
          <a:r>
            <a:rPr lang="en-GB" sz="1100" baseline="0"/>
            <a:t> the investor,</a:t>
          </a:r>
          <a:r>
            <a:rPr lang="en-GB" sz="1100"/>
            <a:t> a negative adjustment means</a:t>
          </a:r>
          <a:r>
            <a:rPr lang="en-GB" sz="1100" baseline="0"/>
            <a:t> the</a:t>
          </a:r>
          <a:r>
            <a:rPr lang="en-GB" sz="1100"/>
            <a:t> government pays the investor.</a:t>
          </a:r>
        </a:p>
      </xdr:txBody>
    </xdr:sp>
    <xdr:clientData/>
  </xdr:twoCellAnchor>
  <xdr:twoCellAnchor>
    <xdr:from>
      <xdr:col>1</xdr:col>
      <xdr:colOff>10583</xdr:colOff>
      <xdr:row>230</xdr:row>
      <xdr:rowOff>127001</xdr:rowOff>
    </xdr:from>
    <xdr:to>
      <xdr:col>1</xdr:col>
      <xdr:colOff>2121958</xdr:colOff>
      <xdr:row>235</xdr:row>
      <xdr:rowOff>148167</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719666" y="39994418"/>
          <a:ext cx="2111375" cy="973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Some goods</a:t>
          </a:r>
          <a:r>
            <a:rPr lang="en-GB" sz="1100" baseline="0"/>
            <a:t> and services will be sourced locally. </a:t>
          </a:r>
          <a:r>
            <a:rPr lang="en-GB" sz="1100"/>
            <a:t>The proportion of development</a:t>
          </a:r>
          <a:r>
            <a:rPr lang="en-GB" sz="1100" baseline="0"/>
            <a:t> and operating c</a:t>
          </a:r>
          <a:r>
            <a:rPr lang="en-GB" sz="1100"/>
            <a:t>osts that attract import duties is determined in the Inputs sheet.</a:t>
          </a:r>
        </a:p>
      </xdr:txBody>
    </xdr:sp>
    <xdr:clientData/>
  </xdr:twoCellAnchor>
  <xdr:twoCellAnchor>
    <xdr:from>
      <xdr:col>1</xdr:col>
      <xdr:colOff>1</xdr:colOff>
      <xdr:row>236</xdr:row>
      <xdr:rowOff>40926</xdr:rowOff>
    </xdr:from>
    <xdr:to>
      <xdr:col>1</xdr:col>
      <xdr:colOff>2120372</xdr:colOff>
      <xdr:row>243</xdr:row>
      <xdr:rowOff>52832</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706439" y="40061801"/>
          <a:ext cx="2120371" cy="13454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GB" sz="1100"/>
            <a:t>Some goods</a:t>
          </a:r>
          <a:r>
            <a:rPr lang="en-GB" sz="1100" baseline="0"/>
            <a:t> and services are exempt from VAT. E.g. labour. </a:t>
          </a:r>
          <a:r>
            <a:rPr lang="en-GB" sz="1100">
              <a:solidFill>
                <a:schemeClr val="dk1"/>
              </a:solidFill>
              <a:effectLst/>
              <a:latin typeface="+mn-lt"/>
              <a:ea typeface="+mn-ea"/>
              <a:cs typeface="+mn-cs"/>
            </a:rPr>
            <a:t>The proportion of development</a:t>
          </a:r>
          <a:r>
            <a:rPr lang="en-GB" sz="1100" baseline="0">
              <a:solidFill>
                <a:schemeClr val="dk1"/>
              </a:solidFill>
              <a:effectLst/>
              <a:latin typeface="+mn-lt"/>
              <a:ea typeface="+mn-ea"/>
              <a:cs typeface="+mn-cs"/>
            </a:rPr>
            <a:t> and operating c</a:t>
          </a:r>
          <a:r>
            <a:rPr lang="en-GB" sz="1100">
              <a:solidFill>
                <a:schemeClr val="dk1"/>
              </a:solidFill>
              <a:effectLst/>
              <a:latin typeface="+mn-lt"/>
              <a:ea typeface="+mn-ea"/>
              <a:cs typeface="+mn-cs"/>
            </a:rPr>
            <a:t>osts that attract VAT is determined in the Inputs sheet.</a:t>
          </a:r>
          <a:r>
            <a:rPr lang="en-GB" sz="1100" baseline="0"/>
            <a:t> But the effective rate may be 0% if exports are zero-rated.</a:t>
          </a:r>
          <a:endParaRPr lang="en-GB" sz="1100"/>
        </a:p>
      </xdr:txBody>
    </xdr:sp>
    <xdr:clientData/>
  </xdr:twoCellAnchor>
  <xdr:twoCellAnchor>
    <xdr:from>
      <xdr:col>0</xdr:col>
      <xdr:colOff>566057</xdr:colOff>
      <xdr:row>1221</xdr:row>
      <xdr:rowOff>97972</xdr:rowOff>
    </xdr:from>
    <xdr:to>
      <xdr:col>1</xdr:col>
      <xdr:colOff>2204823</xdr:colOff>
      <xdr:row>1225</xdr:row>
      <xdr:rowOff>3713</xdr:rowOff>
    </xdr:to>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566057" y="227217515"/>
          <a:ext cx="2335452" cy="689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a:t>Results used to determine the evaluation criteria "Tax</a:t>
          </a:r>
          <a:r>
            <a:rPr lang="en-GB" sz="1100" b="0" baseline="0"/>
            <a:t> base simplicity</a:t>
          </a:r>
          <a:r>
            <a:rPr lang="en-GB" sz="1100" b="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17462</xdr:colOff>
      <xdr:row>1</xdr:row>
      <xdr:rowOff>74612</xdr:rowOff>
    </xdr:from>
    <xdr:to>
      <xdr:col>8</xdr:col>
      <xdr:colOff>484186</xdr:colOff>
      <xdr:row>4</xdr:row>
      <xdr:rowOff>95250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4446587" y="241300"/>
          <a:ext cx="1657349" cy="520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List range is adjustable in </a:t>
          </a:r>
        </a:p>
        <a:p>
          <a:r>
            <a:rPr lang="en-GB" sz="1100"/>
            <a:t>"data validation"</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taxreform.dof.gov.ph/tax-reform-packages/package-2plus-mining-taxes/" TargetMode="External"/><Relationship Id="rId7" Type="http://schemas.openxmlformats.org/officeDocument/2006/relationships/printerSettings" Target="../printerSettings/printerSettings3.bin"/><Relationship Id="rId2" Type="http://schemas.openxmlformats.org/officeDocument/2006/relationships/hyperlink" Target="https://www.ey.com/gl/en/services/tax/international-tax/tax-alert-library" TargetMode="External"/><Relationship Id="rId1" Type="http://schemas.openxmlformats.org/officeDocument/2006/relationships/hyperlink" Target="https://www.export.gov/ccg" TargetMode="External"/><Relationship Id="rId6" Type="http://schemas.openxmlformats.org/officeDocument/2006/relationships/hyperlink" Target="https://taxreform.dof.gov.ph/tax-reform-packages/package-2plus-mining-taxes/" TargetMode="External"/><Relationship Id="rId5" Type="http://schemas.openxmlformats.org/officeDocument/2006/relationships/hyperlink" Target="https://www.ey.com/gl/en/services/tax/international-tax/tax-alert-library" TargetMode="External"/><Relationship Id="rId10" Type="http://schemas.openxmlformats.org/officeDocument/2006/relationships/comments" Target="../comments1.xml"/><Relationship Id="rId4" Type="http://schemas.openxmlformats.org/officeDocument/2006/relationships/hyperlink" Target="https://taxsummaries.pwc.com/" TargetMode="External"/><Relationship Id="rId9"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545A"/>
  </sheetPr>
  <dimension ref="A1:T208"/>
  <sheetViews>
    <sheetView showGridLines="0" tabSelected="1" zoomScale="80" zoomScaleNormal="80" zoomScaleSheetLayoutView="40" workbookViewId="0">
      <selection activeCell="L6" sqref="L6"/>
    </sheetView>
  </sheetViews>
  <sheetFormatPr defaultColWidth="0" defaultRowHeight="14.5" zeroHeight="1"/>
  <cols>
    <col min="1" max="1" width="4.453125" customWidth="1"/>
    <col min="2" max="2" width="18.453125" customWidth="1"/>
    <col min="3" max="4" width="9.1796875" customWidth="1"/>
    <col min="5" max="5" width="11.453125" customWidth="1"/>
    <col min="6" max="16" width="9.1796875" customWidth="1"/>
    <col min="17" max="17" width="31" customWidth="1"/>
    <col min="18" max="19" width="9.1796875" customWidth="1"/>
    <col min="20" max="20" width="5.08984375" customWidth="1"/>
    <col min="21" max="16384" width="9.1796875" style="575" hidden="1"/>
  </cols>
  <sheetData>
    <row r="1" spans="2:19"/>
    <row r="2" spans="2:19"/>
    <row r="3" spans="2:19" ht="46.5">
      <c r="I3" s="454"/>
      <c r="J3" s="454" t="s">
        <v>0</v>
      </c>
    </row>
    <row r="4" spans="2:19" ht="23.5">
      <c r="I4" s="455"/>
      <c r="J4" s="455" t="s">
        <v>789</v>
      </c>
    </row>
    <row r="5" spans="2:19"/>
    <row r="6" spans="2:19" ht="9.5" customHeight="1"/>
    <row r="7" spans="2:19" ht="10" customHeight="1"/>
    <row r="8" spans="2:19" ht="25">
      <c r="B8" s="457" t="s">
        <v>1</v>
      </c>
      <c r="C8" s="456"/>
      <c r="D8" s="456"/>
      <c r="E8" s="456"/>
      <c r="F8" s="456"/>
      <c r="G8" s="456"/>
      <c r="H8" s="456"/>
      <c r="I8" s="456"/>
      <c r="J8" s="456"/>
      <c r="K8" s="456"/>
      <c r="L8" s="456"/>
      <c r="M8" s="456"/>
      <c r="N8" s="456"/>
      <c r="O8" s="456"/>
      <c r="P8" s="456"/>
      <c r="Q8" s="456"/>
      <c r="R8" s="456"/>
      <c r="S8" s="456"/>
    </row>
    <row r="9" spans="2:19" ht="23.25" customHeight="1"/>
    <row r="10" spans="2:19"/>
    <row r="11" spans="2:19"/>
    <row r="12" spans="2:19"/>
    <row r="13" spans="2:19"/>
    <row r="14" spans="2:19"/>
    <row r="15" spans="2:19" ht="8.25" customHeight="1"/>
    <row r="16" spans="2:19" ht="25">
      <c r="B16" s="457" t="s">
        <v>2</v>
      </c>
      <c r="C16" s="456"/>
      <c r="D16" s="456"/>
      <c r="E16" s="456"/>
      <c r="F16" s="456"/>
      <c r="G16" s="456"/>
      <c r="H16" s="456"/>
      <c r="I16" s="456"/>
      <c r="J16" s="456"/>
      <c r="K16" s="456"/>
      <c r="L16" s="456"/>
      <c r="M16" s="456"/>
      <c r="N16" s="456"/>
      <c r="O16" s="456"/>
      <c r="P16" s="456"/>
      <c r="Q16" s="456"/>
      <c r="R16" s="456"/>
      <c r="S16" s="456"/>
    </row>
    <row r="17" spans="2:19" ht="8.25" customHeight="1">
      <c r="B17" s="450"/>
      <c r="C17" s="450"/>
      <c r="D17" s="450"/>
      <c r="E17" s="450"/>
      <c r="F17" s="450"/>
      <c r="G17" s="450"/>
      <c r="H17" s="450"/>
    </row>
    <row r="18" spans="2:19" ht="24">
      <c r="B18" s="451" t="s">
        <v>3</v>
      </c>
      <c r="C18" s="452" t="s">
        <v>4</v>
      </c>
      <c r="D18" s="572"/>
      <c r="E18" s="573"/>
      <c r="F18" s="573"/>
      <c r="G18" s="573"/>
      <c r="H18" s="573"/>
      <c r="I18" s="574"/>
      <c r="J18" s="574"/>
    </row>
    <row r="19" spans="2:19" ht="24">
      <c r="B19" s="451" t="s">
        <v>5</v>
      </c>
      <c r="C19" s="452" t="s">
        <v>6</v>
      </c>
      <c r="D19" s="572"/>
      <c r="E19" s="573"/>
      <c r="F19" s="573"/>
      <c r="G19" s="573"/>
      <c r="H19" s="573"/>
      <c r="I19" s="574"/>
      <c r="J19" s="574"/>
    </row>
    <row r="20" spans="2:19" ht="24">
      <c r="B20" s="451" t="s">
        <v>7</v>
      </c>
      <c r="C20" s="452" t="s">
        <v>8</v>
      </c>
      <c r="D20" s="572"/>
      <c r="E20" s="573"/>
      <c r="F20" s="573"/>
      <c r="G20" s="573"/>
      <c r="H20" s="573"/>
      <c r="I20" s="574"/>
      <c r="J20" s="574"/>
    </row>
    <row r="21" spans="2:19" ht="8.25" customHeight="1"/>
    <row r="22" spans="2:19" ht="25">
      <c r="B22" s="457" t="s">
        <v>9</v>
      </c>
      <c r="C22" s="456"/>
      <c r="D22" s="456"/>
      <c r="E22" s="456"/>
      <c r="F22" s="456"/>
      <c r="G22" s="456"/>
      <c r="H22" s="456"/>
      <c r="I22" s="456"/>
      <c r="J22" s="456"/>
      <c r="K22" s="456"/>
      <c r="L22" s="456"/>
      <c r="M22" s="456"/>
      <c r="N22" s="456"/>
      <c r="O22" s="456"/>
      <c r="P22" s="456"/>
      <c r="Q22" s="456"/>
      <c r="R22" s="456"/>
      <c r="S22" s="456"/>
    </row>
    <row r="23" spans="2:19" ht="22.5" customHeight="1"/>
    <row r="24" spans="2:19" ht="22.5" customHeight="1"/>
    <row r="25" spans="2:19" ht="22.5" customHeight="1"/>
    <row r="26" spans="2:19" ht="22.5" customHeight="1"/>
    <row r="27" spans="2:19" ht="24" customHeight="1"/>
    <row r="28" spans="2:19" ht="25">
      <c r="B28" s="457" t="s">
        <v>10</v>
      </c>
      <c r="C28" s="456"/>
      <c r="D28" s="456"/>
      <c r="E28" s="456"/>
      <c r="F28" s="456"/>
      <c r="G28" s="456"/>
      <c r="H28" s="456"/>
      <c r="I28" s="456"/>
      <c r="J28" s="456"/>
      <c r="K28" s="456"/>
      <c r="L28" s="456"/>
      <c r="M28" s="456"/>
      <c r="N28" s="456"/>
      <c r="O28" s="456"/>
      <c r="P28" s="456"/>
      <c r="Q28" s="456"/>
      <c r="R28" s="456"/>
      <c r="S28" s="456"/>
    </row>
    <row r="29" spans="2:19" ht="9" customHeight="1"/>
    <row r="30" spans="2:19" ht="26.5" customHeight="1"/>
    <row r="31" spans="2:19" ht="22.5" customHeight="1"/>
    <row r="32" spans="2:19" ht="25">
      <c r="B32" s="457" t="s">
        <v>11</v>
      </c>
      <c r="C32" s="456"/>
      <c r="D32" s="456"/>
      <c r="E32" s="456"/>
      <c r="F32" s="456"/>
      <c r="G32" s="456"/>
      <c r="H32" s="456"/>
      <c r="I32" s="456"/>
      <c r="J32" s="456"/>
      <c r="K32" s="456"/>
      <c r="L32" s="456"/>
      <c r="M32" s="456"/>
      <c r="N32" s="456"/>
      <c r="O32" s="456"/>
      <c r="P32" s="456"/>
      <c r="Q32" s="456"/>
      <c r="R32" s="456"/>
      <c r="S32" s="456"/>
    </row>
    <row r="33" spans="3:11"/>
    <row r="34" spans="3:11" ht="24">
      <c r="C34" s="450"/>
    </row>
    <row r="35" spans="3:11"/>
    <row r="36" spans="3:11" ht="15" customHeight="1"/>
    <row r="37" spans="3:11"/>
    <row r="38" spans="3:11" ht="24">
      <c r="J38" s="453"/>
      <c r="K38" s="453" t="s">
        <v>12</v>
      </c>
    </row>
    <row r="39" spans="3:11" ht="24">
      <c r="J39" s="453"/>
      <c r="K39" s="453" t="s">
        <v>13</v>
      </c>
    </row>
    <row r="40" spans="3:11"/>
    <row r="41" spans="3:11"/>
    <row r="42" spans="3:11"/>
    <row r="43" spans="3:11"/>
    <row r="44" spans="3:11"/>
    <row r="45" spans="3:11"/>
    <row r="46" spans="3:11"/>
    <row r="47" spans="3:11"/>
    <row r="48" spans="3:11"/>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sheetData>
  <hyperlinks>
    <hyperlink ref="B18" location="Results!A1" display="Results" xr:uid="{00000000-0004-0000-0000-000000000000}"/>
    <hyperlink ref="B19" location="Inputs!A1" display="Inputs" xr:uid="{00000000-0004-0000-0000-000001000000}"/>
    <hyperlink ref="B20" location="Model!A1" display="Model" xr:uid="{00000000-0004-0000-0000-000002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D5F"/>
    <pageSetUpPr fitToPage="1"/>
  </sheetPr>
  <dimension ref="A1:XFB796"/>
  <sheetViews>
    <sheetView showGridLines="0" zoomScale="48" zoomScaleNormal="48" workbookViewId="0">
      <pane ySplit="3" topLeftCell="A4" activePane="bottomLeft" state="frozen"/>
      <selection pane="bottomLeft" activeCell="AG164" sqref="AG164:AR164"/>
    </sheetView>
  </sheetViews>
  <sheetFormatPr defaultColWidth="9.1796875" defaultRowHeight="14.5" zeroHeight="1" outlineLevelRow="1"/>
  <cols>
    <col min="1" max="1" width="3.81640625" customWidth="1"/>
    <col min="2" max="2" width="38.1796875" customWidth="1"/>
    <col min="3" max="3" width="9.1796875" customWidth="1"/>
    <col min="4" max="4" width="15" customWidth="1"/>
    <col min="5" max="5" width="14" bestFit="1" customWidth="1"/>
    <col min="6" max="6" width="36.81640625" bestFit="1" customWidth="1"/>
    <col min="7" max="7" width="9.1796875" customWidth="1"/>
    <col min="8" max="8" width="7" customWidth="1"/>
    <col min="9" max="9" width="9.1796875" customWidth="1"/>
    <col min="10" max="10" width="14.453125" customWidth="1"/>
    <col min="11" max="11" width="32.1796875" customWidth="1"/>
    <col min="12" max="12" width="28" customWidth="1"/>
    <col min="13" max="13" width="9.1796875" customWidth="1"/>
    <col min="14" max="14" width="13.453125" customWidth="1"/>
    <col min="15" max="15" width="6.81640625" customWidth="1"/>
    <col min="16" max="16" width="10" customWidth="1"/>
    <col min="17" max="17" width="10.453125" customWidth="1"/>
    <col min="18" max="21" width="9.1796875" customWidth="1"/>
  </cols>
  <sheetData>
    <row r="1" spans="1:16382" s="129" customFormat="1" ht="15" customHeight="1">
      <c r="A1" s="458"/>
      <c r="B1" s="459"/>
      <c r="C1" s="458"/>
      <c r="D1" s="458"/>
      <c r="E1" s="458"/>
      <c r="F1" s="458"/>
      <c r="G1" s="458"/>
      <c r="H1" s="458"/>
      <c r="I1" s="458"/>
      <c r="J1" s="458"/>
      <c r="K1" s="458"/>
      <c r="L1" s="458"/>
      <c r="M1" s="458"/>
      <c r="N1" s="458"/>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8"/>
      <c r="AN1" s="458"/>
      <c r="AO1" s="458"/>
      <c r="AP1" s="458"/>
      <c r="AQ1" s="458"/>
      <c r="AR1" s="458"/>
      <c r="AS1" s="458"/>
      <c r="AT1" s="281"/>
      <c r="AU1" s="281"/>
      <c r="AV1" s="281"/>
      <c r="AW1" s="281"/>
      <c r="AX1" s="281"/>
      <c r="AY1" s="281"/>
      <c r="AZ1" s="281"/>
      <c r="BA1" s="281"/>
      <c r="BB1" s="281"/>
      <c r="BC1" s="28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row>
    <row r="2" spans="1:16382" s="129" customFormat="1" ht="40" customHeight="1">
      <c r="A2" s="458"/>
      <c r="B2" s="477" t="s">
        <v>3</v>
      </c>
      <c r="C2" s="458"/>
      <c r="D2" s="458"/>
      <c r="E2" s="458"/>
      <c r="F2" s="458"/>
      <c r="G2" s="458"/>
      <c r="H2" s="459"/>
      <c r="I2" s="459"/>
      <c r="J2" s="459"/>
      <c r="K2" s="478" t="s">
        <v>14</v>
      </c>
      <c r="L2" s="478" t="str">
        <f>Inputs!E217</f>
        <v>Average profit</v>
      </c>
      <c r="M2" s="459"/>
      <c r="N2" s="458"/>
      <c r="O2" s="458"/>
      <c r="P2" s="458"/>
      <c r="Q2" s="458"/>
      <c r="R2" s="458"/>
      <c r="S2" s="458"/>
      <c r="T2" s="458"/>
      <c r="U2" s="458"/>
      <c r="V2" s="458"/>
      <c r="W2" s="458"/>
      <c r="X2" s="458"/>
      <c r="Y2" s="458"/>
      <c r="Z2" s="458"/>
      <c r="AA2" s="458"/>
      <c r="AB2" s="458"/>
      <c r="AC2" s="458"/>
      <c r="AD2" s="458"/>
      <c r="AE2" s="458"/>
      <c r="AF2" s="458"/>
      <c r="AG2" s="458"/>
      <c r="AH2" s="458"/>
      <c r="AI2" s="458"/>
      <c r="AJ2" s="458"/>
      <c r="AK2" s="458"/>
      <c r="AL2" s="458"/>
      <c r="AM2" s="458"/>
      <c r="AN2" s="458"/>
      <c r="AO2" s="458"/>
      <c r="AP2" s="458"/>
      <c r="AQ2" s="458"/>
      <c r="AR2" s="458"/>
      <c r="AS2" s="458"/>
      <c r="AT2" s="281"/>
      <c r="AU2" s="281"/>
      <c r="AV2" s="281"/>
      <c r="AW2" s="281"/>
      <c r="AX2" s="281"/>
      <c r="AY2" s="281"/>
      <c r="AZ2" s="281"/>
      <c r="BA2" s="281"/>
      <c r="BB2" s="281"/>
      <c r="BC2" s="281"/>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c r="EEJ2"/>
      <c r="EEK2"/>
      <c r="EEL2"/>
      <c r="EEM2"/>
      <c r="EEN2"/>
      <c r="EEO2"/>
      <c r="EEP2"/>
      <c r="EEQ2"/>
      <c r="EER2"/>
      <c r="EES2"/>
      <c r="EET2"/>
      <c r="EEU2"/>
      <c r="EEV2"/>
      <c r="EEW2"/>
      <c r="EEX2"/>
      <c r="EEY2"/>
      <c r="EEZ2"/>
      <c r="EFA2"/>
      <c r="EFB2"/>
      <c r="EFC2"/>
      <c r="EFD2"/>
      <c r="EFE2"/>
      <c r="EFF2"/>
      <c r="EFG2"/>
      <c r="EFH2"/>
      <c r="EFI2"/>
      <c r="EFJ2"/>
      <c r="EFK2"/>
      <c r="EFL2"/>
      <c r="EFM2"/>
      <c r="EFN2"/>
      <c r="EFO2"/>
      <c r="EFP2"/>
      <c r="EFQ2"/>
      <c r="EFR2"/>
      <c r="EFS2"/>
      <c r="EFT2"/>
      <c r="EFU2"/>
      <c r="EFV2"/>
      <c r="EFW2"/>
      <c r="EFX2"/>
      <c r="EFY2"/>
      <c r="EFZ2"/>
      <c r="EGA2"/>
      <c r="EGB2"/>
      <c r="EGC2"/>
      <c r="EGD2"/>
      <c r="EGE2"/>
      <c r="EGF2"/>
      <c r="EGG2"/>
      <c r="EGH2"/>
      <c r="EGI2"/>
      <c r="EGJ2"/>
      <c r="EGK2"/>
      <c r="EGL2"/>
      <c r="EGM2"/>
      <c r="EGN2"/>
      <c r="EGO2"/>
      <c r="EGP2"/>
      <c r="EGQ2"/>
      <c r="EGR2"/>
      <c r="EGS2"/>
      <c r="EGT2"/>
      <c r="EGU2"/>
      <c r="EGV2"/>
      <c r="EGW2"/>
      <c r="EGX2"/>
      <c r="EGY2"/>
      <c r="EGZ2"/>
      <c r="EHA2"/>
      <c r="EHB2"/>
      <c r="EHC2"/>
      <c r="EHD2"/>
      <c r="EHE2"/>
      <c r="EHF2"/>
      <c r="EHG2"/>
      <c r="EHH2"/>
      <c r="EHI2"/>
      <c r="EHJ2"/>
      <c r="EHK2"/>
      <c r="EHL2"/>
      <c r="EHM2"/>
      <c r="EHN2"/>
      <c r="EHO2"/>
      <c r="EHP2"/>
      <c r="EHQ2"/>
      <c r="EHR2"/>
      <c r="EHS2"/>
      <c r="EHT2"/>
      <c r="EHU2"/>
      <c r="EHV2"/>
      <c r="EHW2"/>
      <c r="EHX2"/>
      <c r="EHY2"/>
      <c r="EHZ2"/>
      <c r="EIA2"/>
      <c r="EIB2"/>
      <c r="EIC2"/>
      <c r="EID2"/>
      <c r="EIE2"/>
      <c r="EIF2"/>
      <c r="EIG2"/>
      <c r="EIH2"/>
      <c r="EII2"/>
      <c r="EIJ2"/>
      <c r="EIK2"/>
      <c r="EIL2"/>
      <c r="EIM2"/>
      <c r="EIN2"/>
      <c r="EIO2"/>
      <c r="EIP2"/>
      <c r="EIQ2"/>
      <c r="EIR2"/>
      <c r="EIS2"/>
      <c r="EIT2"/>
      <c r="EIU2"/>
      <c r="EIV2"/>
      <c r="EIW2"/>
      <c r="EIX2"/>
      <c r="EIY2"/>
      <c r="EIZ2"/>
      <c r="EJA2"/>
      <c r="EJB2"/>
      <c r="EJC2"/>
      <c r="EJD2"/>
      <c r="EJE2"/>
      <c r="EJF2"/>
      <c r="EJG2"/>
      <c r="EJH2"/>
      <c r="EJI2"/>
      <c r="EJJ2"/>
      <c r="EJK2"/>
      <c r="EJL2"/>
      <c r="EJM2"/>
      <c r="EJN2"/>
      <c r="EJO2"/>
      <c r="EJP2"/>
      <c r="EJQ2"/>
      <c r="EJR2"/>
      <c r="EJS2"/>
      <c r="EJT2"/>
      <c r="EJU2"/>
      <c r="EJV2"/>
      <c r="EJW2"/>
      <c r="EJX2"/>
      <c r="EJY2"/>
      <c r="EJZ2"/>
      <c r="EKA2"/>
      <c r="EKB2"/>
      <c r="EKC2"/>
      <c r="EKD2"/>
      <c r="EKE2"/>
      <c r="EKF2"/>
      <c r="EKG2"/>
      <c r="EKH2"/>
      <c r="EKI2"/>
      <c r="EKJ2"/>
      <c r="EKK2"/>
      <c r="EKL2"/>
      <c r="EKM2"/>
      <c r="EKN2"/>
      <c r="EKO2"/>
      <c r="EKP2"/>
      <c r="EKQ2"/>
      <c r="EKR2"/>
      <c r="EKS2"/>
      <c r="EKT2"/>
      <c r="EKU2"/>
      <c r="EKV2"/>
      <c r="EKW2"/>
      <c r="EKX2"/>
      <c r="EKY2"/>
      <c r="EKZ2"/>
      <c r="ELA2"/>
      <c r="ELB2"/>
      <c r="ELC2"/>
      <c r="ELD2"/>
      <c r="ELE2"/>
      <c r="ELF2"/>
      <c r="ELG2"/>
      <c r="ELH2"/>
      <c r="ELI2"/>
      <c r="ELJ2"/>
      <c r="ELK2"/>
      <c r="ELL2"/>
      <c r="ELM2"/>
      <c r="ELN2"/>
      <c r="ELO2"/>
      <c r="ELP2"/>
      <c r="ELQ2"/>
      <c r="ELR2"/>
      <c r="ELS2"/>
      <c r="ELT2"/>
      <c r="ELU2"/>
      <c r="ELV2"/>
      <c r="ELW2"/>
      <c r="ELX2"/>
      <c r="ELY2"/>
      <c r="ELZ2"/>
      <c r="EMA2"/>
      <c r="EMB2"/>
      <c r="EMC2"/>
      <c r="EMD2"/>
      <c r="EME2"/>
      <c r="EMF2"/>
      <c r="EMG2"/>
      <c r="EMH2"/>
      <c r="EMI2"/>
      <c r="EMJ2"/>
      <c r="EMK2"/>
      <c r="EML2"/>
      <c r="EMM2"/>
      <c r="EMN2"/>
      <c r="EMO2"/>
      <c r="EMP2"/>
      <c r="EMQ2"/>
      <c r="EMR2"/>
      <c r="EMS2"/>
      <c r="EMT2"/>
      <c r="EMU2"/>
      <c r="EMV2"/>
      <c r="EMW2"/>
      <c r="EMX2"/>
      <c r="EMY2"/>
      <c r="EMZ2"/>
      <c r="ENA2"/>
      <c r="ENB2"/>
      <c r="ENC2"/>
      <c r="END2"/>
      <c r="ENE2"/>
      <c r="ENF2"/>
      <c r="ENG2"/>
      <c r="ENH2"/>
      <c r="ENI2"/>
      <c r="ENJ2"/>
      <c r="ENK2"/>
      <c r="ENL2"/>
      <c r="ENM2"/>
      <c r="ENN2"/>
      <c r="ENO2"/>
      <c r="ENP2"/>
      <c r="ENQ2"/>
      <c r="ENR2"/>
      <c r="ENS2"/>
      <c r="ENT2"/>
      <c r="ENU2"/>
      <c r="ENV2"/>
      <c r="ENW2"/>
      <c r="ENX2"/>
      <c r="ENY2"/>
      <c r="ENZ2"/>
      <c r="EOA2"/>
      <c r="EOB2"/>
      <c r="EOC2"/>
      <c r="EOD2"/>
      <c r="EOE2"/>
      <c r="EOF2"/>
      <c r="EOG2"/>
      <c r="EOH2"/>
      <c r="EOI2"/>
      <c r="EOJ2"/>
      <c r="EOK2"/>
      <c r="EOL2"/>
      <c r="EOM2"/>
      <c r="EON2"/>
      <c r="EOO2"/>
      <c r="EOP2"/>
      <c r="EOQ2"/>
      <c r="EOR2"/>
      <c r="EOS2"/>
      <c r="EOT2"/>
      <c r="EOU2"/>
      <c r="EOV2"/>
      <c r="EOW2"/>
      <c r="EOX2"/>
      <c r="EOY2"/>
      <c r="EOZ2"/>
      <c r="EPA2"/>
      <c r="EPB2"/>
      <c r="EPC2"/>
      <c r="EPD2"/>
      <c r="EPE2"/>
      <c r="EPF2"/>
      <c r="EPG2"/>
      <c r="EPH2"/>
      <c r="EPI2"/>
      <c r="EPJ2"/>
      <c r="EPK2"/>
      <c r="EPL2"/>
      <c r="EPM2"/>
      <c r="EPN2"/>
      <c r="EPO2"/>
      <c r="EPP2"/>
      <c r="EPQ2"/>
      <c r="EPR2"/>
      <c r="EPS2"/>
      <c r="EPT2"/>
      <c r="EPU2"/>
      <c r="EPV2"/>
      <c r="EPW2"/>
      <c r="EPX2"/>
      <c r="EPY2"/>
      <c r="EPZ2"/>
      <c r="EQA2"/>
      <c r="EQB2"/>
      <c r="EQC2"/>
      <c r="EQD2"/>
      <c r="EQE2"/>
      <c r="EQF2"/>
      <c r="EQG2"/>
      <c r="EQH2"/>
      <c r="EQI2"/>
      <c r="EQJ2"/>
      <c r="EQK2"/>
      <c r="EQL2"/>
      <c r="EQM2"/>
      <c r="EQN2"/>
      <c r="EQO2"/>
      <c r="EQP2"/>
      <c r="EQQ2"/>
      <c r="EQR2"/>
      <c r="EQS2"/>
      <c r="EQT2"/>
      <c r="EQU2"/>
      <c r="EQV2"/>
      <c r="EQW2"/>
      <c r="EQX2"/>
      <c r="EQY2"/>
      <c r="EQZ2"/>
      <c r="ERA2"/>
      <c r="ERB2"/>
      <c r="ERC2"/>
      <c r="ERD2"/>
      <c r="ERE2"/>
      <c r="ERF2"/>
      <c r="ERG2"/>
      <c r="ERH2"/>
      <c r="ERI2"/>
      <c r="ERJ2"/>
      <c r="ERK2"/>
      <c r="ERL2"/>
      <c r="ERM2"/>
      <c r="ERN2"/>
      <c r="ERO2"/>
      <c r="ERP2"/>
      <c r="ERQ2"/>
      <c r="ERR2"/>
      <c r="ERS2"/>
      <c r="ERT2"/>
      <c r="ERU2"/>
      <c r="ERV2"/>
      <c r="ERW2"/>
      <c r="ERX2"/>
      <c r="ERY2"/>
      <c r="ERZ2"/>
      <c r="ESA2"/>
      <c r="ESB2"/>
      <c r="ESC2"/>
      <c r="ESD2"/>
      <c r="ESE2"/>
      <c r="ESF2"/>
      <c r="ESG2"/>
      <c r="ESH2"/>
      <c r="ESI2"/>
      <c r="ESJ2"/>
      <c r="ESK2"/>
      <c r="ESL2"/>
      <c r="ESM2"/>
      <c r="ESN2"/>
      <c r="ESO2"/>
      <c r="ESP2"/>
      <c r="ESQ2"/>
      <c r="ESR2"/>
      <c r="ESS2"/>
      <c r="EST2"/>
      <c r="ESU2"/>
      <c r="ESV2"/>
      <c r="ESW2"/>
      <c r="ESX2"/>
      <c r="ESY2"/>
      <c r="ESZ2"/>
      <c r="ETA2"/>
      <c r="ETB2"/>
      <c r="ETC2"/>
      <c r="ETD2"/>
      <c r="ETE2"/>
      <c r="ETF2"/>
      <c r="ETG2"/>
      <c r="ETH2"/>
      <c r="ETI2"/>
      <c r="ETJ2"/>
      <c r="ETK2"/>
      <c r="ETL2"/>
      <c r="ETM2"/>
      <c r="ETN2"/>
      <c r="ETO2"/>
      <c r="ETP2"/>
      <c r="ETQ2"/>
      <c r="ETR2"/>
      <c r="ETS2"/>
      <c r="ETT2"/>
      <c r="ETU2"/>
      <c r="ETV2"/>
      <c r="ETW2"/>
      <c r="ETX2"/>
      <c r="ETY2"/>
      <c r="ETZ2"/>
      <c r="EUA2"/>
      <c r="EUB2"/>
      <c r="EUC2"/>
      <c r="EUD2"/>
      <c r="EUE2"/>
      <c r="EUF2"/>
      <c r="EUG2"/>
      <c r="EUH2"/>
      <c r="EUI2"/>
      <c r="EUJ2"/>
      <c r="EUK2"/>
      <c r="EUL2"/>
      <c r="EUM2"/>
      <c r="EUN2"/>
      <c r="EUO2"/>
      <c r="EUP2"/>
      <c r="EUQ2"/>
      <c r="EUR2"/>
      <c r="EUS2"/>
      <c r="EUT2"/>
      <c r="EUU2"/>
      <c r="EUV2"/>
      <c r="EUW2"/>
      <c r="EUX2"/>
      <c r="EUY2"/>
      <c r="EUZ2"/>
      <c r="EVA2"/>
      <c r="EVB2"/>
      <c r="EVC2"/>
      <c r="EVD2"/>
      <c r="EVE2"/>
      <c r="EVF2"/>
      <c r="EVG2"/>
      <c r="EVH2"/>
      <c r="EVI2"/>
      <c r="EVJ2"/>
      <c r="EVK2"/>
      <c r="EVL2"/>
      <c r="EVM2"/>
      <c r="EVN2"/>
      <c r="EVO2"/>
      <c r="EVP2"/>
      <c r="EVQ2"/>
      <c r="EVR2"/>
      <c r="EVS2"/>
      <c r="EVT2"/>
      <c r="EVU2"/>
      <c r="EVV2"/>
      <c r="EVW2"/>
      <c r="EVX2"/>
      <c r="EVY2"/>
      <c r="EVZ2"/>
      <c r="EWA2"/>
      <c r="EWB2"/>
      <c r="EWC2"/>
      <c r="EWD2"/>
      <c r="EWE2"/>
      <c r="EWF2"/>
      <c r="EWG2"/>
      <c r="EWH2"/>
      <c r="EWI2"/>
      <c r="EWJ2"/>
      <c r="EWK2"/>
      <c r="EWL2"/>
      <c r="EWM2"/>
      <c r="EWN2"/>
      <c r="EWO2"/>
      <c r="EWP2"/>
      <c r="EWQ2"/>
      <c r="EWR2"/>
      <c r="EWS2"/>
      <c r="EWT2"/>
      <c r="EWU2"/>
      <c r="EWV2"/>
      <c r="EWW2"/>
      <c r="EWX2"/>
      <c r="EWY2"/>
      <c r="EWZ2"/>
      <c r="EXA2"/>
      <c r="EXB2"/>
      <c r="EXC2"/>
      <c r="EXD2"/>
      <c r="EXE2"/>
      <c r="EXF2"/>
      <c r="EXG2"/>
      <c r="EXH2"/>
      <c r="EXI2"/>
      <c r="EXJ2"/>
      <c r="EXK2"/>
      <c r="EXL2"/>
      <c r="EXM2"/>
      <c r="EXN2"/>
      <c r="EXO2"/>
      <c r="EXP2"/>
      <c r="EXQ2"/>
      <c r="EXR2"/>
      <c r="EXS2"/>
      <c r="EXT2"/>
      <c r="EXU2"/>
      <c r="EXV2"/>
      <c r="EXW2"/>
      <c r="EXX2"/>
      <c r="EXY2"/>
      <c r="EXZ2"/>
      <c r="EYA2"/>
      <c r="EYB2"/>
      <c r="EYC2"/>
      <c r="EYD2"/>
      <c r="EYE2"/>
      <c r="EYF2"/>
      <c r="EYG2"/>
      <c r="EYH2"/>
      <c r="EYI2"/>
      <c r="EYJ2"/>
      <c r="EYK2"/>
      <c r="EYL2"/>
      <c r="EYM2"/>
      <c r="EYN2"/>
      <c r="EYO2"/>
      <c r="EYP2"/>
      <c r="EYQ2"/>
      <c r="EYR2"/>
      <c r="EYS2"/>
      <c r="EYT2"/>
      <c r="EYU2"/>
      <c r="EYV2"/>
      <c r="EYW2"/>
      <c r="EYX2"/>
      <c r="EYY2"/>
      <c r="EYZ2"/>
      <c r="EZA2"/>
      <c r="EZB2"/>
      <c r="EZC2"/>
      <c r="EZD2"/>
      <c r="EZE2"/>
      <c r="EZF2"/>
      <c r="EZG2"/>
      <c r="EZH2"/>
      <c r="EZI2"/>
      <c r="EZJ2"/>
      <c r="EZK2"/>
      <c r="EZL2"/>
      <c r="EZM2"/>
      <c r="EZN2"/>
      <c r="EZO2"/>
      <c r="EZP2"/>
      <c r="EZQ2"/>
      <c r="EZR2"/>
      <c r="EZS2"/>
      <c r="EZT2"/>
      <c r="EZU2"/>
      <c r="EZV2"/>
      <c r="EZW2"/>
      <c r="EZX2"/>
      <c r="EZY2"/>
      <c r="EZZ2"/>
      <c r="FAA2"/>
      <c r="FAB2"/>
      <c r="FAC2"/>
      <c r="FAD2"/>
      <c r="FAE2"/>
      <c r="FAF2"/>
      <c r="FAG2"/>
      <c r="FAH2"/>
      <c r="FAI2"/>
      <c r="FAJ2"/>
      <c r="FAK2"/>
      <c r="FAL2"/>
      <c r="FAM2"/>
      <c r="FAN2"/>
      <c r="FAO2"/>
      <c r="FAP2"/>
      <c r="FAQ2"/>
      <c r="FAR2"/>
      <c r="FAS2"/>
      <c r="FAT2"/>
      <c r="FAU2"/>
      <c r="FAV2"/>
      <c r="FAW2"/>
      <c r="FAX2"/>
      <c r="FAY2"/>
      <c r="FAZ2"/>
      <c r="FBA2"/>
      <c r="FBB2"/>
      <c r="FBC2"/>
      <c r="FBD2"/>
      <c r="FBE2"/>
      <c r="FBF2"/>
      <c r="FBG2"/>
      <c r="FBH2"/>
      <c r="FBI2"/>
      <c r="FBJ2"/>
      <c r="FBK2"/>
      <c r="FBL2"/>
      <c r="FBM2"/>
      <c r="FBN2"/>
      <c r="FBO2"/>
      <c r="FBP2"/>
      <c r="FBQ2"/>
      <c r="FBR2"/>
      <c r="FBS2"/>
      <c r="FBT2"/>
      <c r="FBU2"/>
      <c r="FBV2"/>
      <c r="FBW2"/>
      <c r="FBX2"/>
      <c r="FBY2"/>
      <c r="FBZ2"/>
      <c r="FCA2"/>
      <c r="FCB2"/>
      <c r="FCC2"/>
      <c r="FCD2"/>
      <c r="FCE2"/>
      <c r="FCF2"/>
      <c r="FCG2"/>
      <c r="FCH2"/>
      <c r="FCI2"/>
      <c r="FCJ2"/>
      <c r="FCK2"/>
      <c r="FCL2"/>
      <c r="FCM2"/>
      <c r="FCN2"/>
      <c r="FCO2"/>
      <c r="FCP2"/>
      <c r="FCQ2"/>
      <c r="FCR2"/>
      <c r="FCS2"/>
      <c r="FCT2"/>
      <c r="FCU2"/>
      <c r="FCV2"/>
      <c r="FCW2"/>
      <c r="FCX2"/>
      <c r="FCY2"/>
      <c r="FCZ2"/>
      <c r="FDA2"/>
      <c r="FDB2"/>
      <c r="FDC2"/>
      <c r="FDD2"/>
      <c r="FDE2"/>
      <c r="FDF2"/>
      <c r="FDG2"/>
      <c r="FDH2"/>
      <c r="FDI2"/>
      <c r="FDJ2"/>
      <c r="FDK2"/>
      <c r="FDL2"/>
      <c r="FDM2"/>
      <c r="FDN2"/>
      <c r="FDO2"/>
      <c r="FDP2"/>
      <c r="FDQ2"/>
      <c r="FDR2"/>
      <c r="FDS2"/>
      <c r="FDT2"/>
      <c r="FDU2"/>
      <c r="FDV2"/>
      <c r="FDW2"/>
      <c r="FDX2"/>
      <c r="FDY2"/>
      <c r="FDZ2"/>
      <c r="FEA2"/>
      <c r="FEB2"/>
      <c r="FEC2"/>
      <c r="FED2"/>
      <c r="FEE2"/>
      <c r="FEF2"/>
      <c r="FEG2"/>
      <c r="FEH2"/>
      <c r="FEI2"/>
      <c r="FEJ2"/>
      <c r="FEK2"/>
      <c r="FEL2"/>
      <c r="FEM2"/>
      <c r="FEN2"/>
      <c r="FEO2"/>
      <c r="FEP2"/>
      <c r="FEQ2"/>
      <c r="FER2"/>
      <c r="FES2"/>
      <c r="FET2"/>
      <c r="FEU2"/>
      <c r="FEV2"/>
      <c r="FEW2"/>
      <c r="FEX2"/>
      <c r="FEY2"/>
      <c r="FEZ2"/>
      <c r="FFA2"/>
      <c r="FFB2"/>
      <c r="FFC2"/>
      <c r="FFD2"/>
      <c r="FFE2"/>
      <c r="FFF2"/>
      <c r="FFG2"/>
      <c r="FFH2"/>
      <c r="FFI2"/>
      <c r="FFJ2"/>
      <c r="FFK2"/>
      <c r="FFL2"/>
      <c r="FFM2"/>
      <c r="FFN2"/>
      <c r="FFO2"/>
      <c r="FFP2"/>
      <c r="FFQ2"/>
      <c r="FFR2"/>
      <c r="FFS2"/>
      <c r="FFT2"/>
      <c r="FFU2"/>
      <c r="FFV2"/>
      <c r="FFW2"/>
      <c r="FFX2"/>
      <c r="FFY2"/>
      <c r="FFZ2"/>
      <c r="FGA2"/>
      <c r="FGB2"/>
      <c r="FGC2"/>
      <c r="FGD2"/>
      <c r="FGE2"/>
      <c r="FGF2"/>
      <c r="FGG2"/>
      <c r="FGH2"/>
      <c r="FGI2"/>
      <c r="FGJ2"/>
      <c r="FGK2"/>
      <c r="FGL2"/>
      <c r="FGM2"/>
      <c r="FGN2"/>
      <c r="FGO2"/>
      <c r="FGP2"/>
      <c r="FGQ2"/>
      <c r="FGR2"/>
      <c r="FGS2"/>
      <c r="FGT2"/>
      <c r="FGU2"/>
      <c r="FGV2"/>
      <c r="FGW2"/>
      <c r="FGX2"/>
      <c r="FGY2"/>
      <c r="FGZ2"/>
      <c r="FHA2"/>
      <c r="FHB2"/>
      <c r="FHC2"/>
      <c r="FHD2"/>
      <c r="FHE2"/>
      <c r="FHF2"/>
      <c r="FHG2"/>
      <c r="FHH2"/>
      <c r="FHI2"/>
      <c r="FHJ2"/>
      <c r="FHK2"/>
      <c r="FHL2"/>
      <c r="FHM2"/>
      <c r="FHN2"/>
      <c r="FHO2"/>
      <c r="FHP2"/>
      <c r="FHQ2"/>
      <c r="FHR2"/>
      <c r="FHS2"/>
      <c r="FHT2"/>
      <c r="FHU2"/>
      <c r="FHV2"/>
      <c r="FHW2"/>
      <c r="FHX2"/>
      <c r="FHY2"/>
      <c r="FHZ2"/>
      <c r="FIA2"/>
      <c r="FIB2"/>
      <c r="FIC2"/>
      <c r="FID2"/>
      <c r="FIE2"/>
      <c r="FIF2"/>
      <c r="FIG2"/>
      <c r="FIH2"/>
      <c r="FII2"/>
      <c r="FIJ2"/>
      <c r="FIK2"/>
      <c r="FIL2"/>
      <c r="FIM2"/>
      <c r="FIN2"/>
      <c r="FIO2"/>
      <c r="FIP2"/>
      <c r="FIQ2"/>
      <c r="FIR2"/>
      <c r="FIS2"/>
      <c r="FIT2"/>
      <c r="FIU2"/>
      <c r="FIV2"/>
      <c r="FIW2"/>
      <c r="FIX2"/>
      <c r="FIY2"/>
      <c r="FIZ2"/>
      <c r="FJA2"/>
      <c r="FJB2"/>
      <c r="FJC2"/>
      <c r="FJD2"/>
      <c r="FJE2"/>
      <c r="FJF2"/>
      <c r="FJG2"/>
      <c r="FJH2"/>
      <c r="FJI2"/>
      <c r="FJJ2"/>
      <c r="FJK2"/>
      <c r="FJL2"/>
      <c r="FJM2"/>
      <c r="FJN2"/>
      <c r="FJO2"/>
      <c r="FJP2"/>
      <c r="FJQ2"/>
      <c r="FJR2"/>
      <c r="FJS2"/>
      <c r="FJT2"/>
      <c r="FJU2"/>
      <c r="FJV2"/>
      <c r="FJW2"/>
      <c r="FJX2"/>
      <c r="FJY2"/>
      <c r="FJZ2"/>
      <c r="FKA2"/>
      <c r="FKB2"/>
      <c r="FKC2"/>
      <c r="FKD2"/>
      <c r="FKE2"/>
      <c r="FKF2"/>
      <c r="FKG2"/>
      <c r="FKH2"/>
      <c r="FKI2"/>
      <c r="FKJ2"/>
      <c r="FKK2"/>
      <c r="FKL2"/>
      <c r="FKM2"/>
      <c r="FKN2"/>
      <c r="FKO2"/>
      <c r="FKP2"/>
      <c r="FKQ2"/>
      <c r="FKR2"/>
      <c r="FKS2"/>
      <c r="FKT2"/>
      <c r="FKU2"/>
      <c r="FKV2"/>
      <c r="FKW2"/>
      <c r="FKX2"/>
      <c r="FKY2"/>
      <c r="FKZ2"/>
      <c r="FLA2"/>
      <c r="FLB2"/>
      <c r="FLC2"/>
      <c r="FLD2"/>
      <c r="FLE2"/>
      <c r="FLF2"/>
      <c r="FLG2"/>
      <c r="FLH2"/>
      <c r="FLI2"/>
      <c r="FLJ2"/>
      <c r="FLK2"/>
      <c r="FLL2"/>
      <c r="FLM2"/>
      <c r="FLN2"/>
      <c r="FLO2"/>
      <c r="FLP2"/>
      <c r="FLQ2"/>
      <c r="FLR2"/>
      <c r="FLS2"/>
      <c r="FLT2"/>
      <c r="FLU2"/>
      <c r="FLV2"/>
      <c r="FLW2"/>
      <c r="FLX2"/>
      <c r="FLY2"/>
      <c r="FLZ2"/>
      <c r="FMA2"/>
      <c r="FMB2"/>
      <c r="FMC2"/>
      <c r="FMD2"/>
      <c r="FME2"/>
      <c r="FMF2"/>
      <c r="FMG2"/>
      <c r="FMH2"/>
      <c r="FMI2"/>
      <c r="FMJ2"/>
      <c r="FMK2"/>
      <c r="FML2"/>
      <c r="FMM2"/>
      <c r="FMN2"/>
      <c r="FMO2"/>
      <c r="FMP2"/>
      <c r="FMQ2"/>
      <c r="FMR2"/>
      <c r="FMS2"/>
      <c r="FMT2"/>
      <c r="FMU2"/>
      <c r="FMV2"/>
      <c r="FMW2"/>
      <c r="FMX2"/>
      <c r="FMY2"/>
      <c r="FMZ2"/>
      <c r="FNA2"/>
      <c r="FNB2"/>
      <c r="FNC2"/>
      <c r="FND2"/>
      <c r="FNE2"/>
      <c r="FNF2"/>
      <c r="FNG2"/>
      <c r="FNH2"/>
      <c r="FNI2"/>
      <c r="FNJ2"/>
      <c r="FNK2"/>
      <c r="FNL2"/>
      <c r="FNM2"/>
      <c r="FNN2"/>
      <c r="FNO2"/>
      <c r="FNP2"/>
      <c r="FNQ2"/>
      <c r="FNR2"/>
      <c r="FNS2"/>
      <c r="FNT2"/>
      <c r="FNU2"/>
      <c r="FNV2"/>
      <c r="FNW2"/>
      <c r="FNX2"/>
      <c r="FNY2"/>
      <c r="FNZ2"/>
      <c r="FOA2"/>
      <c r="FOB2"/>
      <c r="FOC2"/>
      <c r="FOD2"/>
      <c r="FOE2"/>
      <c r="FOF2"/>
      <c r="FOG2"/>
      <c r="FOH2"/>
      <c r="FOI2"/>
      <c r="FOJ2"/>
      <c r="FOK2"/>
      <c r="FOL2"/>
      <c r="FOM2"/>
      <c r="FON2"/>
      <c r="FOO2"/>
      <c r="FOP2"/>
      <c r="FOQ2"/>
      <c r="FOR2"/>
      <c r="FOS2"/>
      <c r="FOT2"/>
      <c r="FOU2"/>
      <c r="FOV2"/>
      <c r="FOW2"/>
      <c r="FOX2"/>
      <c r="FOY2"/>
      <c r="FOZ2"/>
      <c r="FPA2"/>
      <c r="FPB2"/>
      <c r="FPC2"/>
      <c r="FPD2"/>
      <c r="FPE2"/>
      <c r="FPF2"/>
      <c r="FPG2"/>
      <c r="FPH2"/>
      <c r="FPI2"/>
      <c r="FPJ2"/>
      <c r="FPK2"/>
      <c r="FPL2"/>
      <c r="FPM2"/>
      <c r="FPN2"/>
      <c r="FPO2"/>
      <c r="FPP2"/>
      <c r="FPQ2"/>
      <c r="FPR2"/>
      <c r="FPS2"/>
      <c r="FPT2"/>
      <c r="FPU2"/>
      <c r="FPV2"/>
      <c r="FPW2"/>
      <c r="FPX2"/>
      <c r="FPY2"/>
      <c r="FPZ2"/>
      <c r="FQA2"/>
      <c r="FQB2"/>
      <c r="FQC2"/>
      <c r="FQD2"/>
      <c r="FQE2"/>
      <c r="FQF2"/>
      <c r="FQG2"/>
      <c r="FQH2"/>
      <c r="FQI2"/>
      <c r="FQJ2"/>
      <c r="FQK2"/>
      <c r="FQL2"/>
      <c r="FQM2"/>
      <c r="FQN2"/>
      <c r="FQO2"/>
      <c r="FQP2"/>
      <c r="FQQ2"/>
      <c r="FQR2"/>
      <c r="FQS2"/>
      <c r="FQT2"/>
      <c r="FQU2"/>
      <c r="FQV2"/>
      <c r="FQW2"/>
      <c r="FQX2"/>
      <c r="FQY2"/>
      <c r="FQZ2"/>
      <c r="FRA2"/>
      <c r="FRB2"/>
      <c r="FRC2"/>
      <c r="FRD2"/>
      <c r="FRE2"/>
      <c r="FRF2"/>
      <c r="FRG2"/>
      <c r="FRH2"/>
      <c r="FRI2"/>
      <c r="FRJ2"/>
      <c r="FRK2"/>
      <c r="FRL2"/>
      <c r="FRM2"/>
      <c r="FRN2"/>
      <c r="FRO2"/>
      <c r="FRP2"/>
      <c r="FRQ2"/>
      <c r="FRR2"/>
      <c r="FRS2"/>
      <c r="FRT2"/>
      <c r="FRU2"/>
      <c r="FRV2"/>
      <c r="FRW2"/>
      <c r="FRX2"/>
      <c r="FRY2"/>
      <c r="FRZ2"/>
      <c r="FSA2"/>
      <c r="FSB2"/>
      <c r="FSC2"/>
      <c r="FSD2"/>
      <c r="FSE2"/>
      <c r="FSF2"/>
      <c r="FSG2"/>
      <c r="FSH2"/>
      <c r="FSI2"/>
      <c r="FSJ2"/>
      <c r="FSK2"/>
      <c r="FSL2"/>
      <c r="FSM2"/>
      <c r="FSN2"/>
      <c r="FSO2"/>
      <c r="FSP2"/>
      <c r="FSQ2"/>
      <c r="FSR2"/>
      <c r="FSS2"/>
      <c r="FST2"/>
      <c r="FSU2"/>
      <c r="FSV2"/>
      <c r="FSW2"/>
      <c r="FSX2"/>
      <c r="FSY2"/>
      <c r="FSZ2"/>
      <c r="FTA2"/>
      <c r="FTB2"/>
      <c r="FTC2"/>
      <c r="FTD2"/>
      <c r="FTE2"/>
      <c r="FTF2"/>
      <c r="FTG2"/>
      <c r="FTH2"/>
      <c r="FTI2"/>
      <c r="FTJ2"/>
      <c r="FTK2"/>
      <c r="FTL2"/>
      <c r="FTM2"/>
      <c r="FTN2"/>
      <c r="FTO2"/>
      <c r="FTP2"/>
      <c r="FTQ2"/>
      <c r="FTR2"/>
      <c r="FTS2"/>
      <c r="FTT2"/>
      <c r="FTU2"/>
      <c r="FTV2"/>
      <c r="FTW2"/>
      <c r="FTX2"/>
      <c r="FTY2"/>
      <c r="FTZ2"/>
      <c r="FUA2"/>
      <c r="FUB2"/>
      <c r="FUC2"/>
      <c r="FUD2"/>
      <c r="FUE2"/>
      <c r="FUF2"/>
      <c r="FUG2"/>
      <c r="FUH2"/>
      <c r="FUI2"/>
      <c r="FUJ2"/>
      <c r="FUK2"/>
      <c r="FUL2"/>
      <c r="FUM2"/>
      <c r="FUN2"/>
      <c r="FUO2"/>
      <c r="FUP2"/>
      <c r="FUQ2"/>
      <c r="FUR2"/>
      <c r="FUS2"/>
      <c r="FUT2"/>
      <c r="FUU2"/>
      <c r="FUV2"/>
      <c r="FUW2"/>
      <c r="FUX2"/>
      <c r="FUY2"/>
      <c r="FUZ2"/>
      <c r="FVA2"/>
      <c r="FVB2"/>
      <c r="FVC2"/>
      <c r="FVD2"/>
      <c r="FVE2"/>
      <c r="FVF2"/>
      <c r="FVG2"/>
      <c r="FVH2"/>
      <c r="FVI2"/>
      <c r="FVJ2"/>
      <c r="FVK2"/>
      <c r="FVL2"/>
      <c r="FVM2"/>
      <c r="FVN2"/>
      <c r="FVO2"/>
      <c r="FVP2"/>
      <c r="FVQ2"/>
      <c r="FVR2"/>
      <c r="FVS2"/>
      <c r="FVT2"/>
      <c r="FVU2"/>
      <c r="FVV2"/>
      <c r="FVW2"/>
      <c r="FVX2"/>
      <c r="FVY2"/>
      <c r="FVZ2"/>
      <c r="FWA2"/>
      <c r="FWB2"/>
      <c r="FWC2"/>
      <c r="FWD2"/>
      <c r="FWE2"/>
      <c r="FWF2"/>
      <c r="FWG2"/>
      <c r="FWH2"/>
      <c r="FWI2"/>
      <c r="FWJ2"/>
      <c r="FWK2"/>
      <c r="FWL2"/>
      <c r="FWM2"/>
      <c r="FWN2"/>
      <c r="FWO2"/>
      <c r="FWP2"/>
      <c r="FWQ2"/>
      <c r="FWR2"/>
      <c r="FWS2"/>
      <c r="FWT2"/>
      <c r="FWU2"/>
      <c r="FWV2"/>
      <c r="FWW2"/>
      <c r="FWX2"/>
      <c r="FWY2"/>
      <c r="FWZ2"/>
      <c r="FXA2"/>
      <c r="FXB2"/>
      <c r="FXC2"/>
      <c r="FXD2"/>
      <c r="FXE2"/>
      <c r="FXF2"/>
      <c r="FXG2"/>
      <c r="FXH2"/>
      <c r="FXI2"/>
      <c r="FXJ2"/>
      <c r="FXK2"/>
      <c r="FXL2"/>
      <c r="FXM2"/>
      <c r="FXN2"/>
      <c r="FXO2"/>
      <c r="FXP2"/>
      <c r="FXQ2"/>
      <c r="FXR2"/>
      <c r="FXS2"/>
      <c r="FXT2"/>
      <c r="FXU2"/>
      <c r="FXV2"/>
      <c r="FXW2"/>
      <c r="FXX2"/>
      <c r="FXY2"/>
      <c r="FXZ2"/>
      <c r="FYA2"/>
      <c r="FYB2"/>
      <c r="FYC2"/>
      <c r="FYD2"/>
      <c r="FYE2"/>
      <c r="FYF2"/>
      <c r="FYG2"/>
      <c r="FYH2"/>
      <c r="FYI2"/>
      <c r="FYJ2"/>
      <c r="FYK2"/>
      <c r="FYL2"/>
      <c r="FYM2"/>
      <c r="FYN2"/>
      <c r="FYO2"/>
      <c r="FYP2"/>
      <c r="FYQ2"/>
      <c r="FYR2"/>
      <c r="FYS2"/>
      <c r="FYT2"/>
      <c r="FYU2"/>
      <c r="FYV2"/>
      <c r="FYW2"/>
      <c r="FYX2"/>
      <c r="FYY2"/>
      <c r="FYZ2"/>
      <c r="FZA2"/>
      <c r="FZB2"/>
      <c r="FZC2"/>
      <c r="FZD2"/>
      <c r="FZE2"/>
      <c r="FZF2"/>
      <c r="FZG2"/>
      <c r="FZH2"/>
      <c r="FZI2"/>
      <c r="FZJ2"/>
      <c r="FZK2"/>
      <c r="FZL2"/>
      <c r="FZM2"/>
      <c r="FZN2"/>
      <c r="FZO2"/>
      <c r="FZP2"/>
      <c r="FZQ2"/>
      <c r="FZR2"/>
      <c r="FZS2"/>
      <c r="FZT2"/>
      <c r="FZU2"/>
      <c r="FZV2"/>
      <c r="FZW2"/>
      <c r="FZX2"/>
      <c r="FZY2"/>
      <c r="FZZ2"/>
      <c r="GAA2"/>
      <c r="GAB2"/>
      <c r="GAC2"/>
      <c r="GAD2"/>
      <c r="GAE2"/>
      <c r="GAF2"/>
      <c r="GAG2"/>
      <c r="GAH2"/>
      <c r="GAI2"/>
      <c r="GAJ2"/>
      <c r="GAK2"/>
      <c r="GAL2"/>
      <c r="GAM2"/>
      <c r="GAN2"/>
      <c r="GAO2"/>
      <c r="GAP2"/>
      <c r="GAQ2"/>
      <c r="GAR2"/>
      <c r="GAS2"/>
      <c r="GAT2"/>
      <c r="GAU2"/>
      <c r="GAV2"/>
      <c r="GAW2"/>
      <c r="GAX2"/>
      <c r="GAY2"/>
      <c r="GAZ2"/>
      <c r="GBA2"/>
      <c r="GBB2"/>
      <c r="GBC2"/>
      <c r="GBD2"/>
      <c r="GBE2"/>
      <c r="GBF2"/>
      <c r="GBG2"/>
      <c r="GBH2"/>
      <c r="GBI2"/>
      <c r="GBJ2"/>
      <c r="GBK2"/>
      <c r="GBL2"/>
      <c r="GBM2"/>
      <c r="GBN2"/>
      <c r="GBO2"/>
      <c r="GBP2"/>
      <c r="GBQ2"/>
      <c r="GBR2"/>
      <c r="GBS2"/>
      <c r="GBT2"/>
      <c r="GBU2"/>
      <c r="GBV2"/>
      <c r="GBW2"/>
      <c r="GBX2"/>
      <c r="GBY2"/>
      <c r="GBZ2"/>
      <c r="GCA2"/>
      <c r="GCB2"/>
      <c r="GCC2"/>
      <c r="GCD2"/>
      <c r="GCE2"/>
      <c r="GCF2"/>
      <c r="GCG2"/>
      <c r="GCH2"/>
      <c r="GCI2"/>
      <c r="GCJ2"/>
      <c r="GCK2"/>
      <c r="GCL2"/>
      <c r="GCM2"/>
      <c r="GCN2"/>
      <c r="GCO2"/>
      <c r="GCP2"/>
      <c r="GCQ2"/>
      <c r="GCR2"/>
      <c r="GCS2"/>
      <c r="GCT2"/>
      <c r="GCU2"/>
      <c r="GCV2"/>
      <c r="GCW2"/>
      <c r="GCX2"/>
      <c r="GCY2"/>
      <c r="GCZ2"/>
      <c r="GDA2"/>
      <c r="GDB2"/>
      <c r="GDC2"/>
      <c r="GDD2"/>
      <c r="GDE2"/>
      <c r="GDF2"/>
      <c r="GDG2"/>
      <c r="GDH2"/>
      <c r="GDI2"/>
      <c r="GDJ2"/>
      <c r="GDK2"/>
      <c r="GDL2"/>
      <c r="GDM2"/>
      <c r="GDN2"/>
      <c r="GDO2"/>
      <c r="GDP2"/>
      <c r="GDQ2"/>
      <c r="GDR2"/>
      <c r="GDS2"/>
      <c r="GDT2"/>
      <c r="GDU2"/>
      <c r="GDV2"/>
      <c r="GDW2"/>
      <c r="GDX2"/>
      <c r="GDY2"/>
      <c r="GDZ2"/>
      <c r="GEA2"/>
      <c r="GEB2"/>
      <c r="GEC2"/>
      <c r="GED2"/>
      <c r="GEE2"/>
      <c r="GEF2"/>
      <c r="GEG2"/>
      <c r="GEH2"/>
      <c r="GEI2"/>
      <c r="GEJ2"/>
      <c r="GEK2"/>
      <c r="GEL2"/>
      <c r="GEM2"/>
      <c r="GEN2"/>
      <c r="GEO2"/>
      <c r="GEP2"/>
      <c r="GEQ2"/>
      <c r="GER2"/>
      <c r="GES2"/>
      <c r="GET2"/>
      <c r="GEU2"/>
      <c r="GEV2"/>
      <c r="GEW2"/>
      <c r="GEX2"/>
      <c r="GEY2"/>
      <c r="GEZ2"/>
      <c r="GFA2"/>
      <c r="GFB2"/>
      <c r="GFC2"/>
      <c r="GFD2"/>
      <c r="GFE2"/>
      <c r="GFF2"/>
      <c r="GFG2"/>
      <c r="GFH2"/>
      <c r="GFI2"/>
      <c r="GFJ2"/>
      <c r="GFK2"/>
      <c r="GFL2"/>
      <c r="GFM2"/>
      <c r="GFN2"/>
      <c r="GFO2"/>
      <c r="GFP2"/>
      <c r="GFQ2"/>
      <c r="GFR2"/>
      <c r="GFS2"/>
      <c r="GFT2"/>
      <c r="GFU2"/>
      <c r="GFV2"/>
      <c r="GFW2"/>
      <c r="GFX2"/>
      <c r="GFY2"/>
      <c r="GFZ2"/>
      <c r="GGA2"/>
      <c r="GGB2"/>
      <c r="GGC2"/>
      <c r="GGD2"/>
      <c r="GGE2"/>
      <c r="GGF2"/>
      <c r="GGG2"/>
      <c r="GGH2"/>
      <c r="GGI2"/>
      <c r="GGJ2"/>
      <c r="GGK2"/>
      <c r="GGL2"/>
      <c r="GGM2"/>
      <c r="GGN2"/>
      <c r="GGO2"/>
      <c r="GGP2"/>
      <c r="GGQ2"/>
      <c r="GGR2"/>
      <c r="GGS2"/>
      <c r="GGT2"/>
      <c r="GGU2"/>
      <c r="GGV2"/>
      <c r="GGW2"/>
      <c r="GGX2"/>
      <c r="GGY2"/>
      <c r="GGZ2"/>
      <c r="GHA2"/>
      <c r="GHB2"/>
      <c r="GHC2"/>
      <c r="GHD2"/>
      <c r="GHE2"/>
      <c r="GHF2"/>
      <c r="GHG2"/>
      <c r="GHH2"/>
      <c r="GHI2"/>
      <c r="GHJ2"/>
      <c r="GHK2"/>
      <c r="GHL2"/>
      <c r="GHM2"/>
      <c r="GHN2"/>
      <c r="GHO2"/>
      <c r="GHP2"/>
      <c r="GHQ2"/>
      <c r="GHR2"/>
      <c r="GHS2"/>
      <c r="GHT2"/>
      <c r="GHU2"/>
      <c r="GHV2"/>
      <c r="GHW2"/>
      <c r="GHX2"/>
      <c r="GHY2"/>
      <c r="GHZ2"/>
      <c r="GIA2"/>
      <c r="GIB2"/>
      <c r="GIC2"/>
      <c r="GID2"/>
      <c r="GIE2"/>
      <c r="GIF2"/>
      <c r="GIG2"/>
      <c r="GIH2"/>
      <c r="GII2"/>
      <c r="GIJ2"/>
      <c r="GIK2"/>
      <c r="GIL2"/>
      <c r="GIM2"/>
      <c r="GIN2"/>
      <c r="GIO2"/>
      <c r="GIP2"/>
      <c r="GIQ2"/>
      <c r="GIR2"/>
      <c r="GIS2"/>
      <c r="GIT2"/>
      <c r="GIU2"/>
      <c r="GIV2"/>
      <c r="GIW2"/>
      <c r="GIX2"/>
      <c r="GIY2"/>
      <c r="GIZ2"/>
      <c r="GJA2"/>
      <c r="GJB2"/>
      <c r="GJC2"/>
      <c r="GJD2"/>
      <c r="GJE2"/>
      <c r="GJF2"/>
      <c r="GJG2"/>
      <c r="GJH2"/>
      <c r="GJI2"/>
      <c r="GJJ2"/>
      <c r="GJK2"/>
      <c r="GJL2"/>
      <c r="GJM2"/>
      <c r="GJN2"/>
      <c r="GJO2"/>
      <c r="GJP2"/>
      <c r="GJQ2"/>
      <c r="GJR2"/>
      <c r="GJS2"/>
      <c r="GJT2"/>
      <c r="GJU2"/>
      <c r="GJV2"/>
      <c r="GJW2"/>
      <c r="GJX2"/>
      <c r="GJY2"/>
      <c r="GJZ2"/>
      <c r="GKA2"/>
      <c r="GKB2"/>
      <c r="GKC2"/>
      <c r="GKD2"/>
      <c r="GKE2"/>
      <c r="GKF2"/>
      <c r="GKG2"/>
      <c r="GKH2"/>
      <c r="GKI2"/>
      <c r="GKJ2"/>
      <c r="GKK2"/>
      <c r="GKL2"/>
      <c r="GKM2"/>
      <c r="GKN2"/>
      <c r="GKO2"/>
      <c r="GKP2"/>
      <c r="GKQ2"/>
      <c r="GKR2"/>
      <c r="GKS2"/>
      <c r="GKT2"/>
      <c r="GKU2"/>
      <c r="GKV2"/>
      <c r="GKW2"/>
      <c r="GKX2"/>
      <c r="GKY2"/>
      <c r="GKZ2"/>
      <c r="GLA2"/>
      <c r="GLB2"/>
      <c r="GLC2"/>
      <c r="GLD2"/>
      <c r="GLE2"/>
      <c r="GLF2"/>
      <c r="GLG2"/>
      <c r="GLH2"/>
      <c r="GLI2"/>
      <c r="GLJ2"/>
      <c r="GLK2"/>
      <c r="GLL2"/>
      <c r="GLM2"/>
      <c r="GLN2"/>
      <c r="GLO2"/>
      <c r="GLP2"/>
      <c r="GLQ2"/>
      <c r="GLR2"/>
      <c r="GLS2"/>
      <c r="GLT2"/>
      <c r="GLU2"/>
      <c r="GLV2"/>
      <c r="GLW2"/>
      <c r="GLX2"/>
      <c r="GLY2"/>
      <c r="GLZ2"/>
      <c r="GMA2"/>
      <c r="GMB2"/>
      <c r="GMC2"/>
      <c r="GMD2"/>
      <c r="GME2"/>
      <c r="GMF2"/>
      <c r="GMG2"/>
      <c r="GMH2"/>
      <c r="GMI2"/>
      <c r="GMJ2"/>
      <c r="GMK2"/>
      <c r="GML2"/>
      <c r="GMM2"/>
      <c r="GMN2"/>
      <c r="GMO2"/>
      <c r="GMP2"/>
      <c r="GMQ2"/>
      <c r="GMR2"/>
      <c r="GMS2"/>
      <c r="GMT2"/>
      <c r="GMU2"/>
      <c r="GMV2"/>
      <c r="GMW2"/>
      <c r="GMX2"/>
      <c r="GMY2"/>
      <c r="GMZ2"/>
      <c r="GNA2"/>
      <c r="GNB2"/>
      <c r="GNC2"/>
      <c r="GND2"/>
      <c r="GNE2"/>
      <c r="GNF2"/>
      <c r="GNG2"/>
      <c r="GNH2"/>
      <c r="GNI2"/>
      <c r="GNJ2"/>
      <c r="GNK2"/>
      <c r="GNL2"/>
      <c r="GNM2"/>
      <c r="GNN2"/>
      <c r="GNO2"/>
      <c r="GNP2"/>
      <c r="GNQ2"/>
      <c r="GNR2"/>
      <c r="GNS2"/>
      <c r="GNT2"/>
      <c r="GNU2"/>
      <c r="GNV2"/>
      <c r="GNW2"/>
      <c r="GNX2"/>
      <c r="GNY2"/>
      <c r="GNZ2"/>
      <c r="GOA2"/>
      <c r="GOB2"/>
      <c r="GOC2"/>
      <c r="GOD2"/>
      <c r="GOE2"/>
      <c r="GOF2"/>
      <c r="GOG2"/>
      <c r="GOH2"/>
      <c r="GOI2"/>
      <c r="GOJ2"/>
      <c r="GOK2"/>
      <c r="GOL2"/>
      <c r="GOM2"/>
      <c r="GON2"/>
      <c r="GOO2"/>
      <c r="GOP2"/>
      <c r="GOQ2"/>
      <c r="GOR2"/>
      <c r="GOS2"/>
      <c r="GOT2"/>
      <c r="GOU2"/>
      <c r="GOV2"/>
      <c r="GOW2"/>
      <c r="GOX2"/>
      <c r="GOY2"/>
      <c r="GOZ2"/>
      <c r="GPA2"/>
      <c r="GPB2"/>
      <c r="GPC2"/>
      <c r="GPD2"/>
      <c r="GPE2"/>
      <c r="GPF2"/>
      <c r="GPG2"/>
      <c r="GPH2"/>
      <c r="GPI2"/>
      <c r="GPJ2"/>
      <c r="GPK2"/>
      <c r="GPL2"/>
      <c r="GPM2"/>
      <c r="GPN2"/>
      <c r="GPO2"/>
      <c r="GPP2"/>
      <c r="GPQ2"/>
      <c r="GPR2"/>
      <c r="GPS2"/>
      <c r="GPT2"/>
      <c r="GPU2"/>
      <c r="GPV2"/>
      <c r="GPW2"/>
      <c r="GPX2"/>
      <c r="GPY2"/>
      <c r="GPZ2"/>
      <c r="GQA2"/>
      <c r="GQB2"/>
      <c r="GQC2"/>
      <c r="GQD2"/>
      <c r="GQE2"/>
      <c r="GQF2"/>
      <c r="GQG2"/>
      <c r="GQH2"/>
      <c r="GQI2"/>
      <c r="GQJ2"/>
      <c r="GQK2"/>
      <c r="GQL2"/>
      <c r="GQM2"/>
      <c r="GQN2"/>
      <c r="GQO2"/>
      <c r="GQP2"/>
      <c r="GQQ2"/>
      <c r="GQR2"/>
      <c r="GQS2"/>
      <c r="GQT2"/>
      <c r="GQU2"/>
      <c r="GQV2"/>
      <c r="GQW2"/>
      <c r="GQX2"/>
      <c r="GQY2"/>
      <c r="GQZ2"/>
      <c r="GRA2"/>
      <c r="GRB2"/>
      <c r="GRC2"/>
      <c r="GRD2"/>
      <c r="GRE2"/>
      <c r="GRF2"/>
      <c r="GRG2"/>
      <c r="GRH2"/>
      <c r="GRI2"/>
      <c r="GRJ2"/>
      <c r="GRK2"/>
      <c r="GRL2"/>
      <c r="GRM2"/>
      <c r="GRN2"/>
      <c r="GRO2"/>
      <c r="GRP2"/>
      <c r="GRQ2"/>
      <c r="GRR2"/>
      <c r="GRS2"/>
      <c r="GRT2"/>
      <c r="GRU2"/>
      <c r="GRV2"/>
      <c r="GRW2"/>
      <c r="GRX2"/>
      <c r="GRY2"/>
      <c r="GRZ2"/>
      <c r="GSA2"/>
      <c r="GSB2"/>
      <c r="GSC2"/>
      <c r="GSD2"/>
      <c r="GSE2"/>
      <c r="GSF2"/>
      <c r="GSG2"/>
      <c r="GSH2"/>
      <c r="GSI2"/>
      <c r="GSJ2"/>
      <c r="GSK2"/>
      <c r="GSL2"/>
      <c r="GSM2"/>
      <c r="GSN2"/>
      <c r="GSO2"/>
      <c r="GSP2"/>
      <c r="GSQ2"/>
      <c r="GSR2"/>
      <c r="GSS2"/>
      <c r="GST2"/>
      <c r="GSU2"/>
      <c r="GSV2"/>
      <c r="GSW2"/>
      <c r="GSX2"/>
      <c r="GSY2"/>
      <c r="GSZ2"/>
      <c r="GTA2"/>
      <c r="GTB2"/>
      <c r="GTC2"/>
      <c r="GTD2"/>
      <c r="GTE2"/>
      <c r="GTF2"/>
      <c r="GTG2"/>
      <c r="GTH2"/>
      <c r="GTI2"/>
      <c r="GTJ2"/>
      <c r="GTK2"/>
      <c r="GTL2"/>
      <c r="GTM2"/>
      <c r="GTN2"/>
      <c r="GTO2"/>
      <c r="GTP2"/>
      <c r="GTQ2"/>
      <c r="GTR2"/>
      <c r="GTS2"/>
      <c r="GTT2"/>
      <c r="GTU2"/>
      <c r="GTV2"/>
      <c r="GTW2"/>
      <c r="GTX2"/>
      <c r="GTY2"/>
      <c r="GTZ2"/>
      <c r="GUA2"/>
      <c r="GUB2"/>
      <c r="GUC2"/>
      <c r="GUD2"/>
      <c r="GUE2"/>
      <c r="GUF2"/>
      <c r="GUG2"/>
      <c r="GUH2"/>
      <c r="GUI2"/>
      <c r="GUJ2"/>
      <c r="GUK2"/>
      <c r="GUL2"/>
      <c r="GUM2"/>
      <c r="GUN2"/>
      <c r="GUO2"/>
      <c r="GUP2"/>
      <c r="GUQ2"/>
      <c r="GUR2"/>
      <c r="GUS2"/>
      <c r="GUT2"/>
      <c r="GUU2"/>
      <c r="GUV2"/>
      <c r="GUW2"/>
      <c r="GUX2"/>
      <c r="GUY2"/>
      <c r="GUZ2"/>
      <c r="GVA2"/>
      <c r="GVB2"/>
      <c r="GVC2"/>
      <c r="GVD2"/>
      <c r="GVE2"/>
      <c r="GVF2"/>
      <c r="GVG2"/>
      <c r="GVH2"/>
      <c r="GVI2"/>
      <c r="GVJ2"/>
      <c r="GVK2"/>
      <c r="GVL2"/>
      <c r="GVM2"/>
      <c r="GVN2"/>
      <c r="GVO2"/>
      <c r="GVP2"/>
      <c r="GVQ2"/>
      <c r="GVR2"/>
      <c r="GVS2"/>
      <c r="GVT2"/>
      <c r="GVU2"/>
      <c r="GVV2"/>
      <c r="GVW2"/>
      <c r="GVX2"/>
      <c r="GVY2"/>
      <c r="GVZ2"/>
      <c r="GWA2"/>
      <c r="GWB2"/>
      <c r="GWC2"/>
      <c r="GWD2"/>
      <c r="GWE2"/>
      <c r="GWF2"/>
      <c r="GWG2"/>
      <c r="GWH2"/>
      <c r="GWI2"/>
      <c r="GWJ2"/>
      <c r="GWK2"/>
      <c r="GWL2"/>
      <c r="GWM2"/>
      <c r="GWN2"/>
      <c r="GWO2"/>
      <c r="GWP2"/>
      <c r="GWQ2"/>
      <c r="GWR2"/>
      <c r="GWS2"/>
      <c r="GWT2"/>
      <c r="GWU2"/>
      <c r="GWV2"/>
      <c r="GWW2"/>
      <c r="GWX2"/>
      <c r="GWY2"/>
      <c r="GWZ2"/>
      <c r="GXA2"/>
      <c r="GXB2"/>
      <c r="GXC2"/>
      <c r="GXD2"/>
      <c r="GXE2"/>
      <c r="GXF2"/>
      <c r="GXG2"/>
      <c r="GXH2"/>
      <c r="GXI2"/>
      <c r="GXJ2"/>
      <c r="GXK2"/>
      <c r="GXL2"/>
      <c r="GXM2"/>
      <c r="GXN2"/>
      <c r="GXO2"/>
      <c r="GXP2"/>
      <c r="GXQ2"/>
      <c r="GXR2"/>
      <c r="GXS2"/>
      <c r="GXT2"/>
      <c r="GXU2"/>
      <c r="GXV2"/>
      <c r="GXW2"/>
      <c r="GXX2"/>
      <c r="GXY2"/>
      <c r="GXZ2"/>
      <c r="GYA2"/>
      <c r="GYB2"/>
      <c r="GYC2"/>
      <c r="GYD2"/>
      <c r="GYE2"/>
      <c r="GYF2"/>
      <c r="GYG2"/>
      <c r="GYH2"/>
      <c r="GYI2"/>
      <c r="GYJ2"/>
      <c r="GYK2"/>
      <c r="GYL2"/>
      <c r="GYM2"/>
      <c r="GYN2"/>
      <c r="GYO2"/>
      <c r="GYP2"/>
      <c r="GYQ2"/>
      <c r="GYR2"/>
      <c r="GYS2"/>
      <c r="GYT2"/>
      <c r="GYU2"/>
      <c r="GYV2"/>
      <c r="GYW2"/>
      <c r="GYX2"/>
      <c r="GYY2"/>
      <c r="GYZ2"/>
      <c r="GZA2"/>
      <c r="GZB2"/>
      <c r="GZC2"/>
      <c r="GZD2"/>
      <c r="GZE2"/>
      <c r="GZF2"/>
      <c r="GZG2"/>
      <c r="GZH2"/>
      <c r="GZI2"/>
      <c r="GZJ2"/>
      <c r="GZK2"/>
      <c r="GZL2"/>
      <c r="GZM2"/>
      <c r="GZN2"/>
      <c r="GZO2"/>
      <c r="GZP2"/>
      <c r="GZQ2"/>
      <c r="GZR2"/>
      <c r="GZS2"/>
      <c r="GZT2"/>
      <c r="GZU2"/>
      <c r="GZV2"/>
      <c r="GZW2"/>
      <c r="GZX2"/>
      <c r="GZY2"/>
      <c r="GZZ2"/>
      <c r="HAA2"/>
      <c r="HAB2"/>
      <c r="HAC2"/>
      <c r="HAD2"/>
      <c r="HAE2"/>
      <c r="HAF2"/>
      <c r="HAG2"/>
      <c r="HAH2"/>
      <c r="HAI2"/>
      <c r="HAJ2"/>
      <c r="HAK2"/>
      <c r="HAL2"/>
      <c r="HAM2"/>
      <c r="HAN2"/>
      <c r="HAO2"/>
      <c r="HAP2"/>
      <c r="HAQ2"/>
      <c r="HAR2"/>
      <c r="HAS2"/>
      <c r="HAT2"/>
      <c r="HAU2"/>
      <c r="HAV2"/>
      <c r="HAW2"/>
      <c r="HAX2"/>
      <c r="HAY2"/>
      <c r="HAZ2"/>
      <c r="HBA2"/>
      <c r="HBB2"/>
      <c r="HBC2"/>
      <c r="HBD2"/>
      <c r="HBE2"/>
      <c r="HBF2"/>
      <c r="HBG2"/>
      <c r="HBH2"/>
      <c r="HBI2"/>
      <c r="HBJ2"/>
      <c r="HBK2"/>
      <c r="HBL2"/>
      <c r="HBM2"/>
      <c r="HBN2"/>
      <c r="HBO2"/>
      <c r="HBP2"/>
      <c r="HBQ2"/>
      <c r="HBR2"/>
      <c r="HBS2"/>
      <c r="HBT2"/>
      <c r="HBU2"/>
      <c r="HBV2"/>
      <c r="HBW2"/>
      <c r="HBX2"/>
      <c r="HBY2"/>
      <c r="HBZ2"/>
      <c r="HCA2"/>
      <c r="HCB2"/>
      <c r="HCC2"/>
      <c r="HCD2"/>
      <c r="HCE2"/>
      <c r="HCF2"/>
      <c r="HCG2"/>
      <c r="HCH2"/>
      <c r="HCI2"/>
      <c r="HCJ2"/>
      <c r="HCK2"/>
      <c r="HCL2"/>
      <c r="HCM2"/>
      <c r="HCN2"/>
      <c r="HCO2"/>
      <c r="HCP2"/>
      <c r="HCQ2"/>
      <c r="HCR2"/>
      <c r="HCS2"/>
      <c r="HCT2"/>
      <c r="HCU2"/>
      <c r="HCV2"/>
      <c r="HCW2"/>
      <c r="HCX2"/>
      <c r="HCY2"/>
      <c r="HCZ2"/>
      <c r="HDA2"/>
      <c r="HDB2"/>
      <c r="HDC2"/>
      <c r="HDD2"/>
      <c r="HDE2"/>
      <c r="HDF2"/>
      <c r="HDG2"/>
      <c r="HDH2"/>
      <c r="HDI2"/>
      <c r="HDJ2"/>
      <c r="HDK2"/>
      <c r="HDL2"/>
      <c r="HDM2"/>
      <c r="HDN2"/>
      <c r="HDO2"/>
      <c r="HDP2"/>
      <c r="HDQ2"/>
      <c r="HDR2"/>
      <c r="HDS2"/>
      <c r="HDT2"/>
      <c r="HDU2"/>
      <c r="HDV2"/>
      <c r="HDW2"/>
      <c r="HDX2"/>
      <c r="HDY2"/>
      <c r="HDZ2"/>
      <c r="HEA2"/>
      <c r="HEB2"/>
      <c r="HEC2"/>
      <c r="HED2"/>
      <c r="HEE2"/>
      <c r="HEF2"/>
      <c r="HEG2"/>
      <c r="HEH2"/>
      <c r="HEI2"/>
      <c r="HEJ2"/>
      <c r="HEK2"/>
      <c r="HEL2"/>
      <c r="HEM2"/>
      <c r="HEN2"/>
      <c r="HEO2"/>
      <c r="HEP2"/>
      <c r="HEQ2"/>
      <c r="HER2"/>
      <c r="HES2"/>
      <c r="HET2"/>
      <c r="HEU2"/>
      <c r="HEV2"/>
      <c r="HEW2"/>
      <c r="HEX2"/>
      <c r="HEY2"/>
      <c r="HEZ2"/>
      <c r="HFA2"/>
      <c r="HFB2"/>
      <c r="HFC2"/>
      <c r="HFD2"/>
      <c r="HFE2"/>
      <c r="HFF2"/>
      <c r="HFG2"/>
      <c r="HFH2"/>
      <c r="HFI2"/>
      <c r="HFJ2"/>
      <c r="HFK2"/>
      <c r="HFL2"/>
      <c r="HFM2"/>
      <c r="HFN2"/>
      <c r="HFO2"/>
      <c r="HFP2"/>
      <c r="HFQ2"/>
      <c r="HFR2"/>
      <c r="HFS2"/>
      <c r="HFT2"/>
      <c r="HFU2"/>
      <c r="HFV2"/>
      <c r="HFW2"/>
      <c r="HFX2"/>
      <c r="HFY2"/>
      <c r="HFZ2"/>
      <c r="HGA2"/>
      <c r="HGB2"/>
      <c r="HGC2"/>
      <c r="HGD2"/>
      <c r="HGE2"/>
      <c r="HGF2"/>
      <c r="HGG2"/>
      <c r="HGH2"/>
      <c r="HGI2"/>
      <c r="HGJ2"/>
      <c r="HGK2"/>
      <c r="HGL2"/>
      <c r="HGM2"/>
      <c r="HGN2"/>
      <c r="HGO2"/>
      <c r="HGP2"/>
      <c r="HGQ2"/>
      <c r="HGR2"/>
      <c r="HGS2"/>
      <c r="HGT2"/>
      <c r="HGU2"/>
      <c r="HGV2"/>
      <c r="HGW2"/>
      <c r="HGX2"/>
      <c r="HGY2"/>
      <c r="HGZ2"/>
      <c r="HHA2"/>
      <c r="HHB2"/>
      <c r="HHC2"/>
      <c r="HHD2"/>
      <c r="HHE2"/>
      <c r="HHF2"/>
      <c r="HHG2"/>
      <c r="HHH2"/>
      <c r="HHI2"/>
      <c r="HHJ2"/>
      <c r="HHK2"/>
      <c r="HHL2"/>
      <c r="HHM2"/>
      <c r="HHN2"/>
      <c r="HHO2"/>
      <c r="HHP2"/>
      <c r="HHQ2"/>
      <c r="HHR2"/>
      <c r="HHS2"/>
      <c r="HHT2"/>
      <c r="HHU2"/>
      <c r="HHV2"/>
      <c r="HHW2"/>
      <c r="HHX2"/>
      <c r="HHY2"/>
      <c r="HHZ2"/>
      <c r="HIA2"/>
      <c r="HIB2"/>
      <c r="HIC2"/>
      <c r="HID2"/>
      <c r="HIE2"/>
      <c r="HIF2"/>
      <c r="HIG2"/>
      <c r="HIH2"/>
      <c r="HII2"/>
      <c r="HIJ2"/>
      <c r="HIK2"/>
      <c r="HIL2"/>
      <c r="HIM2"/>
      <c r="HIN2"/>
      <c r="HIO2"/>
      <c r="HIP2"/>
      <c r="HIQ2"/>
      <c r="HIR2"/>
      <c r="HIS2"/>
      <c r="HIT2"/>
      <c r="HIU2"/>
      <c r="HIV2"/>
      <c r="HIW2"/>
      <c r="HIX2"/>
      <c r="HIY2"/>
      <c r="HIZ2"/>
      <c r="HJA2"/>
      <c r="HJB2"/>
      <c r="HJC2"/>
      <c r="HJD2"/>
      <c r="HJE2"/>
      <c r="HJF2"/>
      <c r="HJG2"/>
      <c r="HJH2"/>
      <c r="HJI2"/>
      <c r="HJJ2"/>
      <c r="HJK2"/>
      <c r="HJL2"/>
      <c r="HJM2"/>
      <c r="HJN2"/>
      <c r="HJO2"/>
      <c r="HJP2"/>
      <c r="HJQ2"/>
      <c r="HJR2"/>
      <c r="HJS2"/>
      <c r="HJT2"/>
      <c r="HJU2"/>
      <c r="HJV2"/>
      <c r="HJW2"/>
      <c r="HJX2"/>
      <c r="HJY2"/>
      <c r="HJZ2"/>
      <c r="HKA2"/>
      <c r="HKB2"/>
      <c r="HKC2"/>
      <c r="HKD2"/>
      <c r="HKE2"/>
      <c r="HKF2"/>
      <c r="HKG2"/>
      <c r="HKH2"/>
      <c r="HKI2"/>
      <c r="HKJ2"/>
      <c r="HKK2"/>
      <c r="HKL2"/>
      <c r="HKM2"/>
      <c r="HKN2"/>
      <c r="HKO2"/>
      <c r="HKP2"/>
      <c r="HKQ2"/>
      <c r="HKR2"/>
      <c r="HKS2"/>
      <c r="HKT2"/>
      <c r="HKU2"/>
      <c r="HKV2"/>
      <c r="HKW2"/>
      <c r="HKX2"/>
      <c r="HKY2"/>
      <c r="HKZ2"/>
      <c r="HLA2"/>
      <c r="HLB2"/>
      <c r="HLC2"/>
      <c r="HLD2"/>
      <c r="HLE2"/>
      <c r="HLF2"/>
      <c r="HLG2"/>
      <c r="HLH2"/>
      <c r="HLI2"/>
      <c r="HLJ2"/>
      <c r="HLK2"/>
      <c r="HLL2"/>
      <c r="HLM2"/>
      <c r="HLN2"/>
      <c r="HLO2"/>
      <c r="HLP2"/>
      <c r="HLQ2"/>
      <c r="HLR2"/>
      <c r="HLS2"/>
      <c r="HLT2"/>
      <c r="HLU2"/>
      <c r="HLV2"/>
      <c r="HLW2"/>
      <c r="HLX2"/>
      <c r="HLY2"/>
      <c r="HLZ2"/>
      <c r="HMA2"/>
      <c r="HMB2"/>
      <c r="HMC2"/>
      <c r="HMD2"/>
      <c r="HME2"/>
      <c r="HMF2"/>
      <c r="HMG2"/>
      <c r="HMH2"/>
      <c r="HMI2"/>
      <c r="HMJ2"/>
      <c r="HMK2"/>
      <c r="HML2"/>
      <c r="HMM2"/>
      <c r="HMN2"/>
      <c r="HMO2"/>
      <c r="HMP2"/>
      <c r="HMQ2"/>
      <c r="HMR2"/>
      <c r="HMS2"/>
      <c r="HMT2"/>
      <c r="HMU2"/>
      <c r="HMV2"/>
      <c r="HMW2"/>
      <c r="HMX2"/>
      <c r="HMY2"/>
      <c r="HMZ2"/>
      <c r="HNA2"/>
      <c r="HNB2"/>
      <c r="HNC2"/>
      <c r="HND2"/>
      <c r="HNE2"/>
      <c r="HNF2"/>
      <c r="HNG2"/>
      <c r="HNH2"/>
      <c r="HNI2"/>
      <c r="HNJ2"/>
      <c r="HNK2"/>
      <c r="HNL2"/>
      <c r="HNM2"/>
      <c r="HNN2"/>
      <c r="HNO2"/>
      <c r="HNP2"/>
      <c r="HNQ2"/>
      <c r="HNR2"/>
      <c r="HNS2"/>
      <c r="HNT2"/>
      <c r="HNU2"/>
      <c r="HNV2"/>
      <c r="HNW2"/>
      <c r="HNX2"/>
      <c r="HNY2"/>
      <c r="HNZ2"/>
      <c r="HOA2"/>
      <c r="HOB2"/>
      <c r="HOC2"/>
      <c r="HOD2"/>
      <c r="HOE2"/>
      <c r="HOF2"/>
      <c r="HOG2"/>
      <c r="HOH2"/>
      <c r="HOI2"/>
      <c r="HOJ2"/>
      <c r="HOK2"/>
      <c r="HOL2"/>
      <c r="HOM2"/>
      <c r="HON2"/>
      <c r="HOO2"/>
      <c r="HOP2"/>
      <c r="HOQ2"/>
      <c r="HOR2"/>
      <c r="HOS2"/>
      <c r="HOT2"/>
      <c r="HOU2"/>
      <c r="HOV2"/>
      <c r="HOW2"/>
      <c r="HOX2"/>
      <c r="HOY2"/>
      <c r="HOZ2"/>
      <c r="HPA2"/>
      <c r="HPB2"/>
      <c r="HPC2"/>
      <c r="HPD2"/>
      <c r="HPE2"/>
      <c r="HPF2"/>
      <c r="HPG2"/>
      <c r="HPH2"/>
      <c r="HPI2"/>
      <c r="HPJ2"/>
      <c r="HPK2"/>
      <c r="HPL2"/>
      <c r="HPM2"/>
      <c r="HPN2"/>
      <c r="HPO2"/>
      <c r="HPP2"/>
      <c r="HPQ2"/>
      <c r="HPR2"/>
      <c r="HPS2"/>
      <c r="HPT2"/>
      <c r="HPU2"/>
      <c r="HPV2"/>
      <c r="HPW2"/>
      <c r="HPX2"/>
      <c r="HPY2"/>
      <c r="HPZ2"/>
      <c r="HQA2"/>
      <c r="HQB2"/>
      <c r="HQC2"/>
      <c r="HQD2"/>
      <c r="HQE2"/>
      <c r="HQF2"/>
      <c r="HQG2"/>
      <c r="HQH2"/>
      <c r="HQI2"/>
      <c r="HQJ2"/>
      <c r="HQK2"/>
      <c r="HQL2"/>
      <c r="HQM2"/>
      <c r="HQN2"/>
      <c r="HQO2"/>
      <c r="HQP2"/>
      <c r="HQQ2"/>
      <c r="HQR2"/>
      <c r="HQS2"/>
      <c r="HQT2"/>
      <c r="HQU2"/>
      <c r="HQV2"/>
      <c r="HQW2"/>
      <c r="HQX2"/>
      <c r="HQY2"/>
      <c r="HQZ2"/>
      <c r="HRA2"/>
      <c r="HRB2"/>
      <c r="HRC2"/>
      <c r="HRD2"/>
      <c r="HRE2"/>
      <c r="HRF2"/>
      <c r="HRG2"/>
      <c r="HRH2"/>
      <c r="HRI2"/>
      <c r="HRJ2"/>
      <c r="HRK2"/>
      <c r="HRL2"/>
      <c r="HRM2"/>
      <c r="HRN2"/>
      <c r="HRO2"/>
      <c r="HRP2"/>
      <c r="HRQ2"/>
      <c r="HRR2"/>
      <c r="HRS2"/>
      <c r="HRT2"/>
      <c r="HRU2"/>
      <c r="HRV2"/>
      <c r="HRW2"/>
      <c r="HRX2"/>
      <c r="HRY2"/>
      <c r="HRZ2"/>
      <c r="HSA2"/>
      <c r="HSB2"/>
      <c r="HSC2"/>
      <c r="HSD2"/>
      <c r="HSE2"/>
      <c r="HSF2"/>
      <c r="HSG2"/>
      <c r="HSH2"/>
      <c r="HSI2"/>
      <c r="HSJ2"/>
      <c r="HSK2"/>
      <c r="HSL2"/>
      <c r="HSM2"/>
      <c r="HSN2"/>
      <c r="HSO2"/>
      <c r="HSP2"/>
      <c r="HSQ2"/>
      <c r="HSR2"/>
      <c r="HSS2"/>
      <c r="HST2"/>
      <c r="HSU2"/>
      <c r="HSV2"/>
      <c r="HSW2"/>
      <c r="HSX2"/>
      <c r="HSY2"/>
      <c r="HSZ2"/>
      <c r="HTA2"/>
      <c r="HTB2"/>
      <c r="HTC2"/>
      <c r="HTD2"/>
      <c r="HTE2"/>
      <c r="HTF2"/>
      <c r="HTG2"/>
      <c r="HTH2"/>
      <c r="HTI2"/>
      <c r="HTJ2"/>
      <c r="HTK2"/>
      <c r="HTL2"/>
      <c r="HTM2"/>
      <c r="HTN2"/>
      <c r="HTO2"/>
      <c r="HTP2"/>
      <c r="HTQ2"/>
      <c r="HTR2"/>
      <c r="HTS2"/>
      <c r="HTT2"/>
      <c r="HTU2"/>
      <c r="HTV2"/>
      <c r="HTW2"/>
      <c r="HTX2"/>
      <c r="HTY2"/>
      <c r="HTZ2"/>
      <c r="HUA2"/>
      <c r="HUB2"/>
      <c r="HUC2"/>
      <c r="HUD2"/>
      <c r="HUE2"/>
      <c r="HUF2"/>
      <c r="HUG2"/>
      <c r="HUH2"/>
      <c r="HUI2"/>
      <c r="HUJ2"/>
      <c r="HUK2"/>
      <c r="HUL2"/>
      <c r="HUM2"/>
      <c r="HUN2"/>
      <c r="HUO2"/>
      <c r="HUP2"/>
      <c r="HUQ2"/>
      <c r="HUR2"/>
      <c r="HUS2"/>
      <c r="HUT2"/>
      <c r="HUU2"/>
      <c r="HUV2"/>
      <c r="HUW2"/>
      <c r="HUX2"/>
      <c r="HUY2"/>
      <c r="HUZ2"/>
      <c r="HVA2"/>
      <c r="HVB2"/>
      <c r="HVC2"/>
      <c r="HVD2"/>
      <c r="HVE2"/>
      <c r="HVF2"/>
      <c r="HVG2"/>
      <c r="HVH2"/>
      <c r="HVI2"/>
      <c r="HVJ2"/>
      <c r="HVK2"/>
      <c r="HVL2"/>
      <c r="HVM2"/>
      <c r="HVN2"/>
      <c r="HVO2"/>
      <c r="HVP2"/>
      <c r="HVQ2"/>
      <c r="HVR2"/>
      <c r="HVS2"/>
      <c r="HVT2"/>
      <c r="HVU2"/>
      <c r="HVV2"/>
      <c r="HVW2"/>
      <c r="HVX2"/>
      <c r="HVY2"/>
      <c r="HVZ2"/>
      <c r="HWA2"/>
      <c r="HWB2"/>
      <c r="HWC2"/>
      <c r="HWD2"/>
      <c r="HWE2"/>
      <c r="HWF2"/>
      <c r="HWG2"/>
      <c r="HWH2"/>
      <c r="HWI2"/>
      <c r="HWJ2"/>
      <c r="HWK2"/>
      <c r="HWL2"/>
      <c r="HWM2"/>
      <c r="HWN2"/>
      <c r="HWO2"/>
      <c r="HWP2"/>
      <c r="HWQ2"/>
      <c r="HWR2"/>
      <c r="HWS2"/>
      <c r="HWT2"/>
      <c r="HWU2"/>
      <c r="HWV2"/>
      <c r="HWW2"/>
      <c r="HWX2"/>
      <c r="HWY2"/>
      <c r="HWZ2"/>
      <c r="HXA2"/>
      <c r="HXB2"/>
      <c r="HXC2"/>
      <c r="HXD2"/>
      <c r="HXE2"/>
      <c r="HXF2"/>
      <c r="HXG2"/>
      <c r="HXH2"/>
      <c r="HXI2"/>
      <c r="HXJ2"/>
      <c r="HXK2"/>
      <c r="HXL2"/>
      <c r="HXM2"/>
      <c r="HXN2"/>
      <c r="HXO2"/>
      <c r="HXP2"/>
      <c r="HXQ2"/>
      <c r="HXR2"/>
      <c r="HXS2"/>
      <c r="HXT2"/>
      <c r="HXU2"/>
      <c r="HXV2"/>
      <c r="HXW2"/>
      <c r="HXX2"/>
      <c r="HXY2"/>
      <c r="HXZ2"/>
      <c r="HYA2"/>
      <c r="HYB2"/>
      <c r="HYC2"/>
      <c r="HYD2"/>
      <c r="HYE2"/>
      <c r="HYF2"/>
      <c r="HYG2"/>
      <c r="HYH2"/>
      <c r="HYI2"/>
      <c r="HYJ2"/>
      <c r="HYK2"/>
      <c r="HYL2"/>
      <c r="HYM2"/>
      <c r="HYN2"/>
      <c r="HYO2"/>
      <c r="HYP2"/>
      <c r="HYQ2"/>
      <c r="HYR2"/>
      <c r="HYS2"/>
      <c r="HYT2"/>
      <c r="HYU2"/>
      <c r="HYV2"/>
      <c r="HYW2"/>
      <c r="HYX2"/>
      <c r="HYY2"/>
      <c r="HYZ2"/>
      <c r="HZA2"/>
      <c r="HZB2"/>
      <c r="HZC2"/>
      <c r="HZD2"/>
      <c r="HZE2"/>
      <c r="HZF2"/>
      <c r="HZG2"/>
      <c r="HZH2"/>
      <c r="HZI2"/>
      <c r="HZJ2"/>
      <c r="HZK2"/>
      <c r="HZL2"/>
      <c r="HZM2"/>
      <c r="HZN2"/>
      <c r="HZO2"/>
      <c r="HZP2"/>
      <c r="HZQ2"/>
      <c r="HZR2"/>
      <c r="HZS2"/>
      <c r="HZT2"/>
      <c r="HZU2"/>
      <c r="HZV2"/>
      <c r="HZW2"/>
      <c r="HZX2"/>
      <c r="HZY2"/>
      <c r="HZZ2"/>
      <c r="IAA2"/>
      <c r="IAB2"/>
      <c r="IAC2"/>
      <c r="IAD2"/>
      <c r="IAE2"/>
      <c r="IAF2"/>
      <c r="IAG2"/>
      <c r="IAH2"/>
      <c r="IAI2"/>
      <c r="IAJ2"/>
      <c r="IAK2"/>
      <c r="IAL2"/>
      <c r="IAM2"/>
      <c r="IAN2"/>
      <c r="IAO2"/>
      <c r="IAP2"/>
      <c r="IAQ2"/>
      <c r="IAR2"/>
      <c r="IAS2"/>
      <c r="IAT2"/>
      <c r="IAU2"/>
      <c r="IAV2"/>
      <c r="IAW2"/>
      <c r="IAX2"/>
      <c r="IAY2"/>
      <c r="IAZ2"/>
      <c r="IBA2"/>
      <c r="IBB2"/>
      <c r="IBC2"/>
      <c r="IBD2"/>
      <c r="IBE2"/>
      <c r="IBF2"/>
      <c r="IBG2"/>
      <c r="IBH2"/>
      <c r="IBI2"/>
      <c r="IBJ2"/>
      <c r="IBK2"/>
      <c r="IBL2"/>
      <c r="IBM2"/>
      <c r="IBN2"/>
      <c r="IBO2"/>
      <c r="IBP2"/>
      <c r="IBQ2"/>
      <c r="IBR2"/>
      <c r="IBS2"/>
      <c r="IBT2"/>
      <c r="IBU2"/>
      <c r="IBV2"/>
      <c r="IBW2"/>
      <c r="IBX2"/>
      <c r="IBY2"/>
      <c r="IBZ2"/>
      <c r="ICA2"/>
      <c r="ICB2"/>
      <c r="ICC2"/>
      <c r="ICD2"/>
      <c r="ICE2"/>
      <c r="ICF2"/>
      <c r="ICG2"/>
      <c r="ICH2"/>
      <c r="ICI2"/>
      <c r="ICJ2"/>
      <c r="ICK2"/>
      <c r="ICL2"/>
      <c r="ICM2"/>
      <c r="ICN2"/>
      <c r="ICO2"/>
      <c r="ICP2"/>
      <c r="ICQ2"/>
      <c r="ICR2"/>
      <c r="ICS2"/>
      <c r="ICT2"/>
      <c r="ICU2"/>
      <c r="ICV2"/>
      <c r="ICW2"/>
      <c r="ICX2"/>
      <c r="ICY2"/>
      <c r="ICZ2"/>
      <c r="IDA2"/>
      <c r="IDB2"/>
      <c r="IDC2"/>
      <c r="IDD2"/>
      <c r="IDE2"/>
      <c r="IDF2"/>
      <c r="IDG2"/>
      <c r="IDH2"/>
      <c r="IDI2"/>
      <c r="IDJ2"/>
      <c r="IDK2"/>
      <c r="IDL2"/>
      <c r="IDM2"/>
      <c r="IDN2"/>
      <c r="IDO2"/>
      <c r="IDP2"/>
      <c r="IDQ2"/>
      <c r="IDR2"/>
      <c r="IDS2"/>
      <c r="IDT2"/>
      <c r="IDU2"/>
      <c r="IDV2"/>
      <c r="IDW2"/>
      <c r="IDX2"/>
      <c r="IDY2"/>
      <c r="IDZ2"/>
      <c r="IEA2"/>
      <c r="IEB2"/>
      <c r="IEC2"/>
      <c r="IED2"/>
      <c r="IEE2"/>
      <c r="IEF2"/>
      <c r="IEG2"/>
      <c r="IEH2"/>
      <c r="IEI2"/>
      <c r="IEJ2"/>
      <c r="IEK2"/>
      <c r="IEL2"/>
      <c r="IEM2"/>
      <c r="IEN2"/>
      <c r="IEO2"/>
      <c r="IEP2"/>
      <c r="IEQ2"/>
      <c r="IER2"/>
      <c r="IES2"/>
      <c r="IET2"/>
      <c r="IEU2"/>
      <c r="IEV2"/>
      <c r="IEW2"/>
      <c r="IEX2"/>
      <c r="IEY2"/>
      <c r="IEZ2"/>
      <c r="IFA2"/>
      <c r="IFB2"/>
      <c r="IFC2"/>
      <c r="IFD2"/>
      <c r="IFE2"/>
      <c r="IFF2"/>
      <c r="IFG2"/>
      <c r="IFH2"/>
      <c r="IFI2"/>
      <c r="IFJ2"/>
      <c r="IFK2"/>
      <c r="IFL2"/>
      <c r="IFM2"/>
      <c r="IFN2"/>
      <c r="IFO2"/>
      <c r="IFP2"/>
      <c r="IFQ2"/>
      <c r="IFR2"/>
      <c r="IFS2"/>
      <c r="IFT2"/>
      <c r="IFU2"/>
      <c r="IFV2"/>
      <c r="IFW2"/>
      <c r="IFX2"/>
      <c r="IFY2"/>
      <c r="IFZ2"/>
      <c r="IGA2"/>
      <c r="IGB2"/>
      <c r="IGC2"/>
      <c r="IGD2"/>
      <c r="IGE2"/>
      <c r="IGF2"/>
      <c r="IGG2"/>
      <c r="IGH2"/>
      <c r="IGI2"/>
      <c r="IGJ2"/>
      <c r="IGK2"/>
      <c r="IGL2"/>
      <c r="IGM2"/>
      <c r="IGN2"/>
      <c r="IGO2"/>
      <c r="IGP2"/>
      <c r="IGQ2"/>
      <c r="IGR2"/>
      <c r="IGS2"/>
      <c r="IGT2"/>
      <c r="IGU2"/>
      <c r="IGV2"/>
      <c r="IGW2"/>
      <c r="IGX2"/>
      <c r="IGY2"/>
      <c r="IGZ2"/>
      <c r="IHA2"/>
      <c r="IHB2"/>
      <c r="IHC2"/>
      <c r="IHD2"/>
      <c r="IHE2"/>
      <c r="IHF2"/>
      <c r="IHG2"/>
      <c r="IHH2"/>
      <c r="IHI2"/>
      <c r="IHJ2"/>
      <c r="IHK2"/>
      <c r="IHL2"/>
      <c r="IHM2"/>
      <c r="IHN2"/>
      <c r="IHO2"/>
      <c r="IHP2"/>
      <c r="IHQ2"/>
      <c r="IHR2"/>
      <c r="IHS2"/>
      <c r="IHT2"/>
      <c r="IHU2"/>
      <c r="IHV2"/>
      <c r="IHW2"/>
      <c r="IHX2"/>
      <c r="IHY2"/>
      <c r="IHZ2"/>
      <c r="IIA2"/>
      <c r="IIB2"/>
      <c r="IIC2"/>
      <c r="IID2"/>
      <c r="IIE2"/>
      <c r="IIF2"/>
      <c r="IIG2"/>
      <c r="IIH2"/>
      <c r="III2"/>
      <c r="IIJ2"/>
      <c r="IIK2"/>
      <c r="IIL2"/>
      <c r="IIM2"/>
      <c r="IIN2"/>
      <c r="IIO2"/>
      <c r="IIP2"/>
      <c r="IIQ2"/>
      <c r="IIR2"/>
      <c r="IIS2"/>
      <c r="IIT2"/>
      <c r="IIU2"/>
      <c r="IIV2"/>
      <c r="IIW2"/>
      <c r="IIX2"/>
      <c r="IIY2"/>
      <c r="IIZ2"/>
      <c r="IJA2"/>
      <c r="IJB2"/>
      <c r="IJC2"/>
      <c r="IJD2"/>
      <c r="IJE2"/>
      <c r="IJF2"/>
      <c r="IJG2"/>
      <c r="IJH2"/>
      <c r="IJI2"/>
      <c r="IJJ2"/>
      <c r="IJK2"/>
      <c r="IJL2"/>
      <c r="IJM2"/>
      <c r="IJN2"/>
      <c r="IJO2"/>
      <c r="IJP2"/>
      <c r="IJQ2"/>
      <c r="IJR2"/>
      <c r="IJS2"/>
      <c r="IJT2"/>
      <c r="IJU2"/>
      <c r="IJV2"/>
      <c r="IJW2"/>
      <c r="IJX2"/>
      <c r="IJY2"/>
      <c r="IJZ2"/>
      <c r="IKA2"/>
      <c r="IKB2"/>
      <c r="IKC2"/>
      <c r="IKD2"/>
      <c r="IKE2"/>
      <c r="IKF2"/>
      <c r="IKG2"/>
      <c r="IKH2"/>
      <c r="IKI2"/>
      <c r="IKJ2"/>
      <c r="IKK2"/>
      <c r="IKL2"/>
      <c r="IKM2"/>
      <c r="IKN2"/>
      <c r="IKO2"/>
      <c r="IKP2"/>
      <c r="IKQ2"/>
      <c r="IKR2"/>
      <c r="IKS2"/>
      <c r="IKT2"/>
      <c r="IKU2"/>
      <c r="IKV2"/>
      <c r="IKW2"/>
      <c r="IKX2"/>
      <c r="IKY2"/>
      <c r="IKZ2"/>
      <c r="ILA2"/>
      <c r="ILB2"/>
      <c r="ILC2"/>
      <c r="ILD2"/>
      <c r="ILE2"/>
      <c r="ILF2"/>
      <c r="ILG2"/>
      <c r="ILH2"/>
      <c r="ILI2"/>
      <c r="ILJ2"/>
      <c r="ILK2"/>
      <c r="ILL2"/>
      <c r="ILM2"/>
      <c r="ILN2"/>
      <c r="ILO2"/>
      <c r="ILP2"/>
      <c r="ILQ2"/>
      <c r="ILR2"/>
      <c r="ILS2"/>
      <c r="ILT2"/>
      <c r="ILU2"/>
      <c r="ILV2"/>
      <c r="ILW2"/>
      <c r="ILX2"/>
      <c r="ILY2"/>
      <c r="ILZ2"/>
      <c r="IMA2"/>
      <c r="IMB2"/>
      <c r="IMC2"/>
      <c r="IMD2"/>
      <c r="IME2"/>
      <c r="IMF2"/>
      <c r="IMG2"/>
      <c r="IMH2"/>
      <c r="IMI2"/>
      <c r="IMJ2"/>
      <c r="IMK2"/>
      <c r="IML2"/>
      <c r="IMM2"/>
      <c r="IMN2"/>
      <c r="IMO2"/>
      <c r="IMP2"/>
      <c r="IMQ2"/>
      <c r="IMR2"/>
      <c r="IMS2"/>
      <c r="IMT2"/>
      <c r="IMU2"/>
      <c r="IMV2"/>
      <c r="IMW2"/>
      <c r="IMX2"/>
      <c r="IMY2"/>
      <c r="IMZ2"/>
      <c r="INA2"/>
      <c r="INB2"/>
      <c r="INC2"/>
      <c r="IND2"/>
      <c r="INE2"/>
      <c r="INF2"/>
      <c r="ING2"/>
      <c r="INH2"/>
      <c r="INI2"/>
      <c r="INJ2"/>
      <c r="INK2"/>
      <c r="INL2"/>
      <c r="INM2"/>
      <c r="INN2"/>
      <c r="INO2"/>
      <c r="INP2"/>
      <c r="INQ2"/>
      <c r="INR2"/>
      <c r="INS2"/>
      <c r="INT2"/>
      <c r="INU2"/>
      <c r="INV2"/>
      <c r="INW2"/>
      <c r="INX2"/>
      <c r="INY2"/>
      <c r="INZ2"/>
      <c r="IOA2"/>
      <c r="IOB2"/>
      <c r="IOC2"/>
      <c r="IOD2"/>
      <c r="IOE2"/>
      <c r="IOF2"/>
      <c r="IOG2"/>
      <c r="IOH2"/>
      <c r="IOI2"/>
      <c r="IOJ2"/>
      <c r="IOK2"/>
      <c r="IOL2"/>
      <c r="IOM2"/>
      <c r="ION2"/>
      <c r="IOO2"/>
      <c r="IOP2"/>
      <c r="IOQ2"/>
      <c r="IOR2"/>
      <c r="IOS2"/>
      <c r="IOT2"/>
      <c r="IOU2"/>
      <c r="IOV2"/>
      <c r="IOW2"/>
      <c r="IOX2"/>
      <c r="IOY2"/>
      <c r="IOZ2"/>
      <c r="IPA2"/>
      <c r="IPB2"/>
      <c r="IPC2"/>
      <c r="IPD2"/>
      <c r="IPE2"/>
      <c r="IPF2"/>
      <c r="IPG2"/>
      <c r="IPH2"/>
      <c r="IPI2"/>
      <c r="IPJ2"/>
      <c r="IPK2"/>
      <c r="IPL2"/>
      <c r="IPM2"/>
      <c r="IPN2"/>
      <c r="IPO2"/>
      <c r="IPP2"/>
      <c r="IPQ2"/>
      <c r="IPR2"/>
      <c r="IPS2"/>
      <c r="IPT2"/>
      <c r="IPU2"/>
      <c r="IPV2"/>
      <c r="IPW2"/>
      <c r="IPX2"/>
      <c r="IPY2"/>
      <c r="IPZ2"/>
      <c r="IQA2"/>
      <c r="IQB2"/>
      <c r="IQC2"/>
      <c r="IQD2"/>
      <c r="IQE2"/>
      <c r="IQF2"/>
      <c r="IQG2"/>
      <c r="IQH2"/>
      <c r="IQI2"/>
      <c r="IQJ2"/>
      <c r="IQK2"/>
      <c r="IQL2"/>
      <c r="IQM2"/>
      <c r="IQN2"/>
      <c r="IQO2"/>
      <c r="IQP2"/>
      <c r="IQQ2"/>
      <c r="IQR2"/>
      <c r="IQS2"/>
      <c r="IQT2"/>
      <c r="IQU2"/>
      <c r="IQV2"/>
      <c r="IQW2"/>
      <c r="IQX2"/>
      <c r="IQY2"/>
      <c r="IQZ2"/>
      <c r="IRA2"/>
      <c r="IRB2"/>
      <c r="IRC2"/>
      <c r="IRD2"/>
      <c r="IRE2"/>
      <c r="IRF2"/>
      <c r="IRG2"/>
      <c r="IRH2"/>
      <c r="IRI2"/>
      <c r="IRJ2"/>
      <c r="IRK2"/>
      <c r="IRL2"/>
      <c r="IRM2"/>
      <c r="IRN2"/>
      <c r="IRO2"/>
      <c r="IRP2"/>
      <c r="IRQ2"/>
      <c r="IRR2"/>
      <c r="IRS2"/>
      <c r="IRT2"/>
      <c r="IRU2"/>
      <c r="IRV2"/>
      <c r="IRW2"/>
      <c r="IRX2"/>
      <c r="IRY2"/>
      <c r="IRZ2"/>
      <c r="ISA2"/>
      <c r="ISB2"/>
      <c r="ISC2"/>
      <c r="ISD2"/>
      <c r="ISE2"/>
      <c r="ISF2"/>
      <c r="ISG2"/>
      <c r="ISH2"/>
      <c r="ISI2"/>
      <c r="ISJ2"/>
      <c r="ISK2"/>
      <c r="ISL2"/>
      <c r="ISM2"/>
      <c r="ISN2"/>
      <c r="ISO2"/>
      <c r="ISP2"/>
      <c r="ISQ2"/>
      <c r="ISR2"/>
      <c r="ISS2"/>
      <c r="IST2"/>
      <c r="ISU2"/>
      <c r="ISV2"/>
      <c r="ISW2"/>
      <c r="ISX2"/>
      <c r="ISY2"/>
      <c r="ISZ2"/>
      <c r="ITA2"/>
      <c r="ITB2"/>
      <c r="ITC2"/>
      <c r="ITD2"/>
      <c r="ITE2"/>
      <c r="ITF2"/>
      <c r="ITG2"/>
      <c r="ITH2"/>
      <c r="ITI2"/>
      <c r="ITJ2"/>
      <c r="ITK2"/>
      <c r="ITL2"/>
      <c r="ITM2"/>
      <c r="ITN2"/>
      <c r="ITO2"/>
      <c r="ITP2"/>
      <c r="ITQ2"/>
      <c r="ITR2"/>
      <c r="ITS2"/>
      <c r="ITT2"/>
      <c r="ITU2"/>
      <c r="ITV2"/>
      <c r="ITW2"/>
      <c r="ITX2"/>
      <c r="ITY2"/>
      <c r="ITZ2"/>
      <c r="IUA2"/>
      <c r="IUB2"/>
      <c r="IUC2"/>
      <c r="IUD2"/>
      <c r="IUE2"/>
      <c r="IUF2"/>
      <c r="IUG2"/>
      <c r="IUH2"/>
      <c r="IUI2"/>
      <c r="IUJ2"/>
      <c r="IUK2"/>
      <c r="IUL2"/>
      <c r="IUM2"/>
      <c r="IUN2"/>
      <c r="IUO2"/>
      <c r="IUP2"/>
      <c r="IUQ2"/>
      <c r="IUR2"/>
      <c r="IUS2"/>
      <c r="IUT2"/>
      <c r="IUU2"/>
      <c r="IUV2"/>
      <c r="IUW2"/>
      <c r="IUX2"/>
      <c r="IUY2"/>
      <c r="IUZ2"/>
      <c r="IVA2"/>
      <c r="IVB2"/>
      <c r="IVC2"/>
      <c r="IVD2"/>
      <c r="IVE2"/>
      <c r="IVF2"/>
      <c r="IVG2"/>
      <c r="IVH2"/>
      <c r="IVI2"/>
      <c r="IVJ2"/>
      <c r="IVK2"/>
      <c r="IVL2"/>
      <c r="IVM2"/>
      <c r="IVN2"/>
      <c r="IVO2"/>
      <c r="IVP2"/>
      <c r="IVQ2"/>
      <c r="IVR2"/>
      <c r="IVS2"/>
      <c r="IVT2"/>
      <c r="IVU2"/>
      <c r="IVV2"/>
      <c r="IVW2"/>
      <c r="IVX2"/>
      <c r="IVY2"/>
      <c r="IVZ2"/>
      <c r="IWA2"/>
      <c r="IWB2"/>
      <c r="IWC2"/>
      <c r="IWD2"/>
      <c r="IWE2"/>
      <c r="IWF2"/>
      <c r="IWG2"/>
      <c r="IWH2"/>
      <c r="IWI2"/>
      <c r="IWJ2"/>
      <c r="IWK2"/>
      <c r="IWL2"/>
      <c r="IWM2"/>
      <c r="IWN2"/>
      <c r="IWO2"/>
      <c r="IWP2"/>
      <c r="IWQ2"/>
      <c r="IWR2"/>
      <c r="IWS2"/>
      <c r="IWT2"/>
      <c r="IWU2"/>
      <c r="IWV2"/>
      <c r="IWW2"/>
      <c r="IWX2"/>
      <c r="IWY2"/>
      <c r="IWZ2"/>
      <c r="IXA2"/>
      <c r="IXB2"/>
      <c r="IXC2"/>
      <c r="IXD2"/>
      <c r="IXE2"/>
      <c r="IXF2"/>
      <c r="IXG2"/>
      <c r="IXH2"/>
      <c r="IXI2"/>
      <c r="IXJ2"/>
      <c r="IXK2"/>
      <c r="IXL2"/>
      <c r="IXM2"/>
      <c r="IXN2"/>
      <c r="IXO2"/>
      <c r="IXP2"/>
      <c r="IXQ2"/>
      <c r="IXR2"/>
      <c r="IXS2"/>
      <c r="IXT2"/>
      <c r="IXU2"/>
      <c r="IXV2"/>
      <c r="IXW2"/>
      <c r="IXX2"/>
      <c r="IXY2"/>
      <c r="IXZ2"/>
      <c r="IYA2"/>
      <c r="IYB2"/>
      <c r="IYC2"/>
      <c r="IYD2"/>
      <c r="IYE2"/>
      <c r="IYF2"/>
      <c r="IYG2"/>
      <c r="IYH2"/>
      <c r="IYI2"/>
      <c r="IYJ2"/>
      <c r="IYK2"/>
      <c r="IYL2"/>
      <c r="IYM2"/>
      <c r="IYN2"/>
      <c r="IYO2"/>
      <c r="IYP2"/>
      <c r="IYQ2"/>
      <c r="IYR2"/>
      <c r="IYS2"/>
      <c r="IYT2"/>
      <c r="IYU2"/>
      <c r="IYV2"/>
      <c r="IYW2"/>
      <c r="IYX2"/>
      <c r="IYY2"/>
      <c r="IYZ2"/>
      <c r="IZA2"/>
      <c r="IZB2"/>
      <c r="IZC2"/>
      <c r="IZD2"/>
      <c r="IZE2"/>
      <c r="IZF2"/>
      <c r="IZG2"/>
      <c r="IZH2"/>
      <c r="IZI2"/>
      <c r="IZJ2"/>
      <c r="IZK2"/>
      <c r="IZL2"/>
      <c r="IZM2"/>
      <c r="IZN2"/>
      <c r="IZO2"/>
      <c r="IZP2"/>
      <c r="IZQ2"/>
      <c r="IZR2"/>
      <c r="IZS2"/>
      <c r="IZT2"/>
      <c r="IZU2"/>
      <c r="IZV2"/>
      <c r="IZW2"/>
      <c r="IZX2"/>
      <c r="IZY2"/>
      <c r="IZZ2"/>
      <c r="JAA2"/>
      <c r="JAB2"/>
      <c r="JAC2"/>
      <c r="JAD2"/>
      <c r="JAE2"/>
      <c r="JAF2"/>
      <c r="JAG2"/>
      <c r="JAH2"/>
      <c r="JAI2"/>
      <c r="JAJ2"/>
      <c r="JAK2"/>
      <c r="JAL2"/>
      <c r="JAM2"/>
      <c r="JAN2"/>
      <c r="JAO2"/>
      <c r="JAP2"/>
      <c r="JAQ2"/>
      <c r="JAR2"/>
      <c r="JAS2"/>
      <c r="JAT2"/>
      <c r="JAU2"/>
      <c r="JAV2"/>
      <c r="JAW2"/>
      <c r="JAX2"/>
      <c r="JAY2"/>
      <c r="JAZ2"/>
      <c r="JBA2"/>
      <c r="JBB2"/>
      <c r="JBC2"/>
      <c r="JBD2"/>
      <c r="JBE2"/>
      <c r="JBF2"/>
      <c r="JBG2"/>
      <c r="JBH2"/>
      <c r="JBI2"/>
      <c r="JBJ2"/>
      <c r="JBK2"/>
      <c r="JBL2"/>
      <c r="JBM2"/>
      <c r="JBN2"/>
      <c r="JBO2"/>
      <c r="JBP2"/>
      <c r="JBQ2"/>
      <c r="JBR2"/>
      <c r="JBS2"/>
      <c r="JBT2"/>
      <c r="JBU2"/>
      <c r="JBV2"/>
      <c r="JBW2"/>
      <c r="JBX2"/>
      <c r="JBY2"/>
      <c r="JBZ2"/>
      <c r="JCA2"/>
      <c r="JCB2"/>
      <c r="JCC2"/>
      <c r="JCD2"/>
      <c r="JCE2"/>
      <c r="JCF2"/>
      <c r="JCG2"/>
      <c r="JCH2"/>
      <c r="JCI2"/>
      <c r="JCJ2"/>
      <c r="JCK2"/>
      <c r="JCL2"/>
      <c r="JCM2"/>
      <c r="JCN2"/>
      <c r="JCO2"/>
      <c r="JCP2"/>
      <c r="JCQ2"/>
      <c r="JCR2"/>
      <c r="JCS2"/>
      <c r="JCT2"/>
      <c r="JCU2"/>
      <c r="JCV2"/>
      <c r="JCW2"/>
      <c r="JCX2"/>
      <c r="JCY2"/>
      <c r="JCZ2"/>
      <c r="JDA2"/>
      <c r="JDB2"/>
      <c r="JDC2"/>
      <c r="JDD2"/>
      <c r="JDE2"/>
      <c r="JDF2"/>
      <c r="JDG2"/>
      <c r="JDH2"/>
      <c r="JDI2"/>
      <c r="JDJ2"/>
      <c r="JDK2"/>
      <c r="JDL2"/>
      <c r="JDM2"/>
      <c r="JDN2"/>
      <c r="JDO2"/>
      <c r="JDP2"/>
      <c r="JDQ2"/>
      <c r="JDR2"/>
      <c r="JDS2"/>
      <c r="JDT2"/>
      <c r="JDU2"/>
      <c r="JDV2"/>
      <c r="JDW2"/>
      <c r="JDX2"/>
      <c r="JDY2"/>
      <c r="JDZ2"/>
      <c r="JEA2"/>
      <c r="JEB2"/>
      <c r="JEC2"/>
      <c r="JED2"/>
      <c r="JEE2"/>
      <c r="JEF2"/>
      <c r="JEG2"/>
      <c r="JEH2"/>
      <c r="JEI2"/>
      <c r="JEJ2"/>
      <c r="JEK2"/>
      <c r="JEL2"/>
      <c r="JEM2"/>
      <c r="JEN2"/>
      <c r="JEO2"/>
      <c r="JEP2"/>
      <c r="JEQ2"/>
      <c r="JER2"/>
      <c r="JES2"/>
      <c r="JET2"/>
      <c r="JEU2"/>
      <c r="JEV2"/>
      <c r="JEW2"/>
      <c r="JEX2"/>
      <c r="JEY2"/>
      <c r="JEZ2"/>
      <c r="JFA2"/>
      <c r="JFB2"/>
      <c r="JFC2"/>
      <c r="JFD2"/>
      <c r="JFE2"/>
      <c r="JFF2"/>
      <c r="JFG2"/>
      <c r="JFH2"/>
      <c r="JFI2"/>
      <c r="JFJ2"/>
      <c r="JFK2"/>
      <c r="JFL2"/>
      <c r="JFM2"/>
      <c r="JFN2"/>
      <c r="JFO2"/>
      <c r="JFP2"/>
      <c r="JFQ2"/>
      <c r="JFR2"/>
      <c r="JFS2"/>
      <c r="JFT2"/>
      <c r="JFU2"/>
      <c r="JFV2"/>
      <c r="JFW2"/>
      <c r="JFX2"/>
      <c r="JFY2"/>
      <c r="JFZ2"/>
      <c r="JGA2"/>
      <c r="JGB2"/>
      <c r="JGC2"/>
      <c r="JGD2"/>
      <c r="JGE2"/>
      <c r="JGF2"/>
      <c r="JGG2"/>
      <c r="JGH2"/>
      <c r="JGI2"/>
      <c r="JGJ2"/>
      <c r="JGK2"/>
      <c r="JGL2"/>
      <c r="JGM2"/>
      <c r="JGN2"/>
      <c r="JGO2"/>
      <c r="JGP2"/>
      <c r="JGQ2"/>
      <c r="JGR2"/>
      <c r="JGS2"/>
      <c r="JGT2"/>
      <c r="JGU2"/>
      <c r="JGV2"/>
      <c r="JGW2"/>
      <c r="JGX2"/>
      <c r="JGY2"/>
      <c r="JGZ2"/>
      <c r="JHA2"/>
      <c r="JHB2"/>
      <c r="JHC2"/>
      <c r="JHD2"/>
      <c r="JHE2"/>
      <c r="JHF2"/>
      <c r="JHG2"/>
      <c r="JHH2"/>
      <c r="JHI2"/>
      <c r="JHJ2"/>
      <c r="JHK2"/>
      <c r="JHL2"/>
      <c r="JHM2"/>
      <c r="JHN2"/>
      <c r="JHO2"/>
      <c r="JHP2"/>
      <c r="JHQ2"/>
      <c r="JHR2"/>
      <c r="JHS2"/>
      <c r="JHT2"/>
      <c r="JHU2"/>
      <c r="JHV2"/>
      <c r="JHW2"/>
      <c r="JHX2"/>
      <c r="JHY2"/>
      <c r="JHZ2"/>
      <c r="JIA2"/>
      <c r="JIB2"/>
      <c r="JIC2"/>
      <c r="JID2"/>
      <c r="JIE2"/>
      <c r="JIF2"/>
      <c r="JIG2"/>
      <c r="JIH2"/>
      <c r="JII2"/>
      <c r="JIJ2"/>
      <c r="JIK2"/>
      <c r="JIL2"/>
      <c r="JIM2"/>
      <c r="JIN2"/>
      <c r="JIO2"/>
      <c r="JIP2"/>
      <c r="JIQ2"/>
      <c r="JIR2"/>
      <c r="JIS2"/>
      <c r="JIT2"/>
      <c r="JIU2"/>
      <c r="JIV2"/>
      <c r="JIW2"/>
      <c r="JIX2"/>
      <c r="JIY2"/>
      <c r="JIZ2"/>
      <c r="JJA2"/>
      <c r="JJB2"/>
      <c r="JJC2"/>
      <c r="JJD2"/>
      <c r="JJE2"/>
      <c r="JJF2"/>
      <c r="JJG2"/>
      <c r="JJH2"/>
      <c r="JJI2"/>
      <c r="JJJ2"/>
      <c r="JJK2"/>
      <c r="JJL2"/>
      <c r="JJM2"/>
      <c r="JJN2"/>
      <c r="JJO2"/>
      <c r="JJP2"/>
      <c r="JJQ2"/>
      <c r="JJR2"/>
      <c r="JJS2"/>
      <c r="JJT2"/>
      <c r="JJU2"/>
      <c r="JJV2"/>
      <c r="JJW2"/>
      <c r="JJX2"/>
      <c r="JJY2"/>
      <c r="JJZ2"/>
      <c r="JKA2"/>
      <c r="JKB2"/>
      <c r="JKC2"/>
      <c r="JKD2"/>
      <c r="JKE2"/>
      <c r="JKF2"/>
      <c r="JKG2"/>
      <c r="JKH2"/>
      <c r="JKI2"/>
      <c r="JKJ2"/>
      <c r="JKK2"/>
      <c r="JKL2"/>
      <c r="JKM2"/>
      <c r="JKN2"/>
      <c r="JKO2"/>
      <c r="JKP2"/>
      <c r="JKQ2"/>
      <c r="JKR2"/>
      <c r="JKS2"/>
      <c r="JKT2"/>
      <c r="JKU2"/>
      <c r="JKV2"/>
      <c r="JKW2"/>
      <c r="JKX2"/>
      <c r="JKY2"/>
      <c r="JKZ2"/>
      <c r="JLA2"/>
      <c r="JLB2"/>
      <c r="JLC2"/>
      <c r="JLD2"/>
      <c r="JLE2"/>
      <c r="JLF2"/>
      <c r="JLG2"/>
      <c r="JLH2"/>
      <c r="JLI2"/>
      <c r="JLJ2"/>
      <c r="JLK2"/>
      <c r="JLL2"/>
      <c r="JLM2"/>
      <c r="JLN2"/>
      <c r="JLO2"/>
      <c r="JLP2"/>
      <c r="JLQ2"/>
      <c r="JLR2"/>
      <c r="JLS2"/>
      <c r="JLT2"/>
      <c r="JLU2"/>
      <c r="JLV2"/>
      <c r="JLW2"/>
      <c r="JLX2"/>
      <c r="JLY2"/>
      <c r="JLZ2"/>
      <c r="JMA2"/>
      <c r="JMB2"/>
      <c r="JMC2"/>
      <c r="JMD2"/>
      <c r="JME2"/>
      <c r="JMF2"/>
      <c r="JMG2"/>
      <c r="JMH2"/>
      <c r="JMI2"/>
      <c r="JMJ2"/>
      <c r="JMK2"/>
      <c r="JML2"/>
      <c r="JMM2"/>
      <c r="JMN2"/>
      <c r="JMO2"/>
      <c r="JMP2"/>
      <c r="JMQ2"/>
      <c r="JMR2"/>
      <c r="JMS2"/>
      <c r="JMT2"/>
      <c r="JMU2"/>
      <c r="JMV2"/>
      <c r="JMW2"/>
      <c r="JMX2"/>
      <c r="JMY2"/>
      <c r="JMZ2"/>
      <c r="JNA2"/>
      <c r="JNB2"/>
      <c r="JNC2"/>
      <c r="JND2"/>
      <c r="JNE2"/>
      <c r="JNF2"/>
      <c r="JNG2"/>
      <c r="JNH2"/>
      <c r="JNI2"/>
      <c r="JNJ2"/>
      <c r="JNK2"/>
      <c r="JNL2"/>
      <c r="JNM2"/>
      <c r="JNN2"/>
      <c r="JNO2"/>
      <c r="JNP2"/>
      <c r="JNQ2"/>
      <c r="JNR2"/>
      <c r="JNS2"/>
      <c r="JNT2"/>
      <c r="JNU2"/>
      <c r="JNV2"/>
      <c r="JNW2"/>
      <c r="JNX2"/>
      <c r="JNY2"/>
      <c r="JNZ2"/>
      <c r="JOA2"/>
      <c r="JOB2"/>
      <c r="JOC2"/>
      <c r="JOD2"/>
      <c r="JOE2"/>
      <c r="JOF2"/>
      <c r="JOG2"/>
      <c r="JOH2"/>
      <c r="JOI2"/>
      <c r="JOJ2"/>
      <c r="JOK2"/>
      <c r="JOL2"/>
      <c r="JOM2"/>
      <c r="JON2"/>
      <c r="JOO2"/>
      <c r="JOP2"/>
      <c r="JOQ2"/>
      <c r="JOR2"/>
      <c r="JOS2"/>
      <c r="JOT2"/>
      <c r="JOU2"/>
      <c r="JOV2"/>
      <c r="JOW2"/>
      <c r="JOX2"/>
      <c r="JOY2"/>
      <c r="JOZ2"/>
      <c r="JPA2"/>
      <c r="JPB2"/>
      <c r="JPC2"/>
      <c r="JPD2"/>
      <c r="JPE2"/>
      <c r="JPF2"/>
      <c r="JPG2"/>
      <c r="JPH2"/>
      <c r="JPI2"/>
      <c r="JPJ2"/>
      <c r="JPK2"/>
      <c r="JPL2"/>
      <c r="JPM2"/>
      <c r="JPN2"/>
      <c r="JPO2"/>
      <c r="JPP2"/>
      <c r="JPQ2"/>
      <c r="JPR2"/>
      <c r="JPS2"/>
      <c r="JPT2"/>
      <c r="JPU2"/>
      <c r="JPV2"/>
      <c r="JPW2"/>
      <c r="JPX2"/>
      <c r="JPY2"/>
      <c r="JPZ2"/>
      <c r="JQA2"/>
      <c r="JQB2"/>
      <c r="JQC2"/>
      <c r="JQD2"/>
      <c r="JQE2"/>
      <c r="JQF2"/>
      <c r="JQG2"/>
      <c r="JQH2"/>
      <c r="JQI2"/>
      <c r="JQJ2"/>
      <c r="JQK2"/>
      <c r="JQL2"/>
      <c r="JQM2"/>
      <c r="JQN2"/>
      <c r="JQO2"/>
      <c r="JQP2"/>
      <c r="JQQ2"/>
      <c r="JQR2"/>
      <c r="JQS2"/>
      <c r="JQT2"/>
      <c r="JQU2"/>
      <c r="JQV2"/>
      <c r="JQW2"/>
      <c r="JQX2"/>
      <c r="JQY2"/>
      <c r="JQZ2"/>
      <c r="JRA2"/>
      <c r="JRB2"/>
      <c r="JRC2"/>
      <c r="JRD2"/>
      <c r="JRE2"/>
      <c r="JRF2"/>
      <c r="JRG2"/>
      <c r="JRH2"/>
      <c r="JRI2"/>
      <c r="JRJ2"/>
      <c r="JRK2"/>
      <c r="JRL2"/>
      <c r="JRM2"/>
      <c r="JRN2"/>
      <c r="JRO2"/>
      <c r="JRP2"/>
      <c r="JRQ2"/>
      <c r="JRR2"/>
      <c r="JRS2"/>
      <c r="JRT2"/>
      <c r="JRU2"/>
      <c r="JRV2"/>
      <c r="JRW2"/>
      <c r="JRX2"/>
      <c r="JRY2"/>
      <c r="JRZ2"/>
      <c r="JSA2"/>
      <c r="JSB2"/>
      <c r="JSC2"/>
      <c r="JSD2"/>
      <c r="JSE2"/>
      <c r="JSF2"/>
      <c r="JSG2"/>
      <c r="JSH2"/>
      <c r="JSI2"/>
      <c r="JSJ2"/>
      <c r="JSK2"/>
      <c r="JSL2"/>
      <c r="JSM2"/>
      <c r="JSN2"/>
      <c r="JSO2"/>
      <c r="JSP2"/>
      <c r="JSQ2"/>
      <c r="JSR2"/>
      <c r="JSS2"/>
      <c r="JST2"/>
      <c r="JSU2"/>
      <c r="JSV2"/>
      <c r="JSW2"/>
      <c r="JSX2"/>
      <c r="JSY2"/>
      <c r="JSZ2"/>
      <c r="JTA2"/>
      <c r="JTB2"/>
      <c r="JTC2"/>
      <c r="JTD2"/>
      <c r="JTE2"/>
      <c r="JTF2"/>
      <c r="JTG2"/>
      <c r="JTH2"/>
      <c r="JTI2"/>
      <c r="JTJ2"/>
      <c r="JTK2"/>
      <c r="JTL2"/>
      <c r="JTM2"/>
      <c r="JTN2"/>
      <c r="JTO2"/>
      <c r="JTP2"/>
      <c r="JTQ2"/>
      <c r="JTR2"/>
      <c r="JTS2"/>
      <c r="JTT2"/>
      <c r="JTU2"/>
      <c r="JTV2"/>
      <c r="JTW2"/>
      <c r="JTX2"/>
      <c r="JTY2"/>
      <c r="JTZ2"/>
      <c r="JUA2"/>
      <c r="JUB2"/>
      <c r="JUC2"/>
      <c r="JUD2"/>
      <c r="JUE2"/>
      <c r="JUF2"/>
      <c r="JUG2"/>
      <c r="JUH2"/>
      <c r="JUI2"/>
      <c r="JUJ2"/>
      <c r="JUK2"/>
      <c r="JUL2"/>
      <c r="JUM2"/>
      <c r="JUN2"/>
      <c r="JUO2"/>
      <c r="JUP2"/>
      <c r="JUQ2"/>
      <c r="JUR2"/>
      <c r="JUS2"/>
      <c r="JUT2"/>
      <c r="JUU2"/>
      <c r="JUV2"/>
      <c r="JUW2"/>
      <c r="JUX2"/>
      <c r="JUY2"/>
      <c r="JUZ2"/>
      <c r="JVA2"/>
      <c r="JVB2"/>
      <c r="JVC2"/>
      <c r="JVD2"/>
      <c r="JVE2"/>
      <c r="JVF2"/>
      <c r="JVG2"/>
      <c r="JVH2"/>
      <c r="JVI2"/>
      <c r="JVJ2"/>
      <c r="JVK2"/>
      <c r="JVL2"/>
      <c r="JVM2"/>
      <c r="JVN2"/>
      <c r="JVO2"/>
      <c r="JVP2"/>
      <c r="JVQ2"/>
      <c r="JVR2"/>
      <c r="JVS2"/>
      <c r="JVT2"/>
      <c r="JVU2"/>
      <c r="JVV2"/>
      <c r="JVW2"/>
      <c r="JVX2"/>
      <c r="JVY2"/>
      <c r="JVZ2"/>
      <c r="JWA2"/>
      <c r="JWB2"/>
      <c r="JWC2"/>
      <c r="JWD2"/>
      <c r="JWE2"/>
      <c r="JWF2"/>
      <c r="JWG2"/>
      <c r="JWH2"/>
      <c r="JWI2"/>
      <c r="JWJ2"/>
      <c r="JWK2"/>
      <c r="JWL2"/>
      <c r="JWM2"/>
      <c r="JWN2"/>
      <c r="JWO2"/>
      <c r="JWP2"/>
      <c r="JWQ2"/>
      <c r="JWR2"/>
      <c r="JWS2"/>
      <c r="JWT2"/>
      <c r="JWU2"/>
      <c r="JWV2"/>
      <c r="JWW2"/>
      <c r="JWX2"/>
      <c r="JWY2"/>
      <c r="JWZ2"/>
      <c r="JXA2"/>
      <c r="JXB2"/>
      <c r="JXC2"/>
      <c r="JXD2"/>
      <c r="JXE2"/>
      <c r="JXF2"/>
      <c r="JXG2"/>
      <c r="JXH2"/>
      <c r="JXI2"/>
      <c r="JXJ2"/>
      <c r="JXK2"/>
      <c r="JXL2"/>
      <c r="JXM2"/>
      <c r="JXN2"/>
      <c r="JXO2"/>
      <c r="JXP2"/>
      <c r="JXQ2"/>
      <c r="JXR2"/>
      <c r="JXS2"/>
      <c r="JXT2"/>
      <c r="JXU2"/>
      <c r="JXV2"/>
      <c r="JXW2"/>
      <c r="JXX2"/>
      <c r="JXY2"/>
      <c r="JXZ2"/>
      <c r="JYA2"/>
      <c r="JYB2"/>
      <c r="JYC2"/>
      <c r="JYD2"/>
      <c r="JYE2"/>
      <c r="JYF2"/>
      <c r="JYG2"/>
      <c r="JYH2"/>
      <c r="JYI2"/>
      <c r="JYJ2"/>
      <c r="JYK2"/>
      <c r="JYL2"/>
      <c r="JYM2"/>
      <c r="JYN2"/>
      <c r="JYO2"/>
      <c r="JYP2"/>
      <c r="JYQ2"/>
      <c r="JYR2"/>
      <c r="JYS2"/>
      <c r="JYT2"/>
      <c r="JYU2"/>
      <c r="JYV2"/>
      <c r="JYW2"/>
      <c r="JYX2"/>
      <c r="JYY2"/>
      <c r="JYZ2"/>
      <c r="JZA2"/>
      <c r="JZB2"/>
      <c r="JZC2"/>
      <c r="JZD2"/>
      <c r="JZE2"/>
      <c r="JZF2"/>
      <c r="JZG2"/>
      <c r="JZH2"/>
      <c r="JZI2"/>
      <c r="JZJ2"/>
      <c r="JZK2"/>
      <c r="JZL2"/>
      <c r="JZM2"/>
      <c r="JZN2"/>
      <c r="JZO2"/>
      <c r="JZP2"/>
      <c r="JZQ2"/>
      <c r="JZR2"/>
      <c r="JZS2"/>
      <c r="JZT2"/>
      <c r="JZU2"/>
      <c r="JZV2"/>
      <c r="JZW2"/>
      <c r="JZX2"/>
      <c r="JZY2"/>
      <c r="JZZ2"/>
      <c r="KAA2"/>
      <c r="KAB2"/>
      <c r="KAC2"/>
      <c r="KAD2"/>
      <c r="KAE2"/>
      <c r="KAF2"/>
      <c r="KAG2"/>
      <c r="KAH2"/>
      <c r="KAI2"/>
      <c r="KAJ2"/>
      <c r="KAK2"/>
      <c r="KAL2"/>
      <c r="KAM2"/>
      <c r="KAN2"/>
      <c r="KAO2"/>
      <c r="KAP2"/>
      <c r="KAQ2"/>
      <c r="KAR2"/>
      <c r="KAS2"/>
      <c r="KAT2"/>
      <c r="KAU2"/>
      <c r="KAV2"/>
      <c r="KAW2"/>
      <c r="KAX2"/>
      <c r="KAY2"/>
      <c r="KAZ2"/>
      <c r="KBA2"/>
      <c r="KBB2"/>
      <c r="KBC2"/>
      <c r="KBD2"/>
      <c r="KBE2"/>
      <c r="KBF2"/>
      <c r="KBG2"/>
      <c r="KBH2"/>
      <c r="KBI2"/>
      <c r="KBJ2"/>
      <c r="KBK2"/>
      <c r="KBL2"/>
      <c r="KBM2"/>
      <c r="KBN2"/>
      <c r="KBO2"/>
      <c r="KBP2"/>
      <c r="KBQ2"/>
      <c r="KBR2"/>
      <c r="KBS2"/>
      <c r="KBT2"/>
      <c r="KBU2"/>
      <c r="KBV2"/>
      <c r="KBW2"/>
      <c r="KBX2"/>
      <c r="KBY2"/>
      <c r="KBZ2"/>
      <c r="KCA2"/>
      <c r="KCB2"/>
      <c r="KCC2"/>
      <c r="KCD2"/>
      <c r="KCE2"/>
      <c r="KCF2"/>
      <c r="KCG2"/>
      <c r="KCH2"/>
      <c r="KCI2"/>
      <c r="KCJ2"/>
      <c r="KCK2"/>
      <c r="KCL2"/>
      <c r="KCM2"/>
      <c r="KCN2"/>
      <c r="KCO2"/>
      <c r="KCP2"/>
      <c r="KCQ2"/>
      <c r="KCR2"/>
      <c r="KCS2"/>
      <c r="KCT2"/>
      <c r="KCU2"/>
      <c r="KCV2"/>
      <c r="KCW2"/>
      <c r="KCX2"/>
      <c r="KCY2"/>
      <c r="KCZ2"/>
      <c r="KDA2"/>
      <c r="KDB2"/>
      <c r="KDC2"/>
      <c r="KDD2"/>
      <c r="KDE2"/>
      <c r="KDF2"/>
      <c r="KDG2"/>
      <c r="KDH2"/>
      <c r="KDI2"/>
      <c r="KDJ2"/>
      <c r="KDK2"/>
      <c r="KDL2"/>
      <c r="KDM2"/>
      <c r="KDN2"/>
      <c r="KDO2"/>
      <c r="KDP2"/>
      <c r="KDQ2"/>
      <c r="KDR2"/>
      <c r="KDS2"/>
      <c r="KDT2"/>
      <c r="KDU2"/>
      <c r="KDV2"/>
      <c r="KDW2"/>
      <c r="KDX2"/>
      <c r="KDY2"/>
      <c r="KDZ2"/>
      <c r="KEA2"/>
      <c r="KEB2"/>
      <c r="KEC2"/>
      <c r="KED2"/>
      <c r="KEE2"/>
      <c r="KEF2"/>
      <c r="KEG2"/>
      <c r="KEH2"/>
      <c r="KEI2"/>
      <c r="KEJ2"/>
      <c r="KEK2"/>
      <c r="KEL2"/>
      <c r="KEM2"/>
      <c r="KEN2"/>
      <c r="KEO2"/>
      <c r="KEP2"/>
      <c r="KEQ2"/>
      <c r="KER2"/>
      <c r="KES2"/>
      <c r="KET2"/>
      <c r="KEU2"/>
      <c r="KEV2"/>
      <c r="KEW2"/>
      <c r="KEX2"/>
      <c r="KEY2"/>
      <c r="KEZ2"/>
      <c r="KFA2"/>
      <c r="KFB2"/>
      <c r="KFC2"/>
      <c r="KFD2"/>
      <c r="KFE2"/>
      <c r="KFF2"/>
      <c r="KFG2"/>
      <c r="KFH2"/>
      <c r="KFI2"/>
      <c r="KFJ2"/>
      <c r="KFK2"/>
      <c r="KFL2"/>
      <c r="KFM2"/>
      <c r="KFN2"/>
      <c r="KFO2"/>
      <c r="KFP2"/>
      <c r="KFQ2"/>
      <c r="KFR2"/>
      <c r="KFS2"/>
      <c r="KFT2"/>
      <c r="KFU2"/>
      <c r="KFV2"/>
      <c r="KFW2"/>
      <c r="KFX2"/>
      <c r="KFY2"/>
      <c r="KFZ2"/>
      <c r="KGA2"/>
      <c r="KGB2"/>
      <c r="KGC2"/>
      <c r="KGD2"/>
      <c r="KGE2"/>
      <c r="KGF2"/>
      <c r="KGG2"/>
      <c r="KGH2"/>
      <c r="KGI2"/>
      <c r="KGJ2"/>
      <c r="KGK2"/>
      <c r="KGL2"/>
      <c r="KGM2"/>
      <c r="KGN2"/>
      <c r="KGO2"/>
      <c r="KGP2"/>
      <c r="KGQ2"/>
      <c r="KGR2"/>
      <c r="KGS2"/>
      <c r="KGT2"/>
      <c r="KGU2"/>
      <c r="KGV2"/>
      <c r="KGW2"/>
      <c r="KGX2"/>
      <c r="KGY2"/>
      <c r="KGZ2"/>
      <c r="KHA2"/>
      <c r="KHB2"/>
      <c r="KHC2"/>
      <c r="KHD2"/>
      <c r="KHE2"/>
      <c r="KHF2"/>
      <c r="KHG2"/>
      <c r="KHH2"/>
      <c r="KHI2"/>
      <c r="KHJ2"/>
      <c r="KHK2"/>
      <c r="KHL2"/>
      <c r="KHM2"/>
      <c r="KHN2"/>
      <c r="KHO2"/>
      <c r="KHP2"/>
      <c r="KHQ2"/>
      <c r="KHR2"/>
      <c r="KHS2"/>
      <c r="KHT2"/>
      <c r="KHU2"/>
      <c r="KHV2"/>
      <c r="KHW2"/>
      <c r="KHX2"/>
      <c r="KHY2"/>
      <c r="KHZ2"/>
      <c r="KIA2"/>
      <c r="KIB2"/>
      <c r="KIC2"/>
      <c r="KID2"/>
      <c r="KIE2"/>
      <c r="KIF2"/>
      <c r="KIG2"/>
      <c r="KIH2"/>
      <c r="KII2"/>
      <c r="KIJ2"/>
      <c r="KIK2"/>
      <c r="KIL2"/>
      <c r="KIM2"/>
      <c r="KIN2"/>
      <c r="KIO2"/>
      <c r="KIP2"/>
      <c r="KIQ2"/>
      <c r="KIR2"/>
      <c r="KIS2"/>
      <c r="KIT2"/>
      <c r="KIU2"/>
      <c r="KIV2"/>
      <c r="KIW2"/>
      <c r="KIX2"/>
      <c r="KIY2"/>
      <c r="KIZ2"/>
      <c r="KJA2"/>
      <c r="KJB2"/>
      <c r="KJC2"/>
      <c r="KJD2"/>
      <c r="KJE2"/>
      <c r="KJF2"/>
      <c r="KJG2"/>
      <c r="KJH2"/>
      <c r="KJI2"/>
      <c r="KJJ2"/>
      <c r="KJK2"/>
      <c r="KJL2"/>
      <c r="KJM2"/>
      <c r="KJN2"/>
      <c r="KJO2"/>
      <c r="KJP2"/>
      <c r="KJQ2"/>
      <c r="KJR2"/>
      <c r="KJS2"/>
      <c r="KJT2"/>
      <c r="KJU2"/>
      <c r="KJV2"/>
      <c r="KJW2"/>
      <c r="KJX2"/>
      <c r="KJY2"/>
      <c r="KJZ2"/>
      <c r="KKA2"/>
      <c r="KKB2"/>
      <c r="KKC2"/>
      <c r="KKD2"/>
      <c r="KKE2"/>
      <c r="KKF2"/>
      <c r="KKG2"/>
      <c r="KKH2"/>
      <c r="KKI2"/>
      <c r="KKJ2"/>
      <c r="KKK2"/>
      <c r="KKL2"/>
      <c r="KKM2"/>
      <c r="KKN2"/>
      <c r="KKO2"/>
      <c r="KKP2"/>
      <c r="KKQ2"/>
      <c r="KKR2"/>
      <c r="KKS2"/>
      <c r="KKT2"/>
      <c r="KKU2"/>
      <c r="KKV2"/>
      <c r="KKW2"/>
      <c r="KKX2"/>
      <c r="KKY2"/>
      <c r="KKZ2"/>
      <c r="KLA2"/>
      <c r="KLB2"/>
      <c r="KLC2"/>
      <c r="KLD2"/>
      <c r="KLE2"/>
      <c r="KLF2"/>
      <c r="KLG2"/>
      <c r="KLH2"/>
      <c r="KLI2"/>
      <c r="KLJ2"/>
      <c r="KLK2"/>
      <c r="KLL2"/>
      <c r="KLM2"/>
      <c r="KLN2"/>
      <c r="KLO2"/>
      <c r="KLP2"/>
      <c r="KLQ2"/>
      <c r="KLR2"/>
      <c r="KLS2"/>
      <c r="KLT2"/>
      <c r="KLU2"/>
      <c r="KLV2"/>
      <c r="KLW2"/>
      <c r="KLX2"/>
      <c r="KLY2"/>
      <c r="KLZ2"/>
      <c r="KMA2"/>
      <c r="KMB2"/>
      <c r="KMC2"/>
      <c r="KMD2"/>
      <c r="KME2"/>
      <c r="KMF2"/>
      <c r="KMG2"/>
      <c r="KMH2"/>
      <c r="KMI2"/>
      <c r="KMJ2"/>
      <c r="KMK2"/>
      <c r="KML2"/>
      <c r="KMM2"/>
      <c r="KMN2"/>
      <c r="KMO2"/>
      <c r="KMP2"/>
      <c r="KMQ2"/>
      <c r="KMR2"/>
      <c r="KMS2"/>
      <c r="KMT2"/>
      <c r="KMU2"/>
      <c r="KMV2"/>
      <c r="KMW2"/>
      <c r="KMX2"/>
      <c r="KMY2"/>
      <c r="KMZ2"/>
      <c r="KNA2"/>
      <c r="KNB2"/>
      <c r="KNC2"/>
      <c r="KND2"/>
      <c r="KNE2"/>
      <c r="KNF2"/>
      <c r="KNG2"/>
      <c r="KNH2"/>
      <c r="KNI2"/>
      <c r="KNJ2"/>
      <c r="KNK2"/>
      <c r="KNL2"/>
      <c r="KNM2"/>
      <c r="KNN2"/>
      <c r="KNO2"/>
      <c r="KNP2"/>
      <c r="KNQ2"/>
      <c r="KNR2"/>
      <c r="KNS2"/>
      <c r="KNT2"/>
      <c r="KNU2"/>
      <c r="KNV2"/>
      <c r="KNW2"/>
      <c r="KNX2"/>
      <c r="KNY2"/>
      <c r="KNZ2"/>
      <c r="KOA2"/>
      <c r="KOB2"/>
      <c r="KOC2"/>
      <c r="KOD2"/>
      <c r="KOE2"/>
      <c r="KOF2"/>
      <c r="KOG2"/>
      <c r="KOH2"/>
      <c r="KOI2"/>
      <c r="KOJ2"/>
      <c r="KOK2"/>
      <c r="KOL2"/>
      <c r="KOM2"/>
      <c r="KON2"/>
      <c r="KOO2"/>
      <c r="KOP2"/>
      <c r="KOQ2"/>
      <c r="KOR2"/>
      <c r="KOS2"/>
      <c r="KOT2"/>
      <c r="KOU2"/>
      <c r="KOV2"/>
      <c r="KOW2"/>
      <c r="KOX2"/>
      <c r="KOY2"/>
      <c r="KOZ2"/>
      <c r="KPA2"/>
      <c r="KPB2"/>
      <c r="KPC2"/>
      <c r="KPD2"/>
      <c r="KPE2"/>
      <c r="KPF2"/>
      <c r="KPG2"/>
      <c r="KPH2"/>
      <c r="KPI2"/>
      <c r="KPJ2"/>
      <c r="KPK2"/>
      <c r="KPL2"/>
      <c r="KPM2"/>
      <c r="KPN2"/>
      <c r="KPO2"/>
      <c r="KPP2"/>
      <c r="KPQ2"/>
      <c r="KPR2"/>
      <c r="KPS2"/>
      <c r="KPT2"/>
      <c r="KPU2"/>
      <c r="KPV2"/>
      <c r="KPW2"/>
      <c r="KPX2"/>
      <c r="KPY2"/>
      <c r="KPZ2"/>
      <c r="KQA2"/>
      <c r="KQB2"/>
      <c r="KQC2"/>
      <c r="KQD2"/>
      <c r="KQE2"/>
      <c r="KQF2"/>
      <c r="KQG2"/>
      <c r="KQH2"/>
      <c r="KQI2"/>
      <c r="KQJ2"/>
      <c r="KQK2"/>
      <c r="KQL2"/>
      <c r="KQM2"/>
      <c r="KQN2"/>
      <c r="KQO2"/>
      <c r="KQP2"/>
      <c r="KQQ2"/>
      <c r="KQR2"/>
      <c r="KQS2"/>
      <c r="KQT2"/>
      <c r="KQU2"/>
      <c r="KQV2"/>
      <c r="KQW2"/>
      <c r="KQX2"/>
      <c r="KQY2"/>
      <c r="KQZ2"/>
      <c r="KRA2"/>
      <c r="KRB2"/>
      <c r="KRC2"/>
      <c r="KRD2"/>
      <c r="KRE2"/>
      <c r="KRF2"/>
      <c r="KRG2"/>
      <c r="KRH2"/>
      <c r="KRI2"/>
      <c r="KRJ2"/>
      <c r="KRK2"/>
      <c r="KRL2"/>
      <c r="KRM2"/>
      <c r="KRN2"/>
      <c r="KRO2"/>
      <c r="KRP2"/>
      <c r="KRQ2"/>
      <c r="KRR2"/>
      <c r="KRS2"/>
      <c r="KRT2"/>
      <c r="KRU2"/>
      <c r="KRV2"/>
      <c r="KRW2"/>
      <c r="KRX2"/>
      <c r="KRY2"/>
      <c r="KRZ2"/>
      <c r="KSA2"/>
      <c r="KSB2"/>
      <c r="KSC2"/>
      <c r="KSD2"/>
      <c r="KSE2"/>
      <c r="KSF2"/>
      <c r="KSG2"/>
      <c r="KSH2"/>
      <c r="KSI2"/>
      <c r="KSJ2"/>
      <c r="KSK2"/>
      <c r="KSL2"/>
      <c r="KSM2"/>
      <c r="KSN2"/>
      <c r="KSO2"/>
      <c r="KSP2"/>
      <c r="KSQ2"/>
      <c r="KSR2"/>
      <c r="KSS2"/>
      <c r="KST2"/>
      <c r="KSU2"/>
      <c r="KSV2"/>
      <c r="KSW2"/>
      <c r="KSX2"/>
      <c r="KSY2"/>
      <c r="KSZ2"/>
      <c r="KTA2"/>
      <c r="KTB2"/>
      <c r="KTC2"/>
      <c r="KTD2"/>
      <c r="KTE2"/>
      <c r="KTF2"/>
      <c r="KTG2"/>
      <c r="KTH2"/>
      <c r="KTI2"/>
      <c r="KTJ2"/>
      <c r="KTK2"/>
      <c r="KTL2"/>
      <c r="KTM2"/>
      <c r="KTN2"/>
      <c r="KTO2"/>
      <c r="KTP2"/>
      <c r="KTQ2"/>
      <c r="KTR2"/>
      <c r="KTS2"/>
      <c r="KTT2"/>
      <c r="KTU2"/>
      <c r="KTV2"/>
      <c r="KTW2"/>
      <c r="KTX2"/>
      <c r="KTY2"/>
      <c r="KTZ2"/>
      <c r="KUA2"/>
      <c r="KUB2"/>
      <c r="KUC2"/>
      <c r="KUD2"/>
      <c r="KUE2"/>
      <c r="KUF2"/>
      <c r="KUG2"/>
      <c r="KUH2"/>
      <c r="KUI2"/>
      <c r="KUJ2"/>
      <c r="KUK2"/>
      <c r="KUL2"/>
      <c r="KUM2"/>
      <c r="KUN2"/>
      <c r="KUO2"/>
      <c r="KUP2"/>
      <c r="KUQ2"/>
      <c r="KUR2"/>
      <c r="KUS2"/>
      <c r="KUT2"/>
      <c r="KUU2"/>
      <c r="KUV2"/>
      <c r="KUW2"/>
      <c r="KUX2"/>
      <c r="KUY2"/>
      <c r="KUZ2"/>
      <c r="KVA2"/>
      <c r="KVB2"/>
      <c r="KVC2"/>
      <c r="KVD2"/>
      <c r="KVE2"/>
      <c r="KVF2"/>
      <c r="KVG2"/>
      <c r="KVH2"/>
      <c r="KVI2"/>
      <c r="KVJ2"/>
      <c r="KVK2"/>
      <c r="KVL2"/>
      <c r="KVM2"/>
      <c r="KVN2"/>
      <c r="KVO2"/>
      <c r="KVP2"/>
      <c r="KVQ2"/>
      <c r="KVR2"/>
      <c r="KVS2"/>
      <c r="KVT2"/>
      <c r="KVU2"/>
      <c r="KVV2"/>
      <c r="KVW2"/>
      <c r="KVX2"/>
      <c r="KVY2"/>
      <c r="KVZ2"/>
      <c r="KWA2"/>
      <c r="KWB2"/>
      <c r="KWC2"/>
      <c r="KWD2"/>
      <c r="KWE2"/>
      <c r="KWF2"/>
      <c r="KWG2"/>
      <c r="KWH2"/>
      <c r="KWI2"/>
      <c r="KWJ2"/>
      <c r="KWK2"/>
      <c r="KWL2"/>
      <c r="KWM2"/>
      <c r="KWN2"/>
      <c r="KWO2"/>
      <c r="KWP2"/>
      <c r="KWQ2"/>
      <c r="KWR2"/>
      <c r="KWS2"/>
      <c r="KWT2"/>
      <c r="KWU2"/>
      <c r="KWV2"/>
      <c r="KWW2"/>
      <c r="KWX2"/>
      <c r="KWY2"/>
      <c r="KWZ2"/>
      <c r="KXA2"/>
      <c r="KXB2"/>
      <c r="KXC2"/>
      <c r="KXD2"/>
      <c r="KXE2"/>
      <c r="KXF2"/>
      <c r="KXG2"/>
      <c r="KXH2"/>
      <c r="KXI2"/>
      <c r="KXJ2"/>
      <c r="KXK2"/>
      <c r="KXL2"/>
      <c r="KXM2"/>
      <c r="KXN2"/>
      <c r="KXO2"/>
      <c r="KXP2"/>
      <c r="KXQ2"/>
      <c r="KXR2"/>
      <c r="KXS2"/>
      <c r="KXT2"/>
      <c r="KXU2"/>
      <c r="KXV2"/>
      <c r="KXW2"/>
      <c r="KXX2"/>
      <c r="KXY2"/>
      <c r="KXZ2"/>
      <c r="KYA2"/>
      <c r="KYB2"/>
      <c r="KYC2"/>
      <c r="KYD2"/>
      <c r="KYE2"/>
      <c r="KYF2"/>
      <c r="KYG2"/>
      <c r="KYH2"/>
      <c r="KYI2"/>
      <c r="KYJ2"/>
      <c r="KYK2"/>
      <c r="KYL2"/>
      <c r="KYM2"/>
      <c r="KYN2"/>
      <c r="KYO2"/>
      <c r="KYP2"/>
      <c r="KYQ2"/>
      <c r="KYR2"/>
      <c r="KYS2"/>
      <c r="KYT2"/>
      <c r="KYU2"/>
      <c r="KYV2"/>
      <c r="KYW2"/>
      <c r="KYX2"/>
      <c r="KYY2"/>
      <c r="KYZ2"/>
      <c r="KZA2"/>
      <c r="KZB2"/>
      <c r="KZC2"/>
      <c r="KZD2"/>
      <c r="KZE2"/>
      <c r="KZF2"/>
      <c r="KZG2"/>
      <c r="KZH2"/>
      <c r="KZI2"/>
      <c r="KZJ2"/>
      <c r="KZK2"/>
      <c r="KZL2"/>
      <c r="KZM2"/>
      <c r="KZN2"/>
      <c r="KZO2"/>
      <c r="KZP2"/>
      <c r="KZQ2"/>
      <c r="KZR2"/>
      <c r="KZS2"/>
      <c r="KZT2"/>
      <c r="KZU2"/>
      <c r="KZV2"/>
      <c r="KZW2"/>
      <c r="KZX2"/>
      <c r="KZY2"/>
      <c r="KZZ2"/>
      <c r="LAA2"/>
      <c r="LAB2"/>
      <c r="LAC2"/>
      <c r="LAD2"/>
      <c r="LAE2"/>
      <c r="LAF2"/>
      <c r="LAG2"/>
      <c r="LAH2"/>
      <c r="LAI2"/>
      <c r="LAJ2"/>
      <c r="LAK2"/>
      <c r="LAL2"/>
      <c r="LAM2"/>
      <c r="LAN2"/>
      <c r="LAO2"/>
      <c r="LAP2"/>
      <c r="LAQ2"/>
      <c r="LAR2"/>
      <c r="LAS2"/>
      <c r="LAT2"/>
      <c r="LAU2"/>
      <c r="LAV2"/>
      <c r="LAW2"/>
      <c r="LAX2"/>
      <c r="LAY2"/>
      <c r="LAZ2"/>
      <c r="LBA2"/>
      <c r="LBB2"/>
      <c r="LBC2"/>
      <c r="LBD2"/>
      <c r="LBE2"/>
      <c r="LBF2"/>
      <c r="LBG2"/>
      <c r="LBH2"/>
      <c r="LBI2"/>
      <c r="LBJ2"/>
      <c r="LBK2"/>
      <c r="LBL2"/>
      <c r="LBM2"/>
      <c r="LBN2"/>
      <c r="LBO2"/>
      <c r="LBP2"/>
      <c r="LBQ2"/>
      <c r="LBR2"/>
      <c r="LBS2"/>
      <c r="LBT2"/>
      <c r="LBU2"/>
      <c r="LBV2"/>
      <c r="LBW2"/>
      <c r="LBX2"/>
      <c r="LBY2"/>
      <c r="LBZ2"/>
      <c r="LCA2"/>
      <c r="LCB2"/>
      <c r="LCC2"/>
      <c r="LCD2"/>
      <c r="LCE2"/>
      <c r="LCF2"/>
      <c r="LCG2"/>
      <c r="LCH2"/>
      <c r="LCI2"/>
      <c r="LCJ2"/>
      <c r="LCK2"/>
      <c r="LCL2"/>
      <c r="LCM2"/>
      <c r="LCN2"/>
      <c r="LCO2"/>
      <c r="LCP2"/>
      <c r="LCQ2"/>
      <c r="LCR2"/>
      <c r="LCS2"/>
      <c r="LCT2"/>
      <c r="LCU2"/>
      <c r="LCV2"/>
      <c r="LCW2"/>
      <c r="LCX2"/>
      <c r="LCY2"/>
      <c r="LCZ2"/>
      <c r="LDA2"/>
      <c r="LDB2"/>
      <c r="LDC2"/>
      <c r="LDD2"/>
      <c r="LDE2"/>
      <c r="LDF2"/>
      <c r="LDG2"/>
      <c r="LDH2"/>
      <c r="LDI2"/>
      <c r="LDJ2"/>
      <c r="LDK2"/>
      <c r="LDL2"/>
      <c r="LDM2"/>
      <c r="LDN2"/>
      <c r="LDO2"/>
      <c r="LDP2"/>
      <c r="LDQ2"/>
      <c r="LDR2"/>
      <c r="LDS2"/>
      <c r="LDT2"/>
      <c r="LDU2"/>
      <c r="LDV2"/>
      <c r="LDW2"/>
      <c r="LDX2"/>
      <c r="LDY2"/>
      <c r="LDZ2"/>
      <c r="LEA2"/>
      <c r="LEB2"/>
      <c r="LEC2"/>
      <c r="LED2"/>
      <c r="LEE2"/>
      <c r="LEF2"/>
      <c r="LEG2"/>
      <c r="LEH2"/>
      <c r="LEI2"/>
      <c r="LEJ2"/>
      <c r="LEK2"/>
      <c r="LEL2"/>
      <c r="LEM2"/>
      <c r="LEN2"/>
      <c r="LEO2"/>
      <c r="LEP2"/>
      <c r="LEQ2"/>
      <c r="LER2"/>
      <c r="LES2"/>
      <c r="LET2"/>
      <c r="LEU2"/>
      <c r="LEV2"/>
      <c r="LEW2"/>
      <c r="LEX2"/>
      <c r="LEY2"/>
      <c r="LEZ2"/>
      <c r="LFA2"/>
      <c r="LFB2"/>
      <c r="LFC2"/>
      <c r="LFD2"/>
      <c r="LFE2"/>
      <c r="LFF2"/>
      <c r="LFG2"/>
      <c r="LFH2"/>
      <c r="LFI2"/>
      <c r="LFJ2"/>
      <c r="LFK2"/>
      <c r="LFL2"/>
      <c r="LFM2"/>
      <c r="LFN2"/>
      <c r="LFO2"/>
      <c r="LFP2"/>
      <c r="LFQ2"/>
      <c r="LFR2"/>
      <c r="LFS2"/>
      <c r="LFT2"/>
      <c r="LFU2"/>
      <c r="LFV2"/>
      <c r="LFW2"/>
      <c r="LFX2"/>
      <c r="LFY2"/>
      <c r="LFZ2"/>
      <c r="LGA2"/>
      <c r="LGB2"/>
      <c r="LGC2"/>
      <c r="LGD2"/>
      <c r="LGE2"/>
      <c r="LGF2"/>
      <c r="LGG2"/>
      <c r="LGH2"/>
      <c r="LGI2"/>
      <c r="LGJ2"/>
      <c r="LGK2"/>
      <c r="LGL2"/>
      <c r="LGM2"/>
      <c r="LGN2"/>
      <c r="LGO2"/>
      <c r="LGP2"/>
      <c r="LGQ2"/>
      <c r="LGR2"/>
      <c r="LGS2"/>
      <c r="LGT2"/>
      <c r="LGU2"/>
      <c r="LGV2"/>
      <c r="LGW2"/>
      <c r="LGX2"/>
      <c r="LGY2"/>
      <c r="LGZ2"/>
      <c r="LHA2"/>
      <c r="LHB2"/>
      <c r="LHC2"/>
      <c r="LHD2"/>
      <c r="LHE2"/>
      <c r="LHF2"/>
      <c r="LHG2"/>
      <c r="LHH2"/>
      <c r="LHI2"/>
      <c r="LHJ2"/>
      <c r="LHK2"/>
      <c r="LHL2"/>
      <c r="LHM2"/>
      <c r="LHN2"/>
      <c r="LHO2"/>
      <c r="LHP2"/>
      <c r="LHQ2"/>
      <c r="LHR2"/>
      <c r="LHS2"/>
      <c r="LHT2"/>
      <c r="LHU2"/>
      <c r="LHV2"/>
      <c r="LHW2"/>
      <c r="LHX2"/>
      <c r="LHY2"/>
      <c r="LHZ2"/>
      <c r="LIA2"/>
      <c r="LIB2"/>
      <c r="LIC2"/>
      <c r="LID2"/>
      <c r="LIE2"/>
      <c r="LIF2"/>
      <c r="LIG2"/>
      <c r="LIH2"/>
      <c r="LII2"/>
      <c r="LIJ2"/>
      <c r="LIK2"/>
      <c r="LIL2"/>
      <c r="LIM2"/>
      <c r="LIN2"/>
      <c r="LIO2"/>
      <c r="LIP2"/>
      <c r="LIQ2"/>
      <c r="LIR2"/>
      <c r="LIS2"/>
      <c r="LIT2"/>
      <c r="LIU2"/>
      <c r="LIV2"/>
      <c r="LIW2"/>
      <c r="LIX2"/>
      <c r="LIY2"/>
      <c r="LIZ2"/>
      <c r="LJA2"/>
      <c r="LJB2"/>
      <c r="LJC2"/>
      <c r="LJD2"/>
      <c r="LJE2"/>
      <c r="LJF2"/>
      <c r="LJG2"/>
      <c r="LJH2"/>
      <c r="LJI2"/>
      <c r="LJJ2"/>
      <c r="LJK2"/>
      <c r="LJL2"/>
      <c r="LJM2"/>
      <c r="LJN2"/>
      <c r="LJO2"/>
      <c r="LJP2"/>
      <c r="LJQ2"/>
      <c r="LJR2"/>
      <c r="LJS2"/>
      <c r="LJT2"/>
      <c r="LJU2"/>
      <c r="LJV2"/>
      <c r="LJW2"/>
      <c r="LJX2"/>
      <c r="LJY2"/>
      <c r="LJZ2"/>
      <c r="LKA2"/>
      <c r="LKB2"/>
      <c r="LKC2"/>
      <c r="LKD2"/>
      <c r="LKE2"/>
      <c r="LKF2"/>
      <c r="LKG2"/>
      <c r="LKH2"/>
      <c r="LKI2"/>
      <c r="LKJ2"/>
      <c r="LKK2"/>
      <c r="LKL2"/>
      <c r="LKM2"/>
      <c r="LKN2"/>
      <c r="LKO2"/>
      <c r="LKP2"/>
      <c r="LKQ2"/>
      <c r="LKR2"/>
      <c r="LKS2"/>
      <c r="LKT2"/>
      <c r="LKU2"/>
      <c r="LKV2"/>
      <c r="LKW2"/>
      <c r="LKX2"/>
      <c r="LKY2"/>
      <c r="LKZ2"/>
      <c r="LLA2"/>
      <c r="LLB2"/>
      <c r="LLC2"/>
      <c r="LLD2"/>
      <c r="LLE2"/>
      <c r="LLF2"/>
      <c r="LLG2"/>
      <c r="LLH2"/>
      <c r="LLI2"/>
      <c r="LLJ2"/>
      <c r="LLK2"/>
      <c r="LLL2"/>
      <c r="LLM2"/>
      <c r="LLN2"/>
      <c r="LLO2"/>
      <c r="LLP2"/>
      <c r="LLQ2"/>
      <c r="LLR2"/>
      <c r="LLS2"/>
      <c r="LLT2"/>
      <c r="LLU2"/>
      <c r="LLV2"/>
      <c r="LLW2"/>
      <c r="LLX2"/>
      <c r="LLY2"/>
      <c r="LLZ2"/>
      <c r="LMA2"/>
      <c r="LMB2"/>
      <c r="LMC2"/>
      <c r="LMD2"/>
      <c r="LME2"/>
      <c r="LMF2"/>
      <c r="LMG2"/>
      <c r="LMH2"/>
      <c r="LMI2"/>
      <c r="LMJ2"/>
      <c r="LMK2"/>
      <c r="LML2"/>
      <c r="LMM2"/>
      <c r="LMN2"/>
      <c r="LMO2"/>
      <c r="LMP2"/>
      <c r="LMQ2"/>
      <c r="LMR2"/>
      <c r="LMS2"/>
      <c r="LMT2"/>
      <c r="LMU2"/>
      <c r="LMV2"/>
      <c r="LMW2"/>
      <c r="LMX2"/>
      <c r="LMY2"/>
      <c r="LMZ2"/>
      <c r="LNA2"/>
      <c r="LNB2"/>
      <c r="LNC2"/>
      <c r="LND2"/>
      <c r="LNE2"/>
      <c r="LNF2"/>
      <c r="LNG2"/>
      <c r="LNH2"/>
      <c r="LNI2"/>
      <c r="LNJ2"/>
      <c r="LNK2"/>
      <c r="LNL2"/>
      <c r="LNM2"/>
      <c r="LNN2"/>
      <c r="LNO2"/>
      <c r="LNP2"/>
      <c r="LNQ2"/>
      <c r="LNR2"/>
      <c r="LNS2"/>
      <c r="LNT2"/>
      <c r="LNU2"/>
      <c r="LNV2"/>
      <c r="LNW2"/>
      <c r="LNX2"/>
      <c r="LNY2"/>
      <c r="LNZ2"/>
      <c r="LOA2"/>
      <c r="LOB2"/>
      <c r="LOC2"/>
      <c r="LOD2"/>
      <c r="LOE2"/>
      <c r="LOF2"/>
      <c r="LOG2"/>
      <c r="LOH2"/>
      <c r="LOI2"/>
      <c r="LOJ2"/>
      <c r="LOK2"/>
      <c r="LOL2"/>
      <c r="LOM2"/>
      <c r="LON2"/>
      <c r="LOO2"/>
      <c r="LOP2"/>
      <c r="LOQ2"/>
      <c r="LOR2"/>
      <c r="LOS2"/>
      <c r="LOT2"/>
      <c r="LOU2"/>
      <c r="LOV2"/>
      <c r="LOW2"/>
      <c r="LOX2"/>
      <c r="LOY2"/>
      <c r="LOZ2"/>
      <c r="LPA2"/>
      <c r="LPB2"/>
      <c r="LPC2"/>
      <c r="LPD2"/>
      <c r="LPE2"/>
      <c r="LPF2"/>
      <c r="LPG2"/>
      <c r="LPH2"/>
      <c r="LPI2"/>
      <c r="LPJ2"/>
      <c r="LPK2"/>
      <c r="LPL2"/>
      <c r="LPM2"/>
      <c r="LPN2"/>
      <c r="LPO2"/>
      <c r="LPP2"/>
      <c r="LPQ2"/>
      <c r="LPR2"/>
      <c r="LPS2"/>
      <c r="LPT2"/>
      <c r="LPU2"/>
      <c r="LPV2"/>
      <c r="LPW2"/>
      <c r="LPX2"/>
      <c r="LPY2"/>
      <c r="LPZ2"/>
      <c r="LQA2"/>
      <c r="LQB2"/>
      <c r="LQC2"/>
      <c r="LQD2"/>
      <c r="LQE2"/>
      <c r="LQF2"/>
      <c r="LQG2"/>
      <c r="LQH2"/>
      <c r="LQI2"/>
      <c r="LQJ2"/>
      <c r="LQK2"/>
      <c r="LQL2"/>
      <c r="LQM2"/>
      <c r="LQN2"/>
      <c r="LQO2"/>
      <c r="LQP2"/>
      <c r="LQQ2"/>
      <c r="LQR2"/>
      <c r="LQS2"/>
      <c r="LQT2"/>
      <c r="LQU2"/>
      <c r="LQV2"/>
      <c r="LQW2"/>
      <c r="LQX2"/>
      <c r="LQY2"/>
      <c r="LQZ2"/>
      <c r="LRA2"/>
      <c r="LRB2"/>
      <c r="LRC2"/>
      <c r="LRD2"/>
      <c r="LRE2"/>
      <c r="LRF2"/>
      <c r="LRG2"/>
      <c r="LRH2"/>
      <c r="LRI2"/>
      <c r="LRJ2"/>
      <c r="LRK2"/>
      <c r="LRL2"/>
      <c r="LRM2"/>
      <c r="LRN2"/>
      <c r="LRO2"/>
      <c r="LRP2"/>
      <c r="LRQ2"/>
      <c r="LRR2"/>
      <c r="LRS2"/>
      <c r="LRT2"/>
      <c r="LRU2"/>
      <c r="LRV2"/>
      <c r="LRW2"/>
      <c r="LRX2"/>
      <c r="LRY2"/>
      <c r="LRZ2"/>
      <c r="LSA2"/>
      <c r="LSB2"/>
      <c r="LSC2"/>
      <c r="LSD2"/>
      <c r="LSE2"/>
      <c r="LSF2"/>
      <c r="LSG2"/>
      <c r="LSH2"/>
      <c r="LSI2"/>
      <c r="LSJ2"/>
      <c r="LSK2"/>
      <c r="LSL2"/>
      <c r="LSM2"/>
      <c r="LSN2"/>
      <c r="LSO2"/>
      <c r="LSP2"/>
      <c r="LSQ2"/>
      <c r="LSR2"/>
      <c r="LSS2"/>
      <c r="LST2"/>
      <c r="LSU2"/>
      <c r="LSV2"/>
      <c r="LSW2"/>
      <c r="LSX2"/>
      <c r="LSY2"/>
      <c r="LSZ2"/>
      <c r="LTA2"/>
      <c r="LTB2"/>
      <c r="LTC2"/>
      <c r="LTD2"/>
      <c r="LTE2"/>
      <c r="LTF2"/>
      <c r="LTG2"/>
      <c r="LTH2"/>
      <c r="LTI2"/>
      <c r="LTJ2"/>
      <c r="LTK2"/>
      <c r="LTL2"/>
      <c r="LTM2"/>
      <c r="LTN2"/>
      <c r="LTO2"/>
      <c r="LTP2"/>
      <c r="LTQ2"/>
      <c r="LTR2"/>
      <c r="LTS2"/>
      <c r="LTT2"/>
      <c r="LTU2"/>
      <c r="LTV2"/>
      <c r="LTW2"/>
      <c r="LTX2"/>
      <c r="LTY2"/>
      <c r="LTZ2"/>
      <c r="LUA2"/>
      <c r="LUB2"/>
      <c r="LUC2"/>
      <c r="LUD2"/>
      <c r="LUE2"/>
      <c r="LUF2"/>
      <c r="LUG2"/>
      <c r="LUH2"/>
      <c r="LUI2"/>
      <c r="LUJ2"/>
      <c r="LUK2"/>
      <c r="LUL2"/>
      <c r="LUM2"/>
      <c r="LUN2"/>
      <c r="LUO2"/>
      <c r="LUP2"/>
      <c r="LUQ2"/>
      <c r="LUR2"/>
      <c r="LUS2"/>
      <c r="LUT2"/>
      <c r="LUU2"/>
      <c r="LUV2"/>
      <c r="LUW2"/>
      <c r="LUX2"/>
      <c r="LUY2"/>
      <c r="LUZ2"/>
      <c r="LVA2"/>
      <c r="LVB2"/>
      <c r="LVC2"/>
      <c r="LVD2"/>
      <c r="LVE2"/>
      <c r="LVF2"/>
      <c r="LVG2"/>
      <c r="LVH2"/>
      <c r="LVI2"/>
      <c r="LVJ2"/>
      <c r="LVK2"/>
      <c r="LVL2"/>
      <c r="LVM2"/>
      <c r="LVN2"/>
      <c r="LVO2"/>
      <c r="LVP2"/>
      <c r="LVQ2"/>
      <c r="LVR2"/>
      <c r="LVS2"/>
      <c r="LVT2"/>
      <c r="LVU2"/>
      <c r="LVV2"/>
      <c r="LVW2"/>
      <c r="LVX2"/>
      <c r="LVY2"/>
      <c r="LVZ2"/>
      <c r="LWA2"/>
      <c r="LWB2"/>
      <c r="LWC2"/>
      <c r="LWD2"/>
      <c r="LWE2"/>
      <c r="LWF2"/>
      <c r="LWG2"/>
      <c r="LWH2"/>
      <c r="LWI2"/>
      <c r="LWJ2"/>
      <c r="LWK2"/>
      <c r="LWL2"/>
      <c r="LWM2"/>
      <c r="LWN2"/>
      <c r="LWO2"/>
      <c r="LWP2"/>
      <c r="LWQ2"/>
      <c r="LWR2"/>
      <c r="LWS2"/>
      <c r="LWT2"/>
      <c r="LWU2"/>
      <c r="LWV2"/>
      <c r="LWW2"/>
      <c r="LWX2"/>
      <c r="LWY2"/>
      <c r="LWZ2"/>
      <c r="LXA2"/>
      <c r="LXB2"/>
      <c r="LXC2"/>
      <c r="LXD2"/>
      <c r="LXE2"/>
      <c r="LXF2"/>
      <c r="LXG2"/>
      <c r="LXH2"/>
      <c r="LXI2"/>
      <c r="LXJ2"/>
      <c r="LXK2"/>
      <c r="LXL2"/>
      <c r="LXM2"/>
      <c r="LXN2"/>
      <c r="LXO2"/>
      <c r="LXP2"/>
      <c r="LXQ2"/>
      <c r="LXR2"/>
      <c r="LXS2"/>
      <c r="LXT2"/>
      <c r="LXU2"/>
      <c r="LXV2"/>
      <c r="LXW2"/>
      <c r="LXX2"/>
      <c r="LXY2"/>
      <c r="LXZ2"/>
      <c r="LYA2"/>
      <c r="LYB2"/>
      <c r="LYC2"/>
      <c r="LYD2"/>
      <c r="LYE2"/>
      <c r="LYF2"/>
      <c r="LYG2"/>
      <c r="LYH2"/>
      <c r="LYI2"/>
      <c r="LYJ2"/>
      <c r="LYK2"/>
      <c r="LYL2"/>
      <c r="LYM2"/>
      <c r="LYN2"/>
      <c r="LYO2"/>
      <c r="LYP2"/>
      <c r="LYQ2"/>
      <c r="LYR2"/>
      <c r="LYS2"/>
      <c r="LYT2"/>
      <c r="LYU2"/>
      <c r="LYV2"/>
      <c r="LYW2"/>
      <c r="LYX2"/>
      <c r="LYY2"/>
      <c r="LYZ2"/>
      <c r="LZA2"/>
      <c r="LZB2"/>
      <c r="LZC2"/>
      <c r="LZD2"/>
      <c r="LZE2"/>
      <c r="LZF2"/>
      <c r="LZG2"/>
      <c r="LZH2"/>
      <c r="LZI2"/>
      <c r="LZJ2"/>
      <c r="LZK2"/>
      <c r="LZL2"/>
      <c r="LZM2"/>
      <c r="LZN2"/>
      <c r="LZO2"/>
      <c r="LZP2"/>
      <c r="LZQ2"/>
      <c r="LZR2"/>
      <c r="LZS2"/>
      <c r="LZT2"/>
      <c r="LZU2"/>
      <c r="LZV2"/>
      <c r="LZW2"/>
      <c r="LZX2"/>
      <c r="LZY2"/>
      <c r="LZZ2"/>
      <c r="MAA2"/>
      <c r="MAB2"/>
      <c r="MAC2"/>
      <c r="MAD2"/>
      <c r="MAE2"/>
      <c r="MAF2"/>
      <c r="MAG2"/>
      <c r="MAH2"/>
      <c r="MAI2"/>
      <c r="MAJ2"/>
      <c r="MAK2"/>
      <c r="MAL2"/>
      <c r="MAM2"/>
      <c r="MAN2"/>
      <c r="MAO2"/>
      <c r="MAP2"/>
      <c r="MAQ2"/>
      <c r="MAR2"/>
      <c r="MAS2"/>
      <c r="MAT2"/>
      <c r="MAU2"/>
      <c r="MAV2"/>
      <c r="MAW2"/>
      <c r="MAX2"/>
      <c r="MAY2"/>
      <c r="MAZ2"/>
      <c r="MBA2"/>
      <c r="MBB2"/>
      <c r="MBC2"/>
      <c r="MBD2"/>
      <c r="MBE2"/>
      <c r="MBF2"/>
      <c r="MBG2"/>
      <c r="MBH2"/>
      <c r="MBI2"/>
      <c r="MBJ2"/>
      <c r="MBK2"/>
      <c r="MBL2"/>
      <c r="MBM2"/>
      <c r="MBN2"/>
      <c r="MBO2"/>
      <c r="MBP2"/>
      <c r="MBQ2"/>
      <c r="MBR2"/>
      <c r="MBS2"/>
      <c r="MBT2"/>
      <c r="MBU2"/>
      <c r="MBV2"/>
      <c r="MBW2"/>
      <c r="MBX2"/>
      <c r="MBY2"/>
      <c r="MBZ2"/>
      <c r="MCA2"/>
      <c r="MCB2"/>
      <c r="MCC2"/>
      <c r="MCD2"/>
      <c r="MCE2"/>
      <c r="MCF2"/>
      <c r="MCG2"/>
      <c r="MCH2"/>
      <c r="MCI2"/>
      <c r="MCJ2"/>
      <c r="MCK2"/>
      <c r="MCL2"/>
      <c r="MCM2"/>
      <c r="MCN2"/>
      <c r="MCO2"/>
      <c r="MCP2"/>
      <c r="MCQ2"/>
      <c r="MCR2"/>
      <c r="MCS2"/>
      <c r="MCT2"/>
      <c r="MCU2"/>
      <c r="MCV2"/>
      <c r="MCW2"/>
      <c r="MCX2"/>
      <c r="MCY2"/>
      <c r="MCZ2"/>
      <c r="MDA2"/>
      <c r="MDB2"/>
      <c r="MDC2"/>
      <c r="MDD2"/>
      <c r="MDE2"/>
      <c r="MDF2"/>
      <c r="MDG2"/>
      <c r="MDH2"/>
      <c r="MDI2"/>
      <c r="MDJ2"/>
      <c r="MDK2"/>
      <c r="MDL2"/>
      <c r="MDM2"/>
      <c r="MDN2"/>
      <c r="MDO2"/>
      <c r="MDP2"/>
      <c r="MDQ2"/>
      <c r="MDR2"/>
      <c r="MDS2"/>
      <c r="MDT2"/>
      <c r="MDU2"/>
      <c r="MDV2"/>
      <c r="MDW2"/>
      <c r="MDX2"/>
      <c r="MDY2"/>
      <c r="MDZ2"/>
      <c r="MEA2"/>
      <c r="MEB2"/>
      <c r="MEC2"/>
      <c r="MED2"/>
      <c r="MEE2"/>
      <c r="MEF2"/>
      <c r="MEG2"/>
      <c r="MEH2"/>
      <c r="MEI2"/>
      <c r="MEJ2"/>
      <c r="MEK2"/>
      <c r="MEL2"/>
      <c r="MEM2"/>
      <c r="MEN2"/>
      <c r="MEO2"/>
      <c r="MEP2"/>
      <c r="MEQ2"/>
      <c r="MER2"/>
      <c r="MES2"/>
      <c r="MET2"/>
      <c r="MEU2"/>
      <c r="MEV2"/>
      <c r="MEW2"/>
      <c r="MEX2"/>
      <c r="MEY2"/>
      <c r="MEZ2"/>
      <c r="MFA2"/>
      <c r="MFB2"/>
      <c r="MFC2"/>
      <c r="MFD2"/>
      <c r="MFE2"/>
      <c r="MFF2"/>
      <c r="MFG2"/>
      <c r="MFH2"/>
      <c r="MFI2"/>
      <c r="MFJ2"/>
      <c r="MFK2"/>
      <c r="MFL2"/>
      <c r="MFM2"/>
      <c r="MFN2"/>
      <c r="MFO2"/>
      <c r="MFP2"/>
      <c r="MFQ2"/>
      <c r="MFR2"/>
      <c r="MFS2"/>
      <c r="MFT2"/>
      <c r="MFU2"/>
      <c r="MFV2"/>
      <c r="MFW2"/>
      <c r="MFX2"/>
      <c r="MFY2"/>
      <c r="MFZ2"/>
      <c r="MGA2"/>
      <c r="MGB2"/>
      <c r="MGC2"/>
      <c r="MGD2"/>
      <c r="MGE2"/>
      <c r="MGF2"/>
      <c r="MGG2"/>
      <c r="MGH2"/>
      <c r="MGI2"/>
      <c r="MGJ2"/>
      <c r="MGK2"/>
      <c r="MGL2"/>
      <c r="MGM2"/>
      <c r="MGN2"/>
      <c r="MGO2"/>
      <c r="MGP2"/>
      <c r="MGQ2"/>
      <c r="MGR2"/>
      <c r="MGS2"/>
      <c r="MGT2"/>
      <c r="MGU2"/>
      <c r="MGV2"/>
      <c r="MGW2"/>
      <c r="MGX2"/>
      <c r="MGY2"/>
      <c r="MGZ2"/>
      <c r="MHA2"/>
      <c r="MHB2"/>
      <c r="MHC2"/>
      <c r="MHD2"/>
      <c r="MHE2"/>
      <c r="MHF2"/>
      <c r="MHG2"/>
      <c r="MHH2"/>
      <c r="MHI2"/>
      <c r="MHJ2"/>
      <c r="MHK2"/>
      <c r="MHL2"/>
      <c r="MHM2"/>
      <c r="MHN2"/>
      <c r="MHO2"/>
      <c r="MHP2"/>
      <c r="MHQ2"/>
      <c r="MHR2"/>
      <c r="MHS2"/>
      <c r="MHT2"/>
      <c r="MHU2"/>
      <c r="MHV2"/>
      <c r="MHW2"/>
      <c r="MHX2"/>
      <c r="MHY2"/>
      <c r="MHZ2"/>
      <c r="MIA2"/>
      <c r="MIB2"/>
      <c r="MIC2"/>
      <c r="MID2"/>
      <c r="MIE2"/>
      <c r="MIF2"/>
      <c r="MIG2"/>
      <c r="MIH2"/>
      <c r="MII2"/>
      <c r="MIJ2"/>
      <c r="MIK2"/>
      <c r="MIL2"/>
      <c r="MIM2"/>
      <c r="MIN2"/>
      <c r="MIO2"/>
      <c r="MIP2"/>
      <c r="MIQ2"/>
      <c r="MIR2"/>
      <c r="MIS2"/>
      <c r="MIT2"/>
      <c r="MIU2"/>
      <c r="MIV2"/>
      <c r="MIW2"/>
      <c r="MIX2"/>
      <c r="MIY2"/>
      <c r="MIZ2"/>
      <c r="MJA2"/>
      <c r="MJB2"/>
      <c r="MJC2"/>
      <c r="MJD2"/>
      <c r="MJE2"/>
      <c r="MJF2"/>
      <c r="MJG2"/>
      <c r="MJH2"/>
      <c r="MJI2"/>
      <c r="MJJ2"/>
      <c r="MJK2"/>
      <c r="MJL2"/>
      <c r="MJM2"/>
      <c r="MJN2"/>
      <c r="MJO2"/>
      <c r="MJP2"/>
      <c r="MJQ2"/>
      <c r="MJR2"/>
      <c r="MJS2"/>
      <c r="MJT2"/>
      <c r="MJU2"/>
      <c r="MJV2"/>
      <c r="MJW2"/>
      <c r="MJX2"/>
      <c r="MJY2"/>
      <c r="MJZ2"/>
      <c r="MKA2"/>
      <c r="MKB2"/>
      <c r="MKC2"/>
      <c r="MKD2"/>
      <c r="MKE2"/>
      <c r="MKF2"/>
      <c r="MKG2"/>
      <c r="MKH2"/>
      <c r="MKI2"/>
      <c r="MKJ2"/>
      <c r="MKK2"/>
      <c r="MKL2"/>
      <c r="MKM2"/>
      <c r="MKN2"/>
      <c r="MKO2"/>
      <c r="MKP2"/>
      <c r="MKQ2"/>
      <c r="MKR2"/>
      <c r="MKS2"/>
      <c r="MKT2"/>
      <c r="MKU2"/>
      <c r="MKV2"/>
      <c r="MKW2"/>
      <c r="MKX2"/>
      <c r="MKY2"/>
      <c r="MKZ2"/>
      <c r="MLA2"/>
      <c r="MLB2"/>
      <c r="MLC2"/>
      <c r="MLD2"/>
      <c r="MLE2"/>
      <c r="MLF2"/>
      <c r="MLG2"/>
      <c r="MLH2"/>
      <c r="MLI2"/>
      <c r="MLJ2"/>
      <c r="MLK2"/>
      <c r="MLL2"/>
      <c r="MLM2"/>
      <c r="MLN2"/>
      <c r="MLO2"/>
      <c r="MLP2"/>
      <c r="MLQ2"/>
      <c r="MLR2"/>
      <c r="MLS2"/>
      <c r="MLT2"/>
      <c r="MLU2"/>
      <c r="MLV2"/>
      <c r="MLW2"/>
      <c r="MLX2"/>
      <c r="MLY2"/>
      <c r="MLZ2"/>
      <c r="MMA2"/>
      <c r="MMB2"/>
      <c r="MMC2"/>
      <c r="MMD2"/>
      <c r="MME2"/>
      <c r="MMF2"/>
      <c r="MMG2"/>
      <c r="MMH2"/>
      <c r="MMI2"/>
      <c r="MMJ2"/>
      <c r="MMK2"/>
      <c r="MML2"/>
      <c r="MMM2"/>
      <c r="MMN2"/>
      <c r="MMO2"/>
      <c r="MMP2"/>
      <c r="MMQ2"/>
      <c r="MMR2"/>
      <c r="MMS2"/>
      <c r="MMT2"/>
      <c r="MMU2"/>
      <c r="MMV2"/>
      <c r="MMW2"/>
      <c r="MMX2"/>
      <c r="MMY2"/>
      <c r="MMZ2"/>
      <c r="MNA2"/>
      <c r="MNB2"/>
      <c r="MNC2"/>
      <c r="MND2"/>
      <c r="MNE2"/>
      <c r="MNF2"/>
      <c r="MNG2"/>
      <c r="MNH2"/>
      <c r="MNI2"/>
      <c r="MNJ2"/>
      <c r="MNK2"/>
      <c r="MNL2"/>
      <c r="MNM2"/>
      <c r="MNN2"/>
      <c r="MNO2"/>
      <c r="MNP2"/>
      <c r="MNQ2"/>
      <c r="MNR2"/>
      <c r="MNS2"/>
      <c r="MNT2"/>
      <c r="MNU2"/>
      <c r="MNV2"/>
      <c r="MNW2"/>
      <c r="MNX2"/>
      <c r="MNY2"/>
      <c r="MNZ2"/>
      <c r="MOA2"/>
      <c r="MOB2"/>
      <c r="MOC2"/>
      <c r="MOD2"/>
      <c r="MOE2"/>
      <c r="MOF2"/>
      <c r="MOG2"/>
      <c r="MOH2"/>
      <c r="MOI2"/>
      <c r="MOJ2"/>
      <c r="MOK2"/>
      <c r="MOL2"/>
      <c r="MOM2"/>
      <c r="MON2"/>
      <c r="MOO2"/>
      <c r="MOP2"/>
      <c r="MOQ2"/>
      <c r="MOR2"/>
      <c r="MOS2"/>
      <c r="MOT2"/>
      <c r="MOU2"/>
      <c r="MOV2"/>
      <c r="MOW2"/>
      <c r="MOX2"/>
      <c r="MOY2"/>
      <c r="MOZ2"/>
      <c r="MPA2"/>
      <c r="MPB2"/>
      <c r="MPC2"/>
      <c r="MPD2"/>
      <c r="MPE2"/>
      <c r="MPF2"/>
      <c r="MPG2"/>
      <c r="MPH2"/>
      <c r="MPI2"/>
      <c r="MPJ2"/>
      <c r="MPK2"/>
      <c r="MPL2"/>
      <c r="MPM2"/>
      <c r="MPN2"/>
      <c r="MPO2"/>
      <c r="MPP2"/>
      <c r="MPQ2"/>
      <c r="MPR2"/>
      <c r="MPS2"/>
      <c r="MPT2"/>
      <c r="MPU2"/>
      <c r="MPV2"/>
      <c r="MPW2"/>
      <c r="MPX2"/>
      <c r="MPY2"/>
      <c r="MPZ2"/>
      <c r="MQA2"/>
      <c r="MQB2"/>
      <c r="MQC2"/>
      <c r="MQD2"/>
      <c r="MQE2"/>
      <c r="MQF2"/>
      <c r="MQG2"/>
      <c r="MQH2"/>
      <c r="MQI2"/>
      <c r="MQJ2"/>
      <c r="MQK2"/>
      <c r="MQL2"/>
      <c r="MQM2"/>
      <c r="MQN2"/>
      <c r="MQO2"/>
      <c r="MQP2"/>
      <c r="MQQ2"/>
      <c r="MQR2"/>
      <c r="MQS2"/>
      <c r="MQT2"/>
      <c r="MQU2"/>
      <c r="MQV2"/>
      <c r="MQW2"/>
      <c r="MQX2"/>
      <c r="MQY2"/>
      <c r="MQZ2"/>
      <c r="MRA2"/>
      <c r="MRB2"/>
      <c r="MRC2"/>
      <c r="MRD2"/>
      <c r="MRE2"/>
      <c r="MRF2"/>
      <c r="MRG2"/>
      <c r="MRH2"/>
      <c r="MRI2"/>
      <c r="MRJ2"/>
      <c r="MRK2"/>
      <c r="MRL2"/>
      <c r="MRM2"/>
      <c r="MRN2"/>
      <c r="MRO2"/>
      <c r="MRP2"/>
      <c r="MRQ2"/>
      <c r="MRR2"/>
      <c r="MRS2"/>
      <c r="MRT2"/>
      <c r="MRU2"/>
      <c r="MRV2"/>
      <c r="MRW2"/>
      <c r="MRX2"/>
      <c r="MRY2"/>
      <c r="MRZ2"/>
      <c r="MSA2"/>
      <c r="MSB2"/>
      <c r="MSC2"/>
      <c r="MSD2"/>
      <c r="MSE2"/>
      <c r="MSF2"/>
      <c r="MSG2"/>
      <c r="MSH2"/>
      <c r="MSI2"/>
      <c r="MSJ2"/>
      <c r="MSK2"/>
      <c r="MSL2"/>
      <c r="MSM2"/>
      <c r="MSN2"/>
      <c r="MSO2"/>
      <c r="MSP2"/>
      <c r="MSQ2"/>
      <c r="MSR2"/>
      <c r="MSS2"/>
      <c r="MST2"/>
      <c r="MSU2"/>
      <c r="MSV2"/>
      <c r="MSW2"/>
      <c r="MSX2"/>
      <c r="MSY2"/>
      <c r="MSZ2"/>
      <c r="MTA2"/>
      <c r="MTB2"/>
      <c r="MTC2"/>
      <c r="MTD2"/>
      <c r="MTE2"/>
      <c r="MTF2"/>
      <c r="MTG2"/>
      <c r="MTH2"/>
      <c r="MTI2"/>
      <c r="MTJ2"/>
      <c r="MTK2"/>
      <c r="MTL2"/>
      <c r="MTM2"/>
      <c r="MTN2"/>
      <c r="MTO2"/>
      <c r="MTP2"/>
      <c r="MTQ2"/>
      <c r="MTR2"/>
      <c r="MTS2"/>
      <c r="MTT2"/>
      <c r="MTU2"/>
      <c r="MTV2"/>
      <c r="MTW2"/>
      <c r="MTX2"/>
      <c r="MTY2"/>
      <c r="MTZ2"/>
      <c r="MUA2"/>
      <c r="MUB2"/>
      <c r="MUC2"/>
      <c r="MUD2"/>
      <c r="MUE2"/>
      <c r="MUF2"/>
      <c r="MUG2"/>
      <c r="MUH2"/>
      <c r="MUI2"/>
      <c r="MUJ2"/>
      <c r="MUK2"/>
      <c r="MUL2"/>
      <c r="MUM2"/>
      <c r="MUN2"/>
      <c r="MUO2"/>
      <c r="MUP2"/>
      <c r="MUQ2"/>
      <c r="MUR2"/>
      <c r="MUS2"/>
      <c r="MUT2"/>
      <c r="MUU2"/>
      <c r="MUV2"/>
      <c r="MUW2"/>
      <c r="MUX2"/>
      <c r="MUY2"/>
      <c r="MUZ2"/>
      <c r="MVA2"/>
      <c r="MVB2"/>
      <c r="MVC2"/>
      <c r="MVD2"/>
      <c r="MVE2"/>
      <c r="MVF2"/>
      <c r="MVG2"/>
      <c r="MVH2"/>
      <c r="MVI2"/>
      <c r="MVJ2"/>
      <c r="MVK2"/>
      <c r="MVL2"/>
      <c r="MVM2"/>
      <c r="MVN2"/>
      <c r="MVO2"/>
      <c r="MVP2"/>
      <c r="MVQ2"/>
      <c r="MVR2"/>
      <c r="MVS2"/>
      <c r="MVT2"/>
      <c r="MVU2"/>
      <c r="MVV2"/>
      <c r="MVW2"/>
      <c r="MVX2"/>
      <c r="MVY2"/>
      <c r="MVZ2"/>
      <c r="MWA2"/>
      <c r="MWB2"/>
      <c r="MWC2"/>
      <c r="MWD2"/>
      <c r="MWE2"/>
      <c r="MWF2"/>
      <c r="MWG2"/>
      <c r="MWH2"/>
      <c r="MWI2"/>
      <c r="MWJ2"/>
      <c r="MWK2"/>
      <c r="MWL2"/>
      <c r="MWM2"/>
      <c r="MWN2"/>
      <c r="MWO2"/>
      <c r="MWP2"/>
      <c r="MWQ2"/>
      <c r="MWR2"/>
      <c r="MWS2"/>
      <c r="MWT2"/>
      <c r="MWU2"/>
      <c r="MWV2"/>
      <c r="MWW2"/>
      <c r="MWX2"/>
      <c r="MWY2"/>
      <c r="MWZ2"/>
      <c r="MXA2"/>
      <c r="MXB2"/>
      <c r="MXC2"/>
      <c r="MXD2"/>
      <c r="MXE2"/>
      <c r="MXF2"/>
      <c r="MXG2"/>
      <c r="MXH2"/>
      <c r="MXI2"/>
      <c r="MXJ2"/>
      <c r="MXK2"/>
      <c r="MXL2"/>
      <c r="MXM2"/>
      <c r="MXN2"/>
      <c r="MXO2"/>
      <c r="MXP2"/>
      <c r="MXQ2"/>
      <c r="MXR2"/>
      <c r="MXS2"/>
      <c r="MXT2"/>
      <c r="MXU2"/>
      <c r="MXV2"/>
      <c r="MXW2"/>
      <c r="MXX2"/>
      <c r="MXY2"/>
      <c r="MXZ2"/>
      <c r="MYA2"/>
      <c r="MYB2"/>
      <c r="MYC2"/>
      <c r="MYD2"/>
      <c r="MYE2"/>
      <c r="MYF2"/>
      <c r="MYG2"/>
      <c r="MYH2"/>
      <c r="MYI2"/>
      <c r="MYJ2"/>
      <c r="MYK2"/>
      <c r="MYL2"/>
      <c r="MYM2"/>
      <c r="MYN2"/>
      <c r="MYO2"/>
      <c r="MYP2"/>
      <c r="MYQ2"/>
      <c r="MYR2"/>
      <c r="MYS2"/>
      <c r="MYT2"/>
      <c r="MYU2"/>
      <c r="MYV2"/>
      <c r="MYW2"/>
      <c r="MYX2"/>
      <c r="MYY2"/>
      <c r="MYZ2"/>
      <c r="MZA2"/>
      <c r="MZB2"/>
      <c r="MZC2"/>
      <c r="MZD2"/>
      <c r="MZE2"/>
      <c r="MZF2"/>
      <c r="MZG2"/>
      <c r="MZH2"/>
      <c r="MZI2"/>
      <c r="MZJ2"/>
      <c r="MZK2"/>
      <c r="MZL2"/>
      <c r="MZM2"/>
      <c r="MZN2"/>
      <c r="MZO2"/>
      <c r="MZP2"/>
      <c r="MZQ2"/>
      <c r="MZR2"/>
      <c r="MZS2"/>
      <c r="MZT2"/>
      <c r="MZU2"/>
      <c r="MZV2"/>
      <c r="MZW2"/>
      <c r="MZX2"/>
      <c r="MZY2"/>
      <c r="MZZ2"/>
      <c r="NAA2"/>
      <c r="NAB2"/>
      <c r="NAC2"/>
      <c r="NAD2"/>
      <c r="NAE2"/>
      <c r="NAF2"/>
      <c r="NAG2"/>
      <c r="NAH2"/>
      <c r="NAI2"/>
      <c r="NAJ2"/>
      <c r="NAK2"/>
      <c r="NAL2"/>
      <c r="NAM2"/>
      <c r="NAN2"/>
      <c r="NAO2"/>
      <c r="NAP2"/>
      <c r="NAQ2"/>
      <c r="NAR2"/>
      <c r="NAS2"/>
      <c r="NAT2"/>
      <c r="NAU2"/>
      <c r="NAV2"/>
      <c r="NAW2"/>
      <c r="NAX2"/>
      <c r="NAY2"/>
      <c r="NAZ2"/>
      <c r="NBA2"/>
      <c r="NBB2"/>
      <c r="NBC2"/>
      <c r="NBD2"/>
      <c r="NBE2"/>
      <c r="NBF2"/>
      <c r="NBG2"/>
      <c r="NBH2"/>
      <c r="NBI2"/>
      <c r="NBJ2"/>
      <c r="NBK2"/>
      <c r="NBL2"/>
      <c r="NBM2"/>
      <c r="NBN2"/>
      <c r="NBO2"/>
      <c r="NBP2"/>
      <c r="NBQ2"/>
      <c r="NBR2"/>
      <c r="NBS2"/>
      <c r="NBT2"/>
      <c r="NBU2"/>
      <c r="NBV2"/>
      <c r="NBW2"/>
      <c r="NBX2"/>
      <c r="NBY2"/>
      <c r="NBZ2"/>
      <c r="NCA2"/>
      <c r="NCB2"/>
      <c r="NCC2"/>
      <c r="NCD2"/>
      <c r="NCE2"/>
      <c r="NCF2"/>
      <c r="NCG2"/>
      <c r="NCH2"/>
      <c r="NCI2"/>
      <c r="NCJ2"/>
      <c r="NCK2"/>
      <c r="NCL2"/>
      <c r="NCM2"/>
      <c r="NCN2"/>
      <c r="NCO2"/>
      <c r="NCP2"/>
      <c r="NCQ2"/>
      <c r="NCR2"/>
      <c r="NCS2"/>
      <c r="NCT2"/>
      <c r="NCU2"/>
      <c r="NCV2"/>
      <c r="NCW2"/>
      <c r="NCX2"/>
      <c r="NCY2"/>
      <c r="NCZ2"/>
      <c r="NDA2"/>
      <c r="NDB2"/>
      <c r="NDC2"/>
      <c r="NDD2"/>
      <c r="NDE2"/>
      <c r="NDF2"/>
      <c r="NDG2"/>
      <c r="NDH2"/>
      <c r="NDI2"/>
      <c r="NDJ2"/>
      <c r="NDK2"/>
      <c r="NDL2"/>
      <c r="NDM2"/>
      <c r="NDN2"/>
      <c r="NDO2"/>
      <c r="NDP2"/>
      <c r="NDQ2"/>
      <c r="NDR2"/>
      <c r="NDS2"/>
      <c r="NDT2"/>
      <c r="NDU2"/>
      <c r="NDV2"/>
      <c r="NDW2"/>
      <c r="NDX2"/>
      <c r="NDY2"/>
      <c r="NDZ2"/>
      <c r="NEA2"/>
      <c r="NEB2"/>
      <c r="NEC2"/>
      <c r="NED2"/>
      <c r="NEE2"/>
      <c r="NEF2"/>
      <c r="NEG2"/>
      <c r="NEH2"/>
      <c r="NEI2"/>
      <c r="NEJ2"/>
      <c r="NEK2"/>
      <c r="NEL2"/>
      <c r="NEM2"/>
      <c r="NEN2"/>
      <c r="NEO2"/>
      <c r="NEP2"/>
      <c r="NEQ2"/>
      <c r="NER2"/>
      <c r="NES2"/>
      <c r="NET2"/>
      <c r="NEU2"/>
      <c r="NEV2"/>
      <c r="NEW2"/>
      <c r="NEX2"/>
      <c r="NEY2"/>
      <c r="NEZ2"/>
      <c r="NFA2"/>
      <c r="NFB2"/>
      <c r="NFC2"/>
      <c r="NFD2"/>
      <c r="NFE2"/>
      <c r="NFF2"/>
      <c r="NFG2"/>
      <c r="NFH2"/>
      <c r="NFI2"/>
      <c r="NFJ2"/>
      <c r="NFK2"/>
      <c r="NFL2"/>
      <c r="NFM2"/>
      <c r="NFN2"/>
      <c r="NFO2"/>
      <c r="NFP2"/>
      <c r="NFQ2"/>
      <c r="NFR2"/>
      <c r="NFS2"/>
      <c r="NFT2"/>
      <c r="NFU2"/>
      <c r="NFV2"/>
      <c r="NFW2"/>
      <c r="NFX2"/>
      <c r="NFY2"/>
      <c r="NFZ2"/>
      <c r="NGA2"/>
      <c r="NGB2"/>
      <c r="NGC2"/>
      <c r="NGD2"/>
      <c r="NGE2"/>
      <c r="NGF2"/>
      <c r="NGG2"/>
      <c r="NGH2"/>
      <c r="NGI2"/>
      <c r="NGJ2"/>
      <c r="NGK2"/>
      <c r="NGL2"/>
      <c r="NGM2"/>
      <c r="NGN2"/>
      <c r="NGO2"/>
      <c r="NGP2"/>
      <c r="NGQ2"/>
      <c r="NGR2"/>
      <c r="NGS2"/>
      <c r="NGT2"/>
      <c r="NGU2"/>
      <c r="NGV2"/>
      <c r="NGW2"/>
      <c r="NGX2"/>
      <c r="NGY2"/>
      <c r="NGZ2"/>
      <c r="NHA2"/>
      <c r="NHB2"/>
      <c r="NHC2"/>
      <c r="NHD2"/>
      <c r="NHE2"/>
      <c r="NHF2"/>
      <c r="NHG2"/>
      <c r="NHH2"/>
      <c r="NHI2"/>
      <c r="NHJ2"/>
      <c r="NHK2"/>
      <c r="NHL2"/>
      <c r="NHM2"/>
      <c r="NHN2"/>
      <c r="NHO2"/>
      <c r="NHP2"/>
      <c r="NHQ2"/>
      <c r="NHR2"/>
      <c r="NHS2"/>
      <c r="NHT2"/>
      <c r="NHU2"/>
      <c r="NHV2"/>
      <c r="NHW2"/>
      <c r="NHX2"/>
      <c r="NHY2"/>
      <c r="NHZ2"/>
      <c r="NIA2"/>
      <c r="NIB2"/>
      <c r="NIC2"/>
      <c r="NID2"/>
      <c r="NIE2"/>
      <c r="NIF2"/>
      <c r="NIG2"/>
      <c r="NIH2"/>
      <c r="NII2"/>
      <c r="NIJ2"/>
      <c r="NIK2"/>
      <c r="NIL2"/>
      <c r="NIM2"/>
      <c r="NIN2"/>
      <c r="NIO2"/>
      <c r="NIP2"/>
      <c r="NIQ2"/>
      <c r="NIR2"/>
      <c r="NIS2"/>
      <c r="NIT2"/>
      <c r="NIU2"/>
      <c r="NIV2"/>
      <c r="NIW2"/>
      <c r="NIX2"/>
      <c r="NIY2"/>
      <c r="NIZ2"/>
      <c r="NJA2"/>
      <c r="NJB2"/>
      <c r="NJC2"/>
      <c r="NJD2"/>
      <c r="NJE2"/>
      <c r="NJF2"/>
      <c r="NJG2"/>
      <c r="NJH2"/>
      <c r="NJI2"/>
      <c r="NJJ2"/>
      <c r="NJK2"/>
      <c r="NJL2"/>
      <c r="NJM2"/>
      <c r="NJN2"/>
      <c r="NJO2"/>
      <c r="NJP2"/>
      <c r="NJQ2"/>
      <c r="NJR2"/>
      <c r="NJS2"/>
      <c r="NJT2"/>
      <c r="NJU2"/>
      <c r="NJV2"/>
      <c r="NJW2"/>
      <c r="NJX2"/>
      <c r="NJY2"/>
      <c r="NJZ2"/>
      <c r="NKA2"/>
      <c r="NKB2"/>
      <c r="NKC2"/>
      <c r="NKD2"/>
      <c r="NKE2"/>
      <c r="NKF2"/>
      <c r="NKG2"/>
      <c r="NKH2"/>
      <c r="NKI2"/>
      <c r="NKJ2"/>
      <c r="NKK2"/>
      <c r="NKL2"/>
      <c r="NKM2"/>
      <c r="NKN2"/>
      <c r="NKO2"/>
      <c r="NKP2"/>
      <c r="NKQ2"/>
      <c r="NKR2"/>
      <c r="NKS2"/>
      <c r="NKT2"/>
      <c r="NKU2"/>
      <c r="NKV2"/>
      <c r="NKW2"/>
      <c r="NKX2"/>
      <c r="NKY2"/>
      <c r="NKZ2"/>
      <c r="NLA2"/>
      <c r="NLB2"/>
      <c r="NLC2"/>
      <c r="NLD2"/>
      <c r="NLE2"/>
      <c r="NLF2"/>
      <c r="NLG2"/>
      <c r="NLH2"/>
      <c r="NLI2"/>
      <c r="NLJ2"/>
      <c r="NLK2"/>
      <c r="NLL2"/>
      <c r="NLM2"/>
      <c r="NLN2"/>
      <c r="NLO2"/>
      <c r="NLP2"/>
      <c r="NLQ2"/>
      <c r="NLR2"/>
      <c r="NLS2"/>
      <c r="NLT2"/>
      <c r="NLU2"/>
      <c r="NLV2"/>
      <c r="NLW2"/>
      <c r="NLX2"/>
      <c r="NLY2"/>
      <c r="NLZ2"/>
      <c r="NMA2"/>
      <c r="NMB2"/>
      <c r="NMC2"/>
      <c r="NMD2"/>
      <c r="NME2"/>
      <c r="NMF2"/>
      <c r="NMG2"/>
      <c r="NMH2"/>
      <c r="NMI2"/>
      <c r="NMJ2"/>
      <c r="NMK2"/>
      <c r="NML2"/>
      <c r="NMM2"/>
      <c r="NMN2"/>
      <c r="NMO2"/>
      <c r="NMP2"/>
      <c r="NMQ2"/>
      <c r="NMR2"/>
      <c r="NMS2"/>
      <c r="NMT2"/>
      <c r="NMU2"/>
      <c r="NMV2"/>
      <c r="NMW2"/>
      <c r="NMX2"/>
      <c r="NMY2"/>
      <c r="NMZ2"/>
      <c r="NNA2"/>
      <c r="NNB2"/>
      <c r="NNC2"/>
      <c r="NND2"/>
      <c r="NNE2"/>
      <c r="NNF2"/>
      <c r="NNG2"/>
      <c r="NNH2"/>
      <c r="NNI2"/>
      <c r="NNJ2"/>
      <c r="NNK2"/>
      <c r="NNL2"/>
      <c r="NNM2"/>
      <c r="NNN2"/>
      <c r="NNO2"/>
      <c r="NNP2"/>
      <c r="NNQ2"/>
      <c r="NNR2"/>
      <c r="NNS2"/>
      <c r="NNT2"/>
      <c r="NNU2"/>
      <c r="NNV2"/>
      <c r="NNW2"/>
      <c r="NNX2"/>
      <c r="NNY2"/>
      <c r="NNZ2"/>
      <c r="NOA2"/>
      <c r="NOB2"/>
      <c r="NOC2"/>
      <c r="NOD2"/>
      <c r="NOE2"/>
      <c r="NOF2"/>
      <c r="NOG2"/>
      <c r="NOH2"/>
      <c r="NOI2"/>
      <c r="NOJ2"/>
      <c r="NOK2"/>
      <c r="NOL2"/>
      <c r="NOM2"/>
      <c r="NON2"/>
      <c r="NOO2"/>
      <c r="NOP2"/>
      <c r="NOQ2"/>
      <c r="NOR2"/>
      <c r="NOS2"/>
      <c r="NOT2"/>
      <c r="NOU2"/>
      <c r="NOV2"/>
      <c r="NOW2"/>
      <c r="NOX2"/>
      <c r="NOY2"/>
      <c r="NOZ2"/>
      <c r="NPA2"/>
      <c r="NPB2"/>
      <c r="NPC2"/>
      <c r="NPD2"/>
      <c r="NPE2"/>
      <c r="NPF2"/>
      <c r="NPG2"/>
      <c r="NPH2"/>
      <c r="NPI2"/>
      <c r="NPJ2"/>
      <c r="NPK2"/>
      <c r="NPL2"/>
      <c r="NPM2"/>
      <c r="NPN2"/>
      <c r="NPO2"/>
      <c r="NPP2"/>
      <c r="NPQ2"/>
      <c r="NPR2"/>
      <c r="NPS2"/>
      <c r="NPT2"/>
      <c r="NPU2"/>
      <c r="NPV2"/>
      <c r="NPW2"/>
      <c r="NPX2"/>
      <c r="NPY2"/>
      <c r="NPZ2"/>
      <c r="NQA2"/>
      <c r="NQB2"/>
      <c r="NQC2"/>
      <c r="NQD2"/>
      <c r="NQE2"/>
      <c r="NQF2"/>
      <c r="NQG2"/>
      <c r="NQH2"/>
      <c r="NQI2"/>
      <c r="NQJ2"/>
      <c r="NQK2"/>
      <c r="NQL2"/>
      <c r="NQM2"/>
      <c r="NQN2"/>
      <c r="NQO2"/>
      <c r="NQP2"/>
      <c r="NQQ2"/>
      <c r="NQR2"/>
      <c r="NQS2"/>
      <c r="NQT2"/>
      <c r="NQU2"/>
      <c r="NQV2"/>
      <c r="NQW2"/>
      <c r="NQX2"/>
      <c r="NQY2"/>
      <c r="NQZ2"/>
      <c r="NRA2"/>
      <c r="NRB2"/>
      <c r="NRC2"/>
      <c r="NRD2"/>
      <c r="NRE2"/>
      <c r="NRF2"/>
      <c r="NRG2"/>
      <c r="NRH2"/>
      <c r="NRI2"/>
      <c r="NRJ2"/>
      <c r="NRK2"/>
      <c r="NRL2"/>
      <c r="NRM2"/>
      <c r="NRN2"/>
      <c r="NRO2"/>
      <c r="NRP2"/>
      <c r="NRQ2"/>
      <c r="NRR2"/>
      <c r="NRS2"/>
      <c r="NRT2"/>
      <c r="NRU2"/>
      <c r="NRV2"/>
      <c r="NRW2"/>
      <c r="NRX2"/>
      <c r="NRY2"/>
      <c r="NRZ2"/>
      <c r="NSA2"/>
      <c r="NSB2"/>
      <c r="NSC2"/>
      <c r="NSD2"/>
      <c r="NSE2"/>
      <c r="NSF2"/>
      <c r="NSG2"/>
      <c r="NSH2"/>
      <c r="NSI2"/>
      <c r="NSJ2"/>
      <c r="NSK2"/>
      <c r="NSL2"/>
      <c r="NSM2"/>
      <c r="NSN2"/>
      <c r="NSO2"/>
      <c r="NSP2"/>
      <c r="NSQ2"/>
      <c r="NSR2"/>
      <c r="NSS2"/>
      <c r="NST2"/>
      <c r="NSU2"/>
      <c r="NSV2"/>
      <c r="NSW2"/>
      <c r="NSX2"/>
      <c r="NSY2"/>
      <c r="NSZ2"/>
      <c r="NTA2"/>
      <c r="NTB2"/>
      <c r="NTC2"/>
      <c r="NTD2"/>
      <c r="NTE2"/>
      <c r="NTF2"/>
      <c r="NTG2"/>
      <c r="NTH2"/>
      <c r="NTI2"/>
      <c r="NTJ2"/>
      <c r="NTK2"/>
      <c r="NTL2"/>
      <c r="NTM2"/>
      <c r="NTN2"/>
      <c r="NTO2"/>
      <c r="NTP2"/>
      <c r="NTQ2"/>
      <c r="NTR2"/>
      <c r="NTS2"/>
      <c r="NTT2"/>
      <c r="NTU2"/>
      <c r="NTV2"/>
      <c r="NTW2"/>
      <c r="NTX2"/>
      <c r="NTY2"/>
      <c r="NTZ2"/>
      <c r="NUA2"/>
      <c r="NUB2"/>
      <c r="NUC2"/>
      <c r="NUD2"/>
      <c r="NUE2"/>
      <c r="NUF2"/>
      <c r="NUG2"/>
      <c r="NUH2"/>
      <c r="NUI2"/>
      <c r="NUJ2"/>
      <c r="NUK2"/>
      <c r="NUL2"/>
      <c r="NUM2"/>
      <c r="NUN2"/>
      <c r="NUO2"/>
      <c r="NUP2"/>
      <c r="NUQ2"/>
      <c r="NUR2"/>
      <c r="NUS2"/>
      <c r="NUT2"/>
      <c r="NUU2"/>
      <c r="NUV2"/>
      <c r="NUW2"/>
      <c r="NUX2"/>
      <c r="NUY2"/>
      <c r="NUZ2"/>
      <c r="NVA2"/>
      <c r="NVB2"/>
      <c r="NVC2"/>
      <c r="NVD2"/>
      <c r="NVE2"/>
      <c r="NVF2"/>
      <c r="NVG2"/>
      <c r="NVH2"/>
      <c r="NVI2"/>
      <c r="NVJ2"/>
      <c r="NVK2"/>
      <c r="NVL2"/>
      <c r="NVM2"/>
      <c r="NVN2"/>
      <c r="NVO2"/>
      <c r="NVP2"/>
      <c r="NVQ2"/>
      <c r="NVR2"/>
      <c r="NVS2"/>
      <c r="NVT2"/>
      <c r="NVU2"/>
      <c r="NVV2"/>
      <c r="NVW2"/>
      <c r="NVX2"/>
      <c r="NVY2"/>
      <c r="NVZ2"/>
      <c r="NWA2"/>
      <c r="NWB2"/>
      <c r="NWC2"/>
      <c r="NWD2"/>
      <c r="NWE2"/>
      <c r="NWF2"/>
      <c r="NWG2"/>
      <c r="NWH2"/>
      <c r="NWI2"/>
      <c r="NWJ2"/>
      <c r="NWK2"/>
      <c r="NWL2"/>
      <c r="NWM2"/>
      <c r="NWN2"/>
      <c r="NWO2"/>
      <c r="NWP2"/>
      <c r="NWQ2"/>
      <c r="NWR2"/>
      <c r="NWS2"/>
      <c r="NWT2"/>
      <c r="NWU2"/>
      <c r="NWV2"/>
      <c r="NWW2"/>
      <c r="NWX2"/>
      <c r="NWY2"/>
      <c r="NWZ2"/>
      <c r="NXA2"/>
      <c r="NXB2"/>
      <c r="NXC2"/>
      <c r="NXD2"/>
      <c r="NXE2"/>
      <c r="NXF2"/>
      <c r="NXG2"/>
      <c r="NXH2"/>
      <c r="NXI2"/>
      <c r="NXJ2"/>
      <c r="NXK2"/>
      <c r="NXL2"/>
      <c r="NXM2"/>
      <c r="NXN2"/>
      <c r="NXO2"/>
      <c r="NXP2"/>
      <c r="NXQ2"/>
      <c r="NXR2"/>
      <c r="NXS2"/>
      <c r="NXT2"/>
      <c r="NXU2"/>
      <c r="NXV2"/>
      <c r="NXW2"/>
      <c r="NXX2"/>
      <c r="NXY2"/>
      <c r="NXZ2"/>
      <c r="NYA2"/>
      <c r="NYB2"/>
      <c r="NYC2"/>
      <c r="NYD2"/>
      <c r="NYE2"/>
      <c r="NYF2"/>
      <c r="NYG2"/>
      <c r="NYH2"/>
      <c r="NYI2"/>
      <c r="NYJ2"/>
      <c r="NYK2"/>
      <c r="NYL2"/>
      <c r="NYM2"/>
      <c r="NYN2"/>
      <c r="NYO2"/>
      <c r="NYP2"/>
      <c r="NYQ2"/>
      <c r="NYR2"/>
      <c r="NYS2"/>
      <c r="NYT2"/>
      <c r="NYU2"/>
      <c r="NYV2"/>
      <c r="NYW2"/>
      <c r="NYX2"/>
      <c r="NYY2"/>
      <c r="NYZ2"/>
      <c r="NZA2"/>
      <c r="NZB2"/>
      <c r="NZC2"/>
      <c r="NZD2"/>
      <c r="NZE2"/>
      <c r="NZF2"/>
      <c r="NZG2"/>
      <c r="NZH2"/>
      <c r="NZI2"/>
      <c r="NZJ2"/>
      <c r="NZK2"/>
      <c r="NZL2"/>
      <c r="NZM2"/>
      <c r="NZN2"/>
      <c r="NZO2"/>
      <c r="NZP2"/>
      <c r="NZQ2"/>
      <c r="NZR2"/>
      <c r="NZS2"/>
      <c r="NZT2"/>
      <c r="NZU2"/>
      <c r="NZV2"/>
      <c r="NZW2"/>
      <c r="NZX2"/>
      <c r="NZY2"/>
      <c r="NZZ2"/>
      <c r="OAA2"/>
      <c r="OAB2"/>
      <c r="OAC2"/>
      <c r="OAD2"/>
      <c r="OAE2"/>
      <c r="OAF2"/>
      <c r="OAG2"/>
      <c r="OAH2"/>
      <c r="OAI2"/>
      <c r="OAJ2"/>
      <c r="OAK2"/>
      <c r="OAL2"/>
      <c r="OAM2"/>
      <c r="OAN2"/>
      <c r="OAO2"/>
      <c r="OAP2"/>
      <c r="OAQ2"/>
      <c r="OAR2"/>
      <c r="OAS2"/>
      <c r="OAT2"/>
      <c r="OAU2"/>
      <c r="OAV2"/>
      <c r="OAW2"/>
      <c r="OAX2"/>
      <c r="OAY2"/>
      <c r="OAZ2"/>
      <c r="OBA2"/>
      <c r="OBB2"/>
      <c r="OBC2"/>
      <c r="OBD2"/>
      <c r="OBE2"/>
      <c r="OBF2"/>
      <c r="OBG2"/>
      <c r="OBH2"/>
      <c r="OBI2"/>
      <c r="OBJ2"/>
      <c r="OBK2"/>
      <c r="OBL2"/>
      <c r="OBM2"/>
      <c r="OBN2"/>
      <c r="OBO2"/>
      <c r="OBP2"/>
      <c r="OBQ2"/>
      <c r="OBR2"/>
      <c r="OBS2"/>
      <c r="OBT2"/>
      <c r="OBU2"/>
      <c r="OBV2"/>
      <c r="OBW2"/>
      <c r="OBX2"/>
      <c r="OBY2"/>
      <c r="OBZ2"/>
      <c r="OCA2"/>
      <c r="OCB2"/>
      <c r="OCC2"/>
      <c r="OCD2"/>
      <c r="OCE2"/>
      <c r="OCF2"/>
      <c r="OCG2"/>
      <c r="OCH2"/>
      <c r="OCI2"/>
      <c r="OCJ2"/>
      <c r="OCK2"/>
      <c r="OCL2"/>
      <c r="OCM2"/>
      <c r="OCN2"/>
      <c r="OCO2"/>
      <c r="OCP2"/>
      <c r="OCQ2"/>
      <c r="OCR2"/>
      <c r="OCS2"/>
      <c r="OCT2"/>
      <c r="OCU2"/>
      <c r="OCV2"/>
      <c r="OCW2"/>
      <c r="OCX2"/>
      <c r="OCY2"/>
      <c r="OCZ2"/>
      <c r="ODA2"/>
      <c r="ODB2"/>
      <c r="ODC2"/>
      <c r="ODD2"/>
      <c r="ODE2"/>
      <c r="ODF2"/>
      <c r="ODG2"/>
      <c r="ODH2"/>
      <c r="ODI2"/>
      <c r="ODJ2"/>
      <c r="ODK2"/>
      <c r="ODL2"/>
      <c r="ODM2"/>
      <c r="ODN2"/>
      <c r="ODO2"/>
      <c r="ODP2"/>
      <c r="ODQ2"/>
      <c r="ODR2"/>
      <c r="ODS2"/>
      <c r="ODT2"/>
      <c r="ODU2"/>
      <c r="ODV2"/>
      <c r="ODW2"/>
      <c r="ODX2"/>
      <c r="ODY2"/>
      <c r="ODZ2"/>
      <c r="OEA2"/>
      <c r="OEB2"/>
      <c r="OEC2"/>
      <c r="OED2"/>
      <c r="OEE2"/>
      <c r="OEF2"/>
      <c r="OEG2"/>
      <c r="OEH2"/>
      <c r="OEI2"/>
      <c r="OEJ2"/>
      <c r="OEK2"/>
      <c r="OEL2"/>
      <c r="OEM2"/>
      <c r="OEN2"/>
      <c r="OEO2"/>
      <c r="OEP2"/>
      <c r="OEQ2"/>
      <c r="OER2"/>
      <c r="OES2"/>
      <c r="OET2"/>
      <c r="OEU2"/>
      <c r="OEV2"/>
      <c r="OEW2"/>
      <c r="OEX2"/>
      <c r="OEY2"/>
      <c r="OEZ2"/>
      <c r="OFA2"/>
      <c r="OFB2"/>
      <c r="OFC2"/>
      <c r="OFD2"/>
      <c r="OFE2"/>
      <c r="OFF2"/>
      <c r="OFG2"/>
      <c r="OFH2"/>
      <c r="OFI2"/>
      <c r="OFJ2"/>
      <c r="OFK2"/>
      <c r="OFL2"/>
      <c r="OFM2"/>
      <c r="OFN2"/>
      <c r="OFO2"/>
      <c r="OFP2"/>
      <c r="OFQ2"/>
      <c r="OFR2"/>
      <c r="OFS2"/>
      <c r="OFT2"/>
      <c r="OFU2"/>
      <c r="OFV2"/>
      <c r="OFW2"/>
      <c r="OFX2"/>
      <c r="OFY2"/>
      <c r="OFZ2"/>
      <c r="OGA2"/>
      <c r="OGB2"/>
      <c r="OGC2"/>
      <c r="OGD2"/>
      <c r="OGE2"/>
      <c r="OGF2"/>
      <c r="OGG2"/>
      <c r="OGH2"/>
      <c r="OGI2"/>
      <c r="OGJ2"/>
      <c r="OGK2"/>
      <c r="OGL2"/>
      <c r="OGM2"/>
      <c r="OGN2"/>
      <c r="OGO2"/>
      <c r="OGP2"/>
      <c r="OGQ2"/>
      <c r="OGR2"/>
      <c r="OGS2"/>
      <c r="OGT2"/>
      <c r="OGU2"/>
      <c r="OGV2"/>
      <c r="OGW2"/>
      <c r="OGX2"/>
      <c r="OGY2"/>
      <c r="OGZ2"/>
      <c r="OHA2"/>
      <c r="OHB2"/>
      <c r="OHC2"/>
      <c r="OHD2"/>
      <c r="OHE2"/>
      <c r="OHF2"/>
      <c r="OHG2"/>
      <c r="OHH2"/>
      <c r="OHI2"/>
      <c r="OHJ2"/>
      <c r="OHK2"/>
      <c r="OHL2"/>
      <c r="OHM2"/>
      <c r="OHN2"/>
      <c r="OHO2"/>
      <c r="OHP2"/>
      <c r="OHQ2"/>
      <c r="OHR2"/>
      <c r="OHS2"/>
      <c r="OHT2"/>
      <c r="OHU2"/>
      <c r="OHV2"/>
      <c r="OHW2"/>
      <c r="OHX2"/>
      <c r="OHY2"/>
      <c r="OHZ2"/>
      <c r="OIA2"/>
      <c r="OIB2"/>
      <c r="OIC2"/>
      <c r="OID2"/>
      <c r="OIE2"/>
      <c r="OIF2"/>
      <c r="OIG2"/>
      <c r="OIH2"/>
      <c r="OII2"/>
      <c r="OIJ2"/>
      <c r="OIK2"/>
      <c r="OIL2"/>
      <c r="OIM2"/>
      <c r="OIN2"/>
      <c r="OIO2"/>
      <c r="OIP2"/>
      <c r="OIQ2"/>
      <c r="OIR2"/>
      <c r="OIS2"/>
      <c r="OIT2"/>
      <c r="OIU2"/>
      <c r="OIV2"/>
      <c r="OIW2"/>
      <c r="OIX2"/>
      <c r="OIY2"/>
      <c r="OIZ2"/>
      <c r="OJA2"/>
      <c r="OJB2"/>
      <c r="OJC2"/>
      <c r="OJD2"/>
      <c r="OJE2"/>
      <c r="OJF2"/>
      <c r="OJG2"/>
      <c r="OJH2"/>
      <c r="OJI2"/>
      <c r="OJJ2"/>
      <c r="OJK2"/>
      <c r="OJL2"/>
      <c r="OJM2"/>
      <c r="OJN2"/>
      <c r="OJO2"/>
      <c r="OJP2"/>
      <c r="OJQ2"/>
      <c r="OJR2"/>
      <c r="OJS2"/>
      <c r="OJT2"/>
      <c r="OJU2"/>
      <c r="OJV2"/>
      <c r="OJW2"/>
      <c r="OJX2"/>
      <c r="OJY2"/>
      <c r="OJZ2"/>
      <c r="OKA2"/>
      <c r="OKB2"/>
      <c r="OKC2"/>
      <c r="OKD2"/>
      <c r="OKE2"/>
      <c r="OKF2"/>
      <c r="OKG2"/>
      <c r="OKH2"/>
      <c r="OKI2"/>
      <c r="OKJ2"/>
      <c r="OKK2"/>
      <c r="OKL2"/>
      <c r="OKM2"/>
      <c r="OKN2"/>
      <c r="OKO2"/>
      <c r="OKP2"/>
      <c r="OKQ2"/>
      <c r="OKR2"/>
      <c r="OKS2"/>
      <c r="OKT2"/>
      <c r="OKU2"/>
      <c r="OKV2"/>
      <c r="OKW2"/>
      <c r="OKX2"/>
      <c r="OKY2"/>
      <c r="OKZ2"/>
      <c r="OLA2"/>
      <c r="OLB2"/>
      <c r="OLC2"/>
      <c r="OLD2"/>
      <c r="OLE2"/>
      <c r="OLF2"/>
      <c r="OLG2"/>
      <c r="OLH2"/>
      <c r="OLI2"/>
      <c r="OLJ2"/>
      <c r="OLK2"/>
      <c r="OLL2"/>
      <c r="OLM2"/>
      <c r="OLN2"/>
      <c r="OLO2"/>
      <c r="OLP2"/>
      <c r="OLQ2"/>
      <c r="OLR2"/>
      <c r="OLS2"/>
      <c r="OLT2"/>
      <c r="OLU2"/>
      <c r="OLV2"/>
      <c r="OLW2"/>
      <c r="OLX2"/>
      <c r="OLY2"/>
      <c r="OLZ2"/>
      <c r="OMA2"/>
      <c r="OMB2"/>
      <c r="OMC2"/>
      <c r="OMD2"/>
      <c r="OME2"/>
      <c r="OMF2"/>
      <c r="OMG2"/>
      <c r="OMH2"/>
      <c r="OMI2"/>
      <c r="OMJ2"/>
      <c r="OMK2"/>
      <c r="OML2"/>
      <c r="OMM2"/>
      <c r="OMN2"/>
      <c r="OMO2"/>
      <c r="OMP2"/>
      <c r="OMQ2"/>
      <c r="OMR2"/>
      <c r="OMS2"/>
      <c r="OMT2"/>
      <c r="OMU2"/>
      <c r="OMV2"/>
      <c r="OMW2"/>
      <c r="OMX2"/>
      <c r="OMY2"/>
      <c r="OMZ2"/>
      <c r="ONA2"/>
      <c r="ONB2"/>
      <c r="ONC2"/>
      <c r="OND2"/>
      <c r="ONE2"/>
      <c r="ONF2"/>
      <c r="ONG2"/>
      <c r="ONH2"/>
      <c r="ONI2"/>
      <c r="ONJ2"/>
      <c r="ONK2"/>
      <c r="ONL2"/>
      <c r="ONM2"/>
      <c r="ONN2"/>
      <c r="ONO2"/>
      <c r="ONP2"/>
      <c r="ONQ2"/>
      <c r="ONR2"/>
      <c r="ONS2"/>
      <c r="ONT2"/>
      <c r="ONU2"/>
      <c r="ONV2"/>
      <c r="ONW2"/>
      <c r="ONX2"/>
      <c r="ONY2"/>
      <c r="ONZ2"/>
      <c r="OOA2"/>
      <c r="OOB2"/>
      <c r="OOC2"/>
      <c r="OOD2"/>
      <c r="OOE2"/>
      <c r="OOF2"/>
      <c r="OOG2"/>
      <c r="OOH2"/>
      <c r="OOI2"/>
      <c r="OOJ2"/>
      <c r="OOK2"/>
      <c r="OOL2"/>
      <c r="OOM2"/>
      <c r="OON2"/>
      <c r="OOO2"/>
      <c r="OOP2"/>
      <c r="OOQ2"/>
      <c r="OOR2"/>
      <c r="OOS2"/>
      <c r="OOT2"/>
      <c r="OOU2"/>
      <c r="OOV2"/>
      <c r="OOW2"/>
      <c r="OOX2"/>
      <c r="OOY2"/>
      <c r="OOZ2"/>
      <c r="OPA2"/>
      <c r="OPB2"/>
      <c r="OPC2"/>
      <c r="OPD2"/>
      <c r="OPE2"/>
      <c r="OPF2"/>
      <c r="OPG2"/>
      <c r="OPH2"/>
      <c r="OPI2"/>
      <c r="OPJ2"/>
      <c r="OPK2"/>
      <c r="OPL2"/>
      <c r="OPM2"/>
      <c r="OPN2"/>
      <c r="OPO2"/>
      <c r="OPP2"/>
      <c r="OPQ2"/>
      <c r="OPR2"/>
      <c r="OPS2"/>
      <c r="OPT2"/>
      <c r="OPU2"/>
      <c r="OPV2"/>
      <c r="OPW2"/>
      <c r="OPX2"/>
      <c r="OPY2"/>
      <c r="OPZ2"/>
      <c r="OQA2"/>
      <c r="OQB2"/>
      <c r="OQC2"/>
      <c r="OQD2"/>
      <c r="OQE2"/>
      <c r="OQF2"/>
      <c r="OQG2"/>
      <c r="OQH2"/>
      <c r="OQI2"/>
      <c r="OQJ2"/>
      <c r="OQK2"/>
      <c r="OQL2"/>
      <c r="OQM2"/>
      <c r="OQN2"/>
      <c r="OQO2"/>
      <c r="OQP2"/>
      <c r="OQQ2"/>
      <c r="OQR2"/>
      <c r="OQS2"/>
      <c r="OQT2"/>
      <c r="OQU2"/>
      <c r="OQV2"/>
      <c r="OQW2"/>
      <c r="OQX2"/>
      <c r="OQY2"/>
      <c r="OQZ2"/>
      <c r="ORA2"/>
      <c r="ORB2"/>
      <c r="ORC2"/>
      <c r="ORD2"/>
      <c r="ORE2"/>
      <c r="ORF2"/>
      <c r="ORG2"/>
      <c r="ORH2"/>
      <c r="ORI2"/>
      <c r="ORJ2"/>
      <c r="ORK2"/>
      <c r="ORL2"/>
      <c r="ORM2"/>
      <c r="ORN2"/>
      <c r="ORO2"/>
      <c r="ORP2"/>
      <c r="ORQ2"/>
      <c r="ORR2"/>
      <c r="ORS2"/>
      <c r="ORT2"/>
      <c r="ORU2"/>
      <c r="ORV2"/>
      <c r="ORW2"/>
      <c r="ORX2"/>
      <c r="ORY2"/>
      <c r="ORZ2"/>
      <c r="OSA2"/>
      <c r="OSB2"/>
      <c r="OSC2"/>
      <c r="OSD2"/>
      <c r="OSE2"/>
      <c r="OSF2"/>
      <c r="OSG2"/>
      <c r="OSH2"/>
      <c r="OSI2"/>
      <c r="OSJ2"/>
      <c r="OSK2"/>
      <c r="OSL2"/>
      <c r="OSM2"/>
      <c r="OSN2"/>
      <c r="OSO2"/>
      <c r="OSP2"/>
      <c r="OSQ2"/>
      <c r="OSR2"/>
      <c r="OSS2"/>
      <c r="OST2"/>
      <c r="OSU2"/>
      <c r="OSV2"/>
      <c r="OSW2"/>
      <c r="OSX2"/>
      <c r="OSY2"/>
      <c r="OSZ2"/>
      <c r="OTA2"/>
      <c r="OTB2"/>
      <c r="OTC2"/>
      <c r="OTD2"/>
      <c r="OTE2"/>
      <c r="OTF2"/>
      <c r="OTG2"/>
      <c r="OTH2"/>
      <c r="OTI2"/>
      <c r="OTJ2"/>
      <c r="OTK2"/>
      <c r="OTL2"/>
      <c r="OTM2"/>
      <c r="OTN2"/>
      <c r="OTO2"/>
      <c r="OTP2"/>
      <c r="OTQ2"/>
      <c r="OTR2"/>
      <c r="OTS2"/>
      <c r="OTT2"/>
      <c r="OTU2"/>
      <c r="OTV2"/>
      <c r="OTW2"/>
      <c r="OTX2"/>
      <c r="OTY2"/>
      <c r="OTZ2"/>
      <c r="OUA2"/>
      <c r="OUB2"/>
      <c r="OUC2"/>
      <c r="OUD2"/>
      <c r="OUE2"/>
      <c r="OUF2"/>
      <c r="OUG2"/>
      <c r="OUH2"/>
      <c r="OUI2"/>
      <c r="OUJ2"/>
      <c r="OUK2"/>
      <c r="OUL2"/>
      <c r="OUM2"/>
      <c r="OUN2"/>
      <c r="OUO2"/>
      <c r="OUP2"/>
      <c r="OUQ2"/>
      <c r="OUR2"/>
      <c r="OUS2"/>
      <c r="OUT2"/>
      <c r="OUU2"/>
      <c r="OUV2"/>
      <c r="OUW2"/>
      <c r="OUX2"/>
      <c r="OUY2"/>
      <c r="OUZ2"/>
      <c r="OVA2"/>
      <c r="OVB2"/>
      <c r="OVC2"/>
      <c r="OVD2"/>
      <c r="OVE2"/>
      <c r="OVF2"/>
      <c r="OVG2"/>
      <c r="OVH2"/>
      <c r="OVI2"/>
      <c r="OVJ2"/>
      <c r="OVK2"/>
      <c r="OVL2"/>
      <c r="OVM2"/>
      <c r="OVN2"/>
      <c r="OVO2"/>
      <c r="OVP2"/>
      <c r="OVQ2"/>
      <c r="OVR2"/>
      <c r="OVS2"/>
      <c r="OVT2"/>
      <c r="OVU2"/>
      <c r="OVV2"/>
      <c r="OVW2"/>
      <c r="OVX2"/>
      <c r="OVY2"/>
      <c r="OVZ2"/>
      <c r="OWA2"/>
      <c r="OWB2"/>
      <c r="OWC2"/>
      <c r="OWD2"/>
      <c r="OWE2"/>
      <c r="OWF2"/>
      <c r="OWG2"/>
      <c r="OWH2"/>
      <c r="OWI2"/>
      <c r="OWJ2"/>
      <c r="OWK2"/>
      <c r="OWL2"/>
      <c r="OWM2"/>
      <c r="OWN2"/>
      <c r="OWO2"/>
      <c r="OWP2"/>
      <c r="OWQ2"/>
      <c r="OWR2"/>
      <c r="OWS2"/>
      <c r="OWT2"/>
      <c r="OWU2"/>
      <c r="OWV2"/>
      <c r="OWW2"/>
      <c r="OWX2"/>
      <c r="OWY2"/>
      <c r="OWZ2"/>
      <c r="OXA2"/>
      <c r="OXB2"/>
      <c r="OXC2"/>
      <c r="OXD2"/>
      <c r="OXE2"/>
      <c r="OXF2"/>
      <c r="OXG2"/>
      <c r="OXH2"/>
      <c r="OXI2"/>
      <c r="OXJ2"/>
      <c r="OXK2"/>
      <c r="OXL2"/>
      <c r="OXM2"/>
      <c r="OXN2"/>
      <c r="OXO2"/>
      <c r="OXP2"/>
      <c r="OXQ2"/>
      <c r="OXR2"/>
      <c r="OXS2"/>
      <c r="OXT2"/>
      <c r="OXU2"/>
      <c r="OXV2"/>
      <c r="OXW2"/>
      <c r="OXX2"/>
      <c r="OXY2"/>
      <c r="OXZ2"/>
      <c r="OYA2"/>
      <c r="OYB2"/>
      <c r="OYC2"/>
      <c r="OYD2"/>
      <c r="OYE2"/>
      <c r="OYF2"/>
      <c r="OYG2"/>
      <c r="OYH2"/>
      <c r="OYI2"/>
      <c r="OYJ2"/>
      <c r="OYK2"/>
      <c r="OYL2"/>
      <c r="OYM2"/>
      <c r="OYN2"/>
      <c r="OYO2"/>
      <c r="OYP2"/>
      <c r="OYQ2"/>
      <c r="OYR2"/>
      <c r="OYS2"/>
      <c r="OYT2"/>
      <c r="OYU2"/>
      <c r="OYV2"/>
      <c r="OYW2"/>
      <c r="OYX2"/>
      <c r="OYY2"/>
      <c r="OYZ2"/>
      <c r="OZA2"/>
      <c r="OZB2"/>
      <c r="OZC2"/>
      <c r="OZD2"/>
      <c r="OZE2"/>
      <c r="OZF2"/>
      <c r="OZG2"/>
      <c r="OZH2"/>
      <c r="OZI2"/>
      <c r="OZJ2"/>
      <c r="OZK2"/>
      <c r="OZL2"/>
      <c r="OZM2"/>
      <c r="OZN2"/>
      <c r="OZO2"/>
      <c r="OZP2"/>
      <c r="OZQ2"/>
      <c r="OZR2"/>
      <c r="OZS2"/>
      <c r="OZT2"/>
      <c r="OZU2"/>
      <c r="OZV2"/>
      <c r="OZW2"/>
      <c r="OZX2"/>
      <c r="OZY2"/>
      <c r="OZZ2"/>
      <c r="PAA2"/>
      <c r="PAB2"/>
      <c r="PAC2"/>
      <c r="PAD2"/>
      <c r="PAE2"/>
      <c r="PAF2"/>
      <c r="PAG2"/>
      <c r="PAH2"/>
      <c r="PAI2"/>
      <c r="PAJ2"/>
      <c r="PAK2"/>
      <c r="PAL2"/>
      <c r="PAM2"/>
      <c r="PAN2"/>
      <c r="PAO2"/>
      <c r="PAP2"/>
      <c r="PAQ2"/>
      <c r="PAR2"/>
      <c r="PAS2"/>
      <c r="PAT2"/>
      <c r="PAU2"/>
      <c r="PAV2"/>
      <c r="PAW2"/>
      <c r="PAX2"/>
      <c r="PAY2"/>
      <c r="PAZ2"/>
      <c r="PBA2"/>
      <c r="PBB2"/>
      <c r="PBC2"/>
      <c r="PBD2"/>
      <c r="PBE2"/>
      <c r="PBF2"/>
      <c r="PBG2"/>
      <c r="PBH2"/>
      <c r="PBI2"/>
      <c r="PBJ2"/>
      <c r="PBK2"/>
      <c r="PBL2"/>
      <c r="PBM2"/>
      <c r="PBN2"/>
      <c r="PBO2"/>
      <c r="PBP2"/>
      <c r="PBQ2"/>
      <c r="PBR2"/>
      <c r="PBS2"/>
      <c r="PBT2"/>
      <c r="PBU2"/>
      <c r="PBV2"/>
      <c r="PBW2"/>
      <c r="PBX2"/>
      <c r="PBY2"/>
      <c r="PBZ2"/>
      <c r="PCA2"/>
      <c r="PCB2"/>
      <c r="PCC2"/>
      <c r="PCD2"/>
      <c r="PCE2"/>
      <c r="PCF2"/>
      <c r="PCG2"/>
      <c r="PCH2"/>
      <c r="PCI2"/>
      <c r="PCJ2"/>
      <c r="PCK2"/>
      <c r="PCL2"/>
      <c r="PCM2"/>
      <c r="PCN2"/>
      <c r="PCO2"/>
      <c r="PCP2"/>
      <c r="PCQ2"/>
      <c r="PCR2"/>
      <c r="PCS2"/>
      <c r="PCT2"/>
      <c r="PCU2"/>
      <c r="PCV2"/>
      <c r="PCW2"/>
      <c r="PCX2"/>
      <c r="PCY2"/>
      <c r="PCZ2"/>
      <c r="PDA2"/>
      <c r="PDB2"/>
      <c r="PDC2"/>
      <c r="PDD2"/>
      <c r="PDE2"/>
      <c r="PDF2"/>
      <c r="PDG2"/>
      <c r="PDH2"/>
      <c r="PDI2"/>
      <c r="PDJ2"/>
      <c r="PDK2"/>
      <c r="PDL2"/>
      <c r="PDM2"/>
      <c r="PDN2"/>
      <c r="PDO2"/>
      <c r="PDP2"/>
      <c r="PDQ2"/>
      <c r="PDR2"/>
      <c r="PDS2"/>
      <c r="PDT2"/>
      <c r="PDU2"/>
      <c r="PDV2"/>
      <c r="PDW2"/>
      <c r="PDX2"/>
      <c r="PDY2"/>
      <c r="PDZ2"/>
      <c r="PEA2"/>
      <c r="PEB2"/>
      <c r="PEC2"/>
      <c r="PED2"/>
      <c r="PEE2"/>
      <c r="PEF2"/>
      <c r="PEG2"/>
      <c r="PEH2"/>
      <c r="PEI2"/>
      <c r="PEJ2"/>
      <c r="PEK2"/>
      <c r="PEL2"/>
      <c r="PEM2"/>
      <c r="PEN2"/>
      <c r="PEO2"/>
      <c r="PEP2"/>
      <c r="PEQ2"/>
      <c r="PER2"/>
      <c r="PES2"/>
      <c r="PET2"/>
      <c r="PEU2"/>
      <c r="PEV2"/>
      <c r="PEW2"/>
      <c r="PEX2"/>
      <c r="PEY2"/>
      <c r="PEZ2"/>
      <c r="PFA2"/>
      <c r="PFB2"/>
      <c r="PFC2"/>
      <c r="PFD2"/>
      <c r="PFE2"/>
      <c r="PFF2"/>
      <c r="PFG2"/>
      <c r="PFH2"/>
      <c r="PFI2"/>
      <c r="PFJ2"/>
      <c r="PFK2"/>
      <c r="PFL2"/>
      <c r="PFM2"/>
      <c r="PFN2"/>
      <c r="PFO2"/>
      <c r="PFP2"/>
      <c r="PFQ2"/>
      <c r="PFR2"/>
      <c r="PFS2"/>
      <c r="PFT2"/>
      <c r="PFU2"/>
      <c r="PFV2"/>
      <c r="PFW2"/>
      <c r="PFX2"/>
      <c r="PFY2"/>
      <c r="PFZ2"/>
      <c r="PGA2"/>
      <c r="PGB2"/>
      <c r="PGC2"/>
      <c r="PGD2"/>
      <c r="PGE2"/>
      <c r="PGF2"/>
      <c r="PGG2"/>
      <c r="PGH2"/>
      <c r="PGI2"/>
      <c r="PGJ2"/>
      <c r="PGK2"/>
      <c r="PGL2"/>
      <c r="PGM2"/>
      <c r="PGN2"/>
      <c r="PGO2"/>
      <c r="PGP2"/>
      <c r="PGQ2"/>
      <c r="PGR2"/>
      <c r="PGS2"/>
      <c r="PGT2"/>
      <c r="PGU2"/>
      <c r="PGV2"/>
      <c r="PGW2"/>
      <c r="PGX2"/>
      <c r="PGY2"/>
      <c r="PGZ2"/>
      <c r="PHA2"/>
      <c r="PHB2"/>
      <c r="PHC2"/>
      <c r="PHD2"/>
      <c r="PHE2"/>
      <c r="PHF2"/>
      <c r="PHG2"/>
      <c r="PHH2"/>
      <c r="PHI2"/>
      <c r="PHJ2"/>
      <c r="PHK2"/>
      <c r="PHL2"/>
      <c r="PHM2"/>
      <c r="PHN2"/>
      <c r="PHO2"/>
      <c r="PHP2"/>
      <c r="PHQ2"/>
      <c r="PHR2"/>
      <c r="PHS2"/>
      <c r="PHT2"/>
      <c r="PHU2"/>
      <c r="PHV2"/>
      <c r="PHW2"/>
      <c r="PHX2"/>
      <c r="PHY2"/>
      <c r="PHZ2"/>
      <c r="PIA2"/>
      <c r="PIB2"/>
      <c r="PIC2"/>
      <c r="PID2"/>
      <c r="PIE2"/>
      <c r="PIF2"/>
      <c r="PIG2"/>
      <c r="PIH2"/>
      <c r="PII2"/>
      <c r="PIJ2"/>
      <c r="PIK2"/>
      <c r="PIL2"/>
      <c r="PIM2"/>
      <c r="PIN2"/>
      <c r="PIO2"/>
      <c r="PIP2"/>
      <c r="PIQ2"/>
      <c r="PIR2"/>
      <c r="PIS2"/>
      <c r="PIT2"/>
      <c r="PIU2"/>
      <c r="PIV2"/>
      <c r="PIW2"/>
      <c r="PIX2"/>
      <c r="PIY2"/>
      <c r="PIZ2"/>
      <c r="PJA2"/>
      <c r="PJB2"/>
      <c r="PJC2"/>
      <c r="PJD2"/>
      <c r="PJE2"/>
      <c r="PJF2"/>
      <c r="PJG2"/>
      <c r="PJH2"/>
      <c r="PJI2"/>
      <c r="PJJ2"/>
      <c r="PJK2"/>
      <c r="PJL2"/>
      <c r="PJM2"/>
      <c r="PJN2"/>
      <c r="PJO2"/>
      <c r="PJP2"/>
      <c r="PJQ2"/>
      <c r="PJR2"/>
      <c r="PJS2"/>
      <c r="PJT2"/>
      <c r="PJU2"/>
      <c r="PJV2"/>
      <c r="PJW2"/>
      <c r="PJX2"/>
      <c r="PJY2"/>
      <c r="PJZ2"/>
      <c r="PKA2"/>
      <c r="PKB2"/>
      <c r="PKC2"/>
      <c r="PKD2"/>
      <c r="PKE2"/>
      <c r="PKF2"/>
      <c r="PKG2"/>
      <c r="PKH2"/>
      <c r="PKI2"/>
      <c r="PKJ2"/>
      <c r="PKK2"/>
      <c r="PKL2"/>
      <c r="PKM2"/>
      <c r="PKN2"/>
      <c r="PKO2"/>
      <c r="PKP2"/>
      <c r="PKQ2"/>
      <c r="PKR2"/>
      <c r="PKS2"/>
      <c r="PKT2"/>
      <c r="PKU2"/>
      <c r="PKV2"/>
      <c r="PKW2"/>
      <c r="PKX2"/>
      <c r="PKY2"/>
      <c r="PKZ2"/>
      <c r="PLA2"/>
      <c r="PLB2"/>
      <c r="PLC2"/>
      <c r="PLD2"/>
      <c r="PLE2"/>
      <c r="PLF2"/>
      <c r="PLG2"/>
      <c r="PLH2"/>
      <c r="PLI2"/>
      <c r="PLJ2"/>
      <c r="PLK2"/>
      <c r="PLL2"/>
      <c r="PLM2"/>
      <c r="PLN2"/>
      <c r="PLO2"/>
      <c r="PLP2"/>
      <c r="PLQ2"/>
      <c r="PLR2"/>
      <c r="PLS2"/>
      <c r="PLT2"/>
      <c r="PLU2"/>
      <c r="PLV2"/>
      <c r="PLW2"/>
      <c r="PLX2"/>
      <c r="PLY2"/>
      <c r="PLZ2"/>
      <c r="PMA2"/>
      <c r="PMB2"/>
      <c r="PMC2"/>
      <c r="PMD2"/>
      <c r="PME2"/>
      <c r="PMF2"/>
      <c r="PMG2"/>
      <c r="PMH2"/>
      <c r="PMI2"/>
      <c r="PMJ2"/>
      <c r="PMK2"/>
      <c r="PML2"/>
      <c r="PMM2"/>
      <c r="PMN2"/>
      <c r="PMO2"/>
      <c r="PMP2"/>
      <c r="PMQ2"/>
      <c r="PMR2"/>
      <c r="PMS2"/>
      <c r="PMT2"/>
      <c r="PMU2"/>
      <c r="PMV2"/>
      <c r="PMW2"/>
      <c r="PMX2"/>
      <c r="PMY2"/>
      <c r="PMZ2"/>
      <c r="PNA2"/>
      <c r="PNB2"/>
      <c r="PNC2"/>
      <c r="PND2"/>
      <c r="PNE2"/>
      <c r="PNF2"/>
      <c r="PNG2"/>
      <c r="PNH2"/>
      <c r="PNI2"/>
      <c r="PNJ2"/>
      <c r="PNK2"/>
      <c r="PNL2"/>
      <c r="PNM2"/>
      <c r="PNN2"/>
      <c r="PNO2"/>
      <c r="PNP2"/>
      <c r="PNQ2"/>
      <c r="PNR2"/>
      <c r="PNS2"/>
      <c r="PNT2"/>
      <c r="PNU2"/>
      <c r="PNV2"/>
      <c r="PNW2"/>
      <c r="PNX2"/>
      <c r="PNY2"/>
      <c r="PNZ2"/>
      <c r="POA2"/>
      <c r="POB2"/>
      <c r="POC2"/>
      <c r="POD2"/>
      <c r="POE2"/>
      <c r="POF2"/>
      <c r="POG2"/>
      <c r="POH2"/>
      <c r="POI2"/>
      <c r="POJ2"/>
      <c r="POK2"/>
      <c r="POL2"/>
      <c r="POM2"/>
      <c r="PON2"/>
      <c r="POO2"/>
      <c r="POP2"/>
      <c r="POQ2"/>
      <c r="POR2"/>
      <c r="POS2"/>
      <c r="POT2"/>
      <c r="POU2"/>
      <c r="POV2"/>
      <c r="POW2"/>
      <c r="POX2"/>
      <c r="POY2"/>
      <c r="POZ2"/>
      <c r="PPA2"/>
      <c r="PPB2"/>
      <c r="PPC2"/>
      <c r="PPD2"/>
      <c r="PPE2"/>
      <c r="PPF2"/>
      <c r="PPG2"/>
      <c r="PPH2"/>
      <c r="PPI2"/>
      <c r="PPJ2"/>
      <c r="PPK2"/>
      <c r="PPL2"/>
      <c r="PPM2"/>
      <c r="PPN2"/>
      <c r="PPO2"/>
      <c r="PPP2"/>
      <c r="PPQ2"/>
      <c r="PPR2"/>
      <c r="PPS2"/>
      <c r="PPT2"/>
      <c r="PPU2"/>
      <c r="PPV2"/>
      <c r="PPW2"/>
      <c r="PPX2"/>
      <c r="PPY2"/>
      <c r="PPZ2"/>
      <c r="PQA2"/>
      <c r="PQB2"/>
      <c r="PQC2"/>
      <c r="PQD2"/>
      <c r="PQE2"/>
      <c r="PQF2"/>
      <c r="PQG2"/>
      <c r="PQH2"/>
      <c r="PQI2"/>
      <c r="PQJ2"/>
      <c r="PQK2"/>
      <c r="PQL2"/>
      <c r="PQM2"/>
      <c r="PQN2"/>
      <c r="PQO2"/>
      <c r="PQP2"/>
      <c r="PQQ2"/>
      <c r="PQR2"/>
      <c r="PQS2"/>
      <c r="PQT2"/>
      <c r="PQU2"/>
      <c r="PQV2"/>
      <c r="PQW2"/>
      <c r="PQX2"/>
      <c r="PQY2"/>
      <c r="PQZ2"/>
      <c r="PRA2"/>
      <c r="PRB2"/>
      <c r="PRC2"/>
      <c r="PRD2"/>
      <c r="PRE2"/>
      <c r="PRF2"/>
      <c r="PRG2"/>
      <c r="PRH2"/>
      <c r="PRI2"/>
      <c r="PRJ2"/>
      <c r="PRK2"/>
      <c r="PRL2"/>
      <c r="PRM2"/>
      <c r="PRN2"/>
      <c r="PRO2"/>
      <c r="PRP2"/>
      <c r="PRQ2"/>
      <c r="PRR2"/>
      <c r="PRS2"/>
      <c r="PRT2"/>
      <c r="PRU2"/>
      <c r="PRV2"/>
      <c r="PRW2"/>
      <c r="PRX2"/>
      <c r="PRY2"/>
      <c r="PRZ2"/>
      <c r="PSA2"/>
      <c r="PSB2"/>
      <c r="PSC2"/>
      <c r="PSD2"/>
      <c r="PSE2"/>
      <c r="PSF2"/>
      <c r="PSG2"/>
      <c r="PSH2"/>
      <c r="PSI2"/>
      <c r="PSJ2"/>
      <c r="PSK2"/>
      <c r="PSL2"/>
      <c r="PSM2"/>
      <c r="PSN2"/>
      <c r="PSO2"/>
      <c r="PSP2"/>
      <c r="PSQ2"/>
      <c r="PSR2"/>
      <c r="PSS2"/>
      <c r="PST2"/>
      <c r="PSU2"/>
      <c r="PSV2"/>
      <c r="PSW2"/>
      <c r="PSX2"/>
      <c r="PSY2"/>
      <c r="PSZ2"/>
      <c r="PTA2"/>
      <c r="PTB2"/>
      <c r="PTC2"/>
      <c r="PTD2"/>
      <c r="PTE2"/>
      <c r="PTF2"/>
      <c r="PTG2"/>
      <c r="PTH2"/>
      <c r="PTI2"/>
      <c r="PTJ2"/>
      <c r="PTK2"/>
      <c r="PTL2"/>
      <c r="PTM2"/>
      <c r="PTN2"/>
      <c r="PTO2"/>
      <c r="PTP2"/>
      <c r="PTQ2"/>
      <c r="PTR2"/>
      <c r="PTS2"/>
      <c r="PTT2"/>
      <c r="PTU2"/>
      <c r="PTV2"/>
      <c r="PTW2"/>
      <c r="PTX2"/>
      <c r="PTY2"/>
      <c r="PTZ2"/>
      <c r="PUA2"/>
      <c r="PUB2"/>
      <c r="PUC2"/>
      <c r="PUD2"/>
      <c r="PUE2"/>
      <c r="PUF2"/>
      <c r="PUG2"/>
      <c r="PUH2"/>
      <c r="PUI2"/>
      <c r="PUJ2"/>
      <c r="PUK2"/>
      <c r="PUL2"/>
      <c r="PUM2"/>
      <c r="PUN2"/>
      <c r="PUO2"/>
      <c r="PUP2"/>
      <c r="PUQ2"/>
      <c r="PUR2"/>
      <c r="PUS2"/>
      <c r="PUT2"/>
      <c r="PUU2"/>
      <c r="PUV2"/>
      <c r="PUW2"/>
      <c r="PUX2"/>
      <c r="PUY2"/>
      <c r="PUZ2"/>
      <c r="PVA2"/>
      <c r="PVB2"/>
      <c r="PVC2"/>
      <c r="PVD2"/>
      <c r="PVE2"/>
      <c r="PVF2"/>
      <c r="PVG2"/>
      <c r="PVH2"/>
      <c r="PVI2"/>
      <c r="PVJ2"/>
      <c r="PVK2"/>
      <c r="PVL2"/>
      <c r="PVM2"/>
      <c r="PVN2"/>
      <c r="PVO2"/>
      <c r="PVP2"/>
      <c r="PVQ2"/>
      <c r="PVR2"/>
      <c r="PVS2"/>
      <c r="PVT2"/>
      <c r="PVU2"/>
      <c r="PVV2"/>
      <c r="PVW2"/>
      <c r="PVX2"/>
      <c r="PVY2"/>
      <c r="PVZ2"/>
      <c r="PWA2"/>
      <c r="PWB2"/>
      <c r="PWC2"/>
      <c r="PWD2"/>
      <c r="PWE2"/>
      <c r="PWF2"/>
      <c r="PWG2"/>
      <c r="PWH2"/>
      <c r="PWI2"/>
      <c r="PWJ2"/>
      <c r="PWK2"/>
      <c r="PWL2"/>
      <c r="PWM2"/>
      <c r="PWN2"/>
      <c r="PWO2"/>
      <c r="PWP2"/>
      <c r="PWQ2"/>
      <c r="PWR2"/>
      <c r="PWS2"/>
      <c r="PWT2"/>
      <c r="PWU2"/>
      <c r="PWV2"/>
      <c r="PWW2"/>
      <c r="PWX2"/>
      <c r="PWY2"/>
      <c r="PWZ2"/>
      <c r="PXA2"/>
      <c r="PXB2"/>
      <c r="PXC2"/>
      <c r="PXD2"/>
      <c r="PXE2"/>
      <c r="PXF2"/>
      <c r="PXG2"/>
      <c r="PXH2"/>
      <c r="PXI2"/>
      <c r="PXJ2"/>
      <c r="PXK2"/>
      <c r="PXL2"/>
      <c r="PXM2"/>
      <c r="PXN2"/>
      <c r="PXO2"/>
      <c r="PXP2"/>
      <c r="PXQ2"/>
      <c r="PXR2"/>
      <c r="PXS2"/>
      <c r="PXT2"/>
      <c r="PXU2"/>
      <c r="PXV2"/>
      <c r="PXW2"/>
      <c r="PXX2"/>
      <c r="PXY2"/>
      <c r="PXZ2"/>
      <c r="PYA2"/>
      <c r="PYB2"/>
      <c r="PYC2"/>
      <c r="PYD2"/>
      <c r="PYE2"/>
      <c r="PYF2"/>
      <c r="PYG2"/>
      <c r="PYH2"/>
      <c r="PYI2"/>
      <c r="PYJ2"/>
      <c r="PYK2"/>
      <c r="PYL2"/>
      <c r="PYM2"/>
      <c r="PYN2"/>
      <c r="PYO2"/>
      <c r="PYP2"/>
      <c r="PYQ2"/>
      <c r="PYR2"/>
      <c r="PYS2"/>
      <c r="PYT2"/>
      <c r="PYU2"/>
      <c r="PYV2"/>
      <c r="PYW2"/>
      <c r="PYX2"/>
      <c r="PYY2"/>
      <c r="PYZ2"/>
      <c r="PZA2"/>
      <c r="PZB2"/>
      <c r="PZC2"/>
      <c r="PZD2"/>
      <c r="PZE2"/>
      <c r="PZF2"/>
      <c r="PZG2"/>
      <c r="PZH2"/>
      <c r="PZI2"/>
      <c r="PZJ2"/>
      <c r="PZK2"/>
      <c r="PZL2"/>
      <c r="PZM2"/>
      <c r="PZN2"/>
      <c r="PZO2"/>
      <c r="PZP2"/>
      <c r="PZQ2"/>
      <c r="PZR2"/>
      <c r="PZS2"/>
      <c r="PZT2"/>
      <c r="PZU2"/>
      <c r="PZV2"/>
      <c r="PZW2"/>
      <c r="PZX2"/>
      <c r="PZY2"/>
      <c r="PZZ2"/>
      <c r="QAA2"/>
      <c r="QAB2"/>
      <c r="QAC2"/>
      <c r="QAD2"/>
      <c r="QAE2"/>
      <c r="QAF2"/>
      <c r="QAG2"/>
      <c r="QAH2"/>
      <c r="QAI2"/>
      <c r="QAJ2"/>
      <c r="QAK2"/>
      <c r="QAL2"/>
      <c r="QAM2"/>
      <c r="QAN2"/>
      <c r="QAO2"/>
      <c r="QAP2"/>
      <c r="QAQ2"/>
      <c r="QAR2"/>
      <c r="QAS2"/>
      <c r="QAT2"/>
      <c r="QAU2"/>
      <c r="QAV2"/>
      <c r="QAW2"/>
      <c r="QAX2"/>
      <c r="QAY2"/>
      <c r="QAZ2"/>
      <c r="QBA2"/>
      <c r="QBB2"/>
      <c r="QBC2"/>
      <c r="QBD2"/>
      <c r="QBE2"/>
      <c r="QBF2"/>
      <c r="QBG2"/>
      <c r="QBH2"/>
      <c r="QBI2"/>
      <c r="QBJ2"/>
      <c r="QBK2"/>
      <c r="QBL2"/>
      <c r="QBM2"/>
      <c r="QBN2"/>
      <c r="QBO2"/>
      <c r="QBP2"/>
      <c r="QBQ2"/>
      <c r="QBR2"/>
      <c r="QBS2"/>
      <c r="QBT2"/>
      <c r="QBU2"/>
      <c r="QBV2"/>
      <c r="QBW2"/>
      <c r="QBX2"/>
      <c r="QBY2"/>
      <c r="QBZ2"/>
      <c r="QCA2"/>
      <c r="QCB2"/>
      <c r="QCC2"/>
      <c r="QCD2"/>
      <c r="QCE2"/>
      <c r="QCF2"/>
      <c r="QCG2"/>
      <c r="QCH2"/>
      <c r="QCI2"/>
      <c r="QCJ2"/>
      <c r="QCK2"/>
      <c r="QCL2"/>
      <c r="QCM2"/>
      <c r="QCN2"/>
      <c r="QCO2"/>
      <c r="QCP2"/>
      <c r="QCQ2"/>
      <c r="QCR2"/>
      <c r="QCS2"/>
      <c r="QCT2"/>
      <c r="QCU2"/>
      <c r="QCV2"/>
      <c r="QCW2"/>
      <c r="QCX2"/>
      <c r="QCY2"/>
      <c r="QCZ2"/>
      <c r="QDA2"/>
      <c r="QDB2"/>
      <c r="QDC2"/>
      <c r="QDD2"/>
      <c r="QDE2"/>
      <c r="QDF2"/>
      <c r="QDG2"/>
      <c r="QDH2"/>
      <c r="QDI2"/>
      <c r="QDJ2"/>
      <c r="QDK2"/>
      <c r="QDL2"/>
      <c r="QDM2"/>
      <c r="QDN2"/>
      <c r="QDO2"/>
      <c r="QDP2"/>
      <c r="QDQ2"/>
      <c r="QDR2"/>
      <c r="QDS2"/>
      <c r="QDT2"/>
      <c r="QDU2"/>
      <c r="QDV2"/>
      <c r="QDW2"/>
      <c r="QDX2"/>
      <c r="QDY2"/>
      <c r="QDZ2"/>
      <c r="QEA2"/>
      <c r="QEB2"/>
      <c r="QEC2"/>
      <c r="QED2"/>
      <c r="QEE2"/>
      <c r="QEF2"/>
      <c r="QEG2"/>
      <c r="QEH2"/>
      <c r="QEI2"/>
      <c r="QEJ2"/>
      <c r="QEK2"/>
      <c r="QEL2"/>
      <c r="QEM2"/>
      <c r="QEN2"/>
      <c r="QEO2"/>
      <c r="QEP2"/>
      <c r="QEQ2"/>
      <c r="QER2"/>
      <c r="QES2"/>
      <c r="QET2"/>
      <c r="QEU2"/>
      <c r="QEV2"/>
      <c r="QEW2"/>
      <c r="QEX2"/>
      <c r="QEY2"/>
      <c r="QEZ2"/>
      <c r="QFA2"/>
      <c r="QFB2"/>
      <c r="QFC2"/>
      <c r="QFD2"/>
      <c r="QFE2"/>
      <c r="QFF2"/>
      <c r="QFG2"/>
      <c r="QFH2"/>
      <c r="QFI2"/>
      <c r="QFJ2"/>
      <c r="QFK2"/>
      <c r="QFL2"/>
      <c r="QFM2"/>
      <c r="QFN2"/>
      <c r="QFO2"/>
      <c r="QFP2"/>
      <c r="QFQ2"/>
      <c r="QFR2"/>
      <c r="QFS2"/>
      <c r="QFT2"/>
      <c r="QFU2"/>
      <c r="QFV2"/>
      <c r="QFW2"/>
      <c r="QFX2"/>
      <c r="QFY2"/>
      <c r="QFZ2"/>
      <c r="QGA2"/>
      <c r="QGB2"/>
      <c r="QGC2"/>
      <c r="QGD2"/>
      <c r="QGE2"/>
      <c r="QGF2"/>
      <c r="QGG2"/>
      <c r="QGH2"/>
      <c r="QGI2"/>
      <c r="QGJ2"/>
      <c r="QGK2"/>
      <c r="QGL2"/>
      <c r="QGM2"/>
      <c r="QGN2"/>
      <c r="QGO2"/>
      <c r="QGP2"/>
      <c r="QGQ2"/>
      <c r="QGR2"/>
      <c r="QGS2"/>
      <c r="QGT2"/>
      <c r="QGU2"/>
      <c r="QGV2"/>
      <c r="QGW2"/>
      <c r="QGX2"/>
      <c r="QGY2"/>
      <c r="QGZ2"/>
      <c r="QHA2"/>
      <c r="QHB2"/>
      <c r="QHC2"/>
      <c r="QHD2"/>
      <c r="QHE2"/>
      <c r="QHF2"/>
      <c r="QHG2"/>
      <c r="QHH2"/>
      <c r="QHI2"/>
      <c r="QHJ2"/>
      <c r="QHK2"/>
      <c r="QHL2"/>
      <c r="QHM2"/>
      <c r="QHN2"/>
      <c r="QHO2"/>
      <c r="QHP2"/>
      <c r="QHQ2"/>
      <c r="QHR2"/>
      <c r="QHS2"/>
      <c r="QHT2"/>
      <c r="QHU2"/>
      <c r="QHV2"/>
      <c r="QHW2"/>
      <c r="QHX2"/>
      <c r="QHY2"/>
      <c r="QHZ2"/>
      <c r="QIA2"/>
      <c r="QIB2"/>
      <c r="QIC2"/>
      <c r="QID2"/>
      <c r="QIE2"/>
      <c r="QIF2"/>
      <c r="QIG2"/>
      <c r="QIH2"/>
      <c r="QII2"/>
      <c r="QIJ2"/>
      <c r="QIK2"/>
      <c r="QIL2"/>
      <c r="QIM2"/>
      <c r="QIN2"/>
      <c r="QIO2"/>
      <c r="QIP2"/>
      <c r="QIQ2"/>
      <c r="QIR2"/>
      <c r="QIS2"/>
      <c r="QIT2"/>
      <c r="QIU2"/>
      <c r="QIV2"/>
      <c r="QIW2"/>
      <c r="QIX2"/>
      <c r="QIY2"/>
      <c r="QIZ2"/>
      <c r="QJA2"/>
      <c r="QJB2"/>
      <c r="QJC2"/>
      <c r="QJD2"/>
      <c r="QJE2"/>
      <c r="QJF2"/>
      <c r="QJG2"/>
      <c r="QJH2"/>
      <c r="QJI2"/>
      <c r="QJJ2"/>
      <c r="QJK2"/>
      <c r="QJL2"/>
      <c r="QJM2"/>
      <c r="QJN2"/>
      <c r="QJO2"/>
      <c r="QJP2"/>
      <c r="QJQ2"/>
      <c r="QJR2"/>
      <c r="QJS2"/>
      <c r="QJT2"/>
      <c r="QJU2"/>
      <c r="QJV2"/>
      <c r="QJW2"/>
      <c r="QJX2"/>
      <c r="QJY2"/>
      <c r="QJZ2"/>
      <c r="QKA2"/>
      <c r="QKB2"/>
      <c r="QKC2"/>
      <c r="QKD2"/>
      <c r="QKE2"/>
      <c r="QKF2"/>
      <c r="QKG2"/>
      <c r="QKH2"/>
      <c r="QKI2"/>
      <c r="QKJ2"/>
      <c r="QKK2"/>
      <c r="QKL2"/>
      <c r="QKM2"/>
      <c r="QKN2"/>
      <c r="QKO2"/>
      <c r="QKP2"/>
      <c r="QKQ2"/>
      <c r="QKR2"/>
      <c r="QKS2"/>
      <c r="QKT2"/>
      <c r="QKU2"/>
      <c r="QKV2"/>
      <c r="QKW2"/>
      <c r="QKX2"/>
      <c r="QKY2"/>
      <c r="QKZ2"/>
      <c r="QLA2"/>
      <c r="QLB2"/>
      <c r="QLC2"/>
      <c r="QLD2"/>
      <c r="QLE2"/>
      <c r="QLF2"/>
      <c r="QLG2"/>
      <c r="QLH2"/>
      <c r="QLI2"/>
      <c r="QLJ2"/>
      <c r="QLK2"/>
      <c r="QLL2"/>
      <c r="QLM2"/>
      <c r="QLN2"/>
      <c r="QLO2"/>
      <c r="QLP2"/>
      <c r="QLQ2"/>
      <c r="QLR2"/>
      <c r="QLS2"/>
      <c r="QLT2"/>
      <c r="QLU2"/>
      <c r="QLV2"/>
      <c r="QLW2"/>
      <c r="QLX2"/>
      <c r="QLY2"/>
      <c r="QLZ2"/>
      <c r="QMA2"/>
      <c r="QMB2"/>
      <c r="QMC2"/>
      <c r="QMD2"/>
      <c r="QME2"/>
      <c r="QMF2"/>
      <c r="QMG2"/>
      <c r="QMH2"/>
      <c r="QMI2"/>
      <c r="QMJ2"/>
      <c r="QMK2"/>
      <c r="QML2"/>
      <c r="QMM2"/>
      <c r="QMN2"/>
      <c r="QMO2"/>
      <c r="QMP2"/>
      <c r="QMQ2"/>
      <c r="QMR2"/>
      <c r="QMS2"/>
      <c r="QMT2"/>
      <c r="QMU2"/>
      <c r="QMV2"/>
      <c r="QMW2"/>
      <c r="QMX2"/>
      <c r="QMY2"/>
      <c r="QMZ2"/>
      <c r="QNA2"/>
      <c r="QNB2"/>
      <c r="QNC2"/>
      <c r="QND2"/>
      <c r="QNE2"/>
      <c r="QNF2"/>
      <c r="QNG2"/>
      <c r="QNH2"/>
      <c r="QNI2"/>
      <c r="QNJ2"/>
      <c r="QNK2"/>
      <c r="QNL2"/>
      <c r="QNM2"/>
      <c r="QNN2"/>
      <c r="QNO2"/>
      <c r="QNP2"/>
      <c r="QNQ2"/>
      <c r="QNR2"/>
      <c r="QNS2"/>
      <c r="QNT2"/>
      <c r="QNU2"/>
      <c r="QNV2"/>
      <c r="QNW2"/>
      <c r="QNX2"/>
      <c r="QNY2"/>
      <c r="QNZ2"/>
      <c r="QOA2"/>
      <c r="QOB2"/>
      <c r="QOC2"/>
      <c r="QOD2"/>
      <c r="QOE2"/>
      <c r="QOF2"/>
      <c r="QOG2"/>
      <c r="QOH2"/>
      <c r="QOI2"/>
      <c r="QOJ2"/>
      <c r="QOK2"/>
      <c r="QOL2"/>
      <c r="QOM2"/>
      <c r="QON2"/>
      <c r="QOO2"/>
      <c r="QOP2"/>
      <c r="QOQ2"/>
      <c r="QOR2"/>
      <c r="QOS2"/>
      <c r="QOT2"/>
      <c r="QOU2"/>
      <c r="QOV2"/>
      <c r="QOW2"/>
      <c r="QOX2"/>
      <c r="QOY2"/>
      <c r="QOZ2"/>
      <c r="QPA2"/>
      <c r="QPB2"/>
      <c r="QPC2"/>
      <c r="QPD2"/>
      <c r="QPE2"/>
      <c r="QPF2"/>
      <c r="QPG2"/>
      <c r="QPH2"/>
      <c r="QPI2"/>
      <c r="QPJ2"/>
      <c r="QPK2"/>
      <c r="QPL2"/>
      <c r="QPM2"/>
      <c r="QPN2"/>
      <c r="QPO2"/>
      <c r="QPP2"/>
      <c r="QPQ2"/>
      <c r="QPR2"/>
      <c r="QPS2"/>
      <c r="QPT2"/>
      <c r="QPU2"/>
      <c r="QPV2"/>
      <c r="QPW2"/>
      <c r="QPX2"/>
      <c r="QPY2"/>
      <c r="QPZ2"/>
      <c r="QQA2"/>
      <c r="QQB2"/>
      <c r="QQC2"/>
      <c r="QQD2"/>
      <c r="QQE2"/>
      <c r="QQF2"/>
      <c r="QQG2"/>
      <c r="QQH2"/>
      <c r="QQI2"/>
      <c r="QQJ2"/>
      <c r="QQK2"/>
      <c r="QQL2"/>
      <c r="QQM2"/>
      <c r="QQN2"/>
      <c r="QQO2"/>
      <c r="QQP2"/>
      <c r="QQQ2"/>
      <c r="QQR2"/>
      <c r="QQS2"/>
      <c r="QQT2"/>
      <c r="QQU2"/>
      <c r="QQV2"/>
      <c r="QQW2"/>
      <c r="QQX2"/>
      <c r="QQY2"/>
      <c r="QQZ2"/>
      <c r="QRA2"/>
      <c r="QRB2"/>
      <c r="QRC2"/>
      <c r="QRD2"/>
      <c r="QRE2"/>
      <c r="QRF2"/>
      <c r="QRG2"/>
      <c r="QRH2"/>
      <c r="QRI2"/>
      <c r="QRJ2"/>
      <c r="QRK2"/>
      <c r="QRL2"/>
      <c r="QRM2"/>
      <c r="QRN2"/>
      <c r="QRO2"/>
      <c r="QRP2"/>
      <c r="QRQ2"/>
      <c r="QRR2"/>
      <c r="QRS2"/>
      <c r="QRT2"/>
      <c r="QRU2"/>
      <c r="QRV2"/>
      <c r="QRW2"/>
      <c r="QRX2"/>
      <c r="QRY2"/>
      <c r="QRZ2"/>
      <c r="QSA2"/>
      <c r="QSB2"/>
      <c r="QSC2"/>
      <c r="QSD2"/>
      <c r="QSE2"/>
      <c r="QSF2"/>
      <c r="QSG2"/>
      <c r="QSH2"/>
      <c r="QSI2"/>
      <c r="QSJ2"/>
      <c r="QSK2"/>
      <c r="QSL2"/>
      <c r="QSM2"/>
      <c r="QSN2"/>
      <c r="QSO2"/>
      <c r="QSP2"/>
      <c r="QSQ2"/>
      <c r="QSR2"/>
      <c r="QSS2"/>
      <c r="QST2"/>
      <c r="QSU2"/>
      <c r="QSV2"/>
      <c r="QSW2"/>
      <c r="QSX2"/>
      <c r="QSY2"/>
      <c r="QSZ2"/>
      <c r="QTA2"/>
      <c r="QTB2"/>
      <c r="QTC2"/>
      <c r="QTD2"/>
      <c r="QTE2"/>
      <c r="QTF2"/>
      <c r="QTG2"/>
      <c r="QTH2"/>
      <c r="QTI2"/>
      <c r="QTJ2"/>
      <c r="QTK2"/>
      <c r="QTL2"/>
      <c r="QTM2"/>
      <c r="QTN2"/>
      <c r="QTO2"/>
      <c r="QTP2"/>
      <c r="QTQ2"/>
      <c r="QTR2"/>
      <c r="QTS2"/>
      <c r="QTT2"/>
      <c r="QTU2"/>
      <c r="QTV2"/>
      <c r="QTW2"/>
      <c r="QTX2"/>
      <c r="QTY2"/>
      <c r="QTZ2"/>
      <c r="QUA2"/>
      <c r="QUB2"/>
      <c r="QUC2"/>
      <c r="QUD2"/>
      <c r="QUE2"/>
      <c r="QUF2"/>
      <c r="QUG2"/>
      <c r="QUH2"/>
      <c r="QUI2"/>
      <c r="QUJ2"/>
      <c r="QUK2"/>
      <c r="QUL2"/>
      <c r="QUM2"/>
      <c r="QUN2"/>
      <c r="QUO2"/>
      <c r="QUP2"/>
      <c r="QUQ2"/>
      <c r="QUR2"/>
      <c r="QUS2"/>
      <c r="QUT2"/>
      <c r="QUU2"/>
      <c r="QUV2"/>
      <c r="QUW2"/>
      <c r="QUX2"/>
      <c r="QUY2"/>
      <c r="QUZ2"/>
      <c r="QVA2"/>
      <c r="QVB2"/>
      <c r="QVC2"/>
      <c r="QVD2"/>
      <c r="QVE2"/>
      <c r="QVF2"/>
      <c r="QVG2"/>
      <c r="QVH2"/>
      <c r="QVI2"/>
      <c r="QVJ2"/>
      <c r="QVK2"/>
      <c r="QVL2"/>
      <c r="QVM2"/>
      <c r="QVN2"/>
      <c r="QVO2"/>
      <c r="QVP2"/>
      <c r="QVQ2"/>
      <c r="QVR2"/>
      <c r="QVS2"/>
      <c r="QVT2"/>
      <c r="QVU2"/>
      <c r="QVV2"/>
      <c r="QVW2"/>
      <c r="QVX2"/>
      <c r="QVY2"/>
      <c r="QVZ2"/>
      <c r="QWA2"/>
      <c r="QWB2"/>
      <c r="QWC2"/>
      <c r="QWD2"/>
      <c r="QWE2"/>
      <c r="QWF2"/>
      <c r="QWG2"/>
      <c r="QWH2"/>
      <c r="QWI2"/>
      <c r="QWJ2"/>
      <c r="QWK2"/>
      <c r="QWL2"/>
      <c r="QWM2"/>
      <c r="QWN2"/>
      <c r="QWO2"/>
      <c r="QWP2"/>
      <c r="QWQ2"/>
      <c r="QWR2"/>
      <c r="QWS2"/>
      <c r="QWT2"/>
      <c r="QWU2"/>
      <c r="QWV2"/>
      <c r="QWW2"/>
      <c r="QWX2"/>
      <c r="QWY2"/>
      <c r="QWZ2"/>
      <c r="QXA2"/>
      <c r="QXB2"/>
      <c r="QXC2"/>
      <c r="QXD2"/>
      <c r="QXE2"/>
      <c r="QXF2"/>
      <c r="QXG2"/>
      <c r="QXH2"/>
      <c r="QXI2"/>
      <c r="QXJ2"/>
      <c r="QXK2"/>
      <c r="QXL2"/>
      <c r="QXM2"/>
      <c r="QXN2"/>
      <c r="QXO2"/>
      <c r="QXP2"/>
      <c r="QXQ2"/>
      <c r="QXR2"/>
      <c r="QXS2"/>
      <c r="QXT2"/>
      <c r="QXU2"/>
      <c r="QXV2"/>
      <c r="QXW2"/>
      <c r="QXX2"/>
      <c r="QXY2"/>
      <c r="QXZ2"/>
      <c r="QYA2"/>
      <c r="QYB2"/>
      <c r="QYC2"/>
      <c r="QYD2"/>
      <c r="QYE2"/>
      <c r="QYF2"/>
      <c r="QYG2"/>
      <c r="QYH2"/>
      <c r="QYI2"/>
      <c r="QYJ2"/>
      <c r="QYK2"/>
      <c r="QYL2"/>
      <c r="QYM2"/>
      <c r="QYN2"/>
      <c r="QYO2"/>
      <c r="QYP2"/>
      <c r="QYQ2"/>
      <c r="QYR2"/>
      <c r="QYS2"/>
      <c r="QYT2"/>
      <c r="QYU2"/>
      <c r="QYV2"/>
      <c r="QYW2"/>
      <c r="QYX2"/>
      <c r="QYY2"/>
      <c r="QYZ2"/>
      <c r="QZA2"/>
      <c r="QZB2"/>
      <c r="QZC2"/>
      <c r="QZD2"/>
      <c r="QZE2"/>
      <c r="QZF2"/>
      <c r="QZG2"/>
      <c r="QZH2"/>
      <c r="QZI2"/>
      <c r="QZJ2"/>
      <c r="QZK2"/>
      <c r="QZL2"/>
      <c r="QZM2"/>
      <c r="QZN2"/>
      <c r="QZO2"/>
      <c r="QZP2"/>
      <c r="QZQ2"/>
      <c r="QZR2"/>
      <c r="QZS2"/>
      <c r="QZT2"/>
      <c r="QZU2"/>
      <c r="QZV2"/>
      <c r="QZW2"/>
      <c r="QZX2"/>
      <c r="QZY2"/>
      <c r="QZZ2"/>
      <c r="RAA2"/>
      <c r="RAB2"/>
      <c r="RAC2"/>
      <c r="RAD2"/>
      <c r="RAE2"/>
      <c r="RAF2"/>
      <c r="RAG2"/>
      <c r="RAH2"/>
      <c r="RAI2"/>
      <c r="RAJ2"/>
      <c r="RAK2"/>
      <c r="RAL2"/>
      <c r="RAM2"/>
      <c r="RAN2"/>
      <c r="RAO2"/>
      <c r="RAP2"/>
      <c r="RAQ2"/>
      <c r="RAR2"/>
      <c r="RAS2"/>
      <c r="RAT2"/>
      <c r="RAU2"/>
      <c r="RAV2"/>
      <c r="RAW2"/>
      <c r="RAX2"/>
      <c r="RAY2"/>
      <c r="RAZ2"/>
      <c r="RBA2"/>
      <c r="RBB2"/>
      <c r="RBC2"/>
      <c r="RBD2"/>
      <c r="RBE2"/>
      <c r="RBF2"/>
      <c r="RBG2"/>
      <c r="RBH2"/>
      <c r="RBI2"/>
      <c r="RBJ2"/>
      <c r="RBK2"/>
      <c r="RBL2"/>
      <c r="RBM2"/>
      <c r="RBN2"/>
      <c r="RBO2"/>
      <c r="RBP2"/>
      <c r="RBQ2"/>
      <c r="RBR2"/>
      <c r="RBS2"/>
      <c r="RBT2"/>
      <c r="RBU2"/>
      <c r="RBV2"/>
      <c r="RBW2"/>
      <c r="RBX2"/>
      <c r="RBY2"/>
      <c r="RBZ2"/>
      <c r="RCA2"/>
      <c r="RCB2"/>
      <c r="RCC2"/>
      <c r="RCD2"/>
      <c r="RCE2"/>
      <c r="RCF2"/>
      <c r="RCG2"/>
      <c r="RCH2"/>
      <c r="RCI2"/>
      <c r="RCJ2"/>
      <c r="RCK2"/>
      <c r="RCL2"/>
      <c r="RCM2"/>
      <c r="RCN2"/>
      <c r="RCO2"/>
      <c r="RCP2"/>
      <c r="RCQ2"/>
      <c r="RCR2"/>
      <c r="RCS2"/>
      <c r="RCT2"/>
      <c r="RCU2"/>
      <c r="RCV2"/>
      <c r="RCW2"/>
      <c r="RCX2"/>
      <c r="RCY2"/>
      <c r="RCZ2"/>
      <c r="RDA2"/>
      <c r="RDB2"/>
      <c r="RDC2"/>
      <c r="RDD2"/>
      <c r="RDE2"/>
      <c r="RDF2"/>
      <c r="RDG2"/>
      <c r="RDH2"/>
      <c r="RDI2"/>
      <c r="RDJ2"/>
      <c r="RDK2"/>
      <c r="RDL2"/>
      <c r="RDM2"/>
      <c r="RDN2"/>
      <c r="RDO2"/>
      <c r="RDP2"/>
      <c r="RDQ2"/>
      <c r="RDR2"/>
      <c r="RDS2"/>
      <c r="RDT2"/>
      <c r="RDU2"/>
      <c r="RDV2"/>
      <c r="RDW2"/>
      <c r="RDX2"/>
      <c r="RDY2"/>
      <c r="RDZ2"/>
      <c r="REA2"/>
      <c r="REB2"/>
      <c r="REC2"/>
      <c r="RED2"/>
      <c r="REE2"/>
      <c r="REF2"/>
      <c r="REG2"/>
      <c r="REH2"/>
      <c r="REI2"/>
      <c r="REJ2"/>
      <c r="REK2"/>
      <c r="REL2"/>
      <c r="REM2"/>
      <c r="REN2"/>
      <c r="REO2"/>
      <c r="REP2"/>
      <c r="REQ2"/>
      <c r="RER2"/>
      <c r="RES2"/>
      <c r="RET2"/>
      <c r="REU2"/>
      <c r="REV2"/>
      <c r="REW2"/>
      <c r="REX2"/>
      <c r="REY2"/>
      <c r="REZ2"/>
      <c r="RFA2"/>
      <c r="RFB2"/>
      <c r="RFC2"/>
      <c r="RFD2"/>
      <c r="RFE2"/>
      <c r="RFF2"/>
      <c r="RFG2"/>
      <c r="RFH2"/>
      <c r="RFI2"/>
      <c r="RFJ2"/>
      <c r="RFK2"/>
      <c r="RFL2"/>
      <c r="RFM2"/>
      <c r="RFN2"/>
      <c r="RFO2"/>
      <c r="RFP2"/>
      <c r="RFQ2"/>
      <c r="RFR2"/>
      <c r="RFS2"/>
      <c r="RFT2"/>
      <c r="RFU2"/>
      <c r="RFV2"/>
      <c r="RFW2"/>
      <c r="RFX2"/>
      <c r="RFY2"/>
      <c r="RFZ2"/>
      <c r="RGA2"/>
      <c r="RGB2"/>
      <c r="RGC2"/>
      <c r="RGD2"/>
      <c r="RGE2"/>
      <c r="RGF2"/>
      <c r="RGG2"/>
      <c r="RGH2"/>
      <c r="RGI2"/>
      <c r="RGJ2"/>
      <c r="RGK2"/>
      <c r="RGL2"/>
      <c r="RGM2"/>
      <c r="RGN2"/>
      <c r="RGO2"/>
      <c r="RGP2"/>
      <c r="RGQ2"/>
      <c r="RGR2"/>
      <c r="RGS2"/>
      <c r="RGT2"/>
      <c r="RGU2"/>
      <c r="RGV2"/>
      <c r="RGW2"/>
      <c r="RGX2"/>
      <c r="RGY2"/>
      <c r="RGZ2"/>
      <c r="RHA2"/>
      <c r="RHB2"/>
      <c r="RHC2"/>
      <c r="RHD2"/>
      <c r="RHE2"/>
      <c r="RHF2"/>
      <c r="RHG2"/>
      <c r="RHH2"/>
      <c r="RHI2"/>
      <c r="RHJ2"/>
      <c r="RHK2"/>
      <c r="RHL2"/>
      <c r="RHM2"/>
      <c r="RHN2"/>
      <c r="RHO2"/>
      <c r="RHP2"/>
      <c r="RHQ2"/>
      <c r="RHR2"/>
      <c r="RHS2"/>
      <c r="RHT2"/>
      <c r="RHU2"/>
      <c r="RHV2"/>
      <c r="RHW2"/>
      <c r="RHX2"/>
      <c r="RHY2"/>
      <c r="RHZ2"/>
      <c r="RIA2"/>
      <c r="RIB2"/>
      <c r="RIC2"/>
      <c r="RID2"/>
      <c r="RIE2"/>
      <c r="RIF2"/>
      <c r="RIG2"/>
      <c r="RIH2"/>
      <c r="RII2"/>
      <c r="RIJ2"/>
      <c r="RIK2"/>
      <c r="RIL2"/>
      <c r="RIM2"/>
      <c r="RIN2"/>
      <c r="RIO2"/>
      <c r="RIP2"/>
      <c r="RIQ2"/>
      <c r="RIR2"/>
      <c r="RIS2"/>
      <c r="RIT2"/>
      <c r="RIU2"/>
      <c r="RIV2"/>
      <c r="RIW2"/>
      <c r="RIX2"/>
      <c r="RIY2"/>
      <c r="RIZ2"/>
      <c r="RJA2"/>
      <c r="RJB2"/>
      <c r="RJC2"/>
      <c r="RJD2"/>
      <c r="RJE2"/>
      <c r="RJF2"/>
      <c r="RJG2"/>
      <c r="RJH2"/>
      <c r="RJI2"/>
      <c r="RJJ2"/>
      <c r="RJK2"/>
      <c r="RJL2"/>
      <c r="RJM2"/>
      <c r="RJN2"/>
      <c r="RJO2"/>
      <c r="RJP2"/>
      <c r="RJQ2"/>
      <c r="RJR2"/>
      <c r="RJS2"/>
      <c r="RJT2"/>
      <c r="RJU2"/>
      <c r="RJV2"/>
      <c r="RJW2"/>
      <c r="RJX2"/>
      <c r="RJY2"/>
      <c r="RJZ2"/>
      <c r="RKA2"/>
      <c r="RKB2"/>
      <c r="RKC2"/>
      <c r="RKD2"/>
      <c r="RKE2"/>
      <c r="RKF2"/>
      <c r="RKG2"/>
      <c r="RKH2"/>
      <c r="RKI2"/>
      <c r="RKJ2"/>
      <c r="RKK2"/>
      <c r="RKL2"/>
      <c r="RKM2"/>
      <c r="RKN2"/>
      <c r="RKO2"/>
      <c r="RKP2"/>
      <c r="RKQ2"/>
      <c r="RKR2"/>
      <c r="RKS2"/>
      <c r="RKT2"/>
      <c r="RKU2"/>
      <c r="RKV2"/>
      <c r="RKW2"/>
      <c r="RKX2"/>
      <c r="RKY2"/>
      <c r="RKZ2"/>
      <c r="RLA2"/>
      <c r="RLB2"/>
      <c r="RLC2"/>
      <c r="RLD2"/>
      <c r="RLE2"/>
      <c r="RLF2"/>
      <c r="RLG2"/>
      <c r="RLH2"/>
      <c r="RLI2"/>
      <c r="RLJ2"/>
      <c r="RLK2"/>
      <c r="RLL2"/>
      <c r="RLM2"/>
      <c r="RLN2"/>
      <c r="RLO2"/>
      <c r="RLP2"/>
      <c r="RLQ2"/>
      <c r="RLR2"/>
      <c r="RLS2"/>
      <c r="RLT2"/>
      <c r="RLU2"/>
      <c r="RLV2"/>
      <c r="RLW2"/>
      <c r="RLX2"/>
      <c r="RLY2"/>
      <c r="RLZ2"/>
      <c r="RMA2"/>
      <c r="RMB2"/>
      <c r="RMC2"/>
      <c r="RMD2"/>
      <c r="RME2"/>
      <c r="RMF2"/>
      <c r="RMG2"/>
      <c r="RMH2"/>
      <c r="RMI2"/>
      <c r="RMJ2"/>
      <c r="RMK2"/>
      <c r="RML2"/>
      <c r="RMM2"/>
      <c r="RMN2"/>
      <c r="RMO2"/>
      <c r="RMP2"/>
      <c r="RMQ2"/>
      <c r="RMR2"/>
      <c r="RMS2"/>
      <c r="RMT2"/>
      <c r="RMU2"/>
      <c r="RMV2"/>
      <c r="RMW2"/>
      <c r="RMX2"/>
      <c r="RMY2"/>
      <c r="RMZ2"/>
      <c r="RNA2"/>
      <c r="RNB2"/>
      <c r="RNC2"/>
      <c r="RND2"/>
      <c r="RNE2"/>
      <c r="RNF2"/>
      <c r="RNG2"/>
      <c r="RNH2"/>
      <c r="RNI2"/>
      <c r="RNJ2"/>
      <c r="RNK2"/>
      <c r="RNL2"/>
      <c r="RNM2"/>
      <c r="RNN2"/>
      <c r="RNO2"/>
      <c r="RNP2"/>
      <c r="RNQ2"/>
      <c r="RNR2"/>
      <c r="RNS2"/>
      <c r="RNT2"/>
      <c r="RNU2"/>
      <c r="RNV2"/>
      <c r="RNW2"/>
      <c r="RNX2"/>
      <c r="RNY2"/>
      <c r="RNZ2"/>
      <c r="ROA2"/>
      <c r="ROB2"/>
      <c r="ROC2"/>
      <c r="ROD2"/>
      <c r="ROE2"/>
      <c r="ROF2"/>
      <c r="ROG2"/>
      <c r="ROH2"/>
      <c r="ROI2"/>
      <c r="ROJ2"/>
      <c r="ROK2"/>
      <c r="ROL2"/>
      <c r="ROM2"/>
      <c r="RON2"/>
      <c r="ROO2"/>
      <c r="ROP2"/>
      <c r="ROQ2"/>
      <c r="ROR2"/>
      <c r="ROS2"/>
      <c r="ROT2"/>
      <c r="ROU2"/>
      <c r="ROV2"/>
      <c r="ROW2"/>
      <c r="ROX2"/>
      <c r="ROY2"/>
      <c r="ROZ2"/>
      <c r="RPA2"/>
      <c r="RPB2"/>
      <c r="RPC2"/>
      <c r="RPD2"/>
      <c r="RPE2"/>
      <c r="RPF2"/>
      <c r="RPG2"/>
      <c r="RPH2"/>
      <c r="RPI2"/>
      <c r="RPJ2"/>
      <c r="RPK2"/>
      <c r="RPL2"/>
      <c r="RPM2"/>
      <c r="RPN2"/>
      <c r="RPO2"/>
      <c r="RPP2"/>
      <c r="RPQ2"/>
      <c r="RPR2"/>
      <c r="RPS2"/>
      <c r="RPT2"/>
      <c r="RPU2"/>
      <c r="RPV2"/>
      <c r="RPW2"/>
      <c r="RPX2"/>
      <c r="RPY2"/>
      <c r="RPZ2"/>
      <c r="RQA2"/>
      <c r="RQB2"/>
      <c r="RQC2"/>
      <c r="RQD2"/>
      <c r="RQE2"/>
      <c r="RQF2"/>
      <c r="RQG2"/>
      <c r="RQH2"/>
      <c r="RQI2"/>
      <c r="RQJ2"/>
      <c r="RQK2"/>
      <c r="RQL2"/>
      <c r="RQM2"/>
      <c r="RQN2"/>
      <c r="RQO2"/>
      <c r="RQP2"/>
      <c r="RQQ2"/>
      <c r="RQR2"/>
      <c r="RQS2"/>
      <c r="RQT2"/>
      <c r="RQU2"/>
      <c r="RQV2"/>
      <c r="RQW2"/>
      <c r="RQX2"/>
      <c r="RQY2"/>
      <c r="RQZ2"/>
      <c r="RRA2"/>
      <c r="RRB2"/>
      <c r="RRC2"/>
      <c r="RRD2"/>
      <c r="RRE2"/>
      <c r="RRF2"/>
      <c r="RRG2"/>
      <c r="RRH2"/>
      <c r="RRI2"/>
      <c r="RRJ2"/>
      <c r="RRK2"/>
      <c r="RRL2"/>
      <c r="RRM2"/>
      <c r="RRN2"/>
      <c r="RRO2"/>
      <c r="RRP2"/>
      <c r="RRQ2"/>
      <c r="RRR2"/>
      <c r="RRS2"/>
      <c r="RRT2"/>
      <c r="RRU2"/>
      <c r="RRV2"/>
      <c r="RRW2"/>
      <c r="RRX2"/>
      <c r="RRY2"/>
      <c r="RRZ2"/>
      <c r="RSA2"/>
      <c r="RSB2"/>
      <c r="RSC2"/>
      <c r="RSD2"/>
      <c r="RSE2"/>
      <c r="RSF2"/>
      <c r="RSG2"/>
      <c r="RSH2"/>
      <c r="RSI2"/>
      <c r="RSJ2"/>
      <c r="RSK2"/>
      <c r="RSL2"/>
      <c r="RSM2"/>
      <c r="RSN2"/>
      <c r="RSO2"/>
      <c r="RSP2"/>
      <c r="RSQ2"/>
      <c r="RSR2"/>
      <c r="RSS2"/>
      <c r="RST2"/>
      <c r="RSU2"/>
      <c r="RSV2"/>
      <c r="RSW2"/>
      <c r="RSX2"/>
      <c r="RSY2"/>
      <c r="RSZ2"/>
      <c r="RTA2"/>
      <c r="RTB2"/>
      <c r="RTC2"/>
      <c r="RTD2"/>
      <c r="RTE2"/>
      <c r="RTF2"/>
      <c r="RTG2"/>
      <c r="RTH2"/>
      <c r="RTI2"/>
      <c r="RTJ2"/>
      <c r="RTK2"/>
      <c r="RTL2"/>
      <c r="RTM2"/>
      <c r="RTN2"/>
      <c r="RTO2"/>
      <c r="RTP2"/>
      <c r="RTQ2"/>
      <c r="RTR2"/>
      <c r="RTS2"/>
      <c r="RTT2"/>
      <c r="RTU2"/>
      <c r="RTV2"/>
      <c r="RTW2"/>
      <c r="RTX2"/>
      <c r="RTY2"/>
      <c r="RTZ2"/>
      <c r="RUA2"/>
      <c r="RUB2"/>
      <c r="RUC2"/>
      <c r="RUD2"/>
      <c r="RUE2"/>
      <c r="RUF2"/>
      <c r="RUG2"/>
      <c r="RUH2"/>
      <c r="RUI2"/>
      <c r="RUJ2"/>
      <c r="RUK2"/>
      <c r="RUL2"/>
      <c r="RUM2"/>
      <c r="RUN2"/>
      <c r="RUO2"/>
      <c r="RUP2"/>
      <c r="RUQ2"/>
      <c r="RUR2"/>
      <c r="RUS2"/>
      <c r="RUT2"/>
      <c r="RUU2"/>
      <c r="RUV2"/>
      <c r="RUW2"/>
      <c r="RUX2"/>
      <c r="RUY2"/>
      <c r="RUZ2"/>
      <c r="RVA2"/>
      <c r="RVB2"/>
      <c r="RVC2"/>
      <c r="RVD2"/>
      <c r="RVE2"/>
      <c r="RVF2"/>
      <c r="RVG2"/>
      <c r="RVH2"/>
      <c r="RVI2"/>
      <c r="RVJ2"/>
      <c r="RVK2"/>
      <c r="RVL2"/>
      <c r="RVM2"/>
      <c r="RVN2"/>
      <c r="RVO2"/>
      <c r="RVP2"/>
      <c r="RVQ2"/>
      <c r="RVR2"/>
      <c r="RVS2"/>
      <c r="RVT2"/>
      <c r="RVU2"/>
      <c r="RVV2"/>
      <c r="RVW2"/>
      <c r="RVX2"/>
      <c r="RVY2"/>
      <c r="RVZ2"/>
      <c r="RWA2"/>
      <c r="RWB2"/>
      <c r="RWC2"/>
      <c r="RWD2"/>
      <c r="RWE2"/>
      <c r="RWF2"/>
      <c r="RWG2"/>
      <c r="RWH2"/>
      <c r="RWI2"/>
      <c r="RWJ2"/>
      <c r="RWK2"/>
      <c r="RWL2"/>
      <c r="RWM2"/>
      <c r="RWN2"/>
      <c r="RWO2"/>
      <c r="RWP2"/>
      <c r="RWQ2"/>
      <c r="RWR2"/>
      <c r="RWS2"/>
      <c r="RWT2"/>
      <c r="RWU2"/>
      <c r="RWV2"/>
      <c r="RWW2"/>
      <c r="RWX2"/>
      <c r="RWY2"/>
      <c r="RWZ2"/>
      <c r="RXA2"/>
      <c r="RXB2"/>
      <c r="RXC2"/>
      <c r="RXD2"/>
      <c r="RXE2"/>
      <c r="RXF2"/>
      <c r="RXG2"/>
      <c r="RXH2"/>
      <c r="RXI2"/>
      <c r="RXJ2"/>
      <c r="RXK2"/>
      <c r="RXL2"/>
      <c r="RXM2"/>
      <c r="RXN2"/>
      <c r="RXO2"/>
      <c r="RXP2"/>
      <c r="RXQ2"/>
      <c r="RXR2"/>
      <c r="RXS2"/>
      <c r="RXT2"/>
      <c r="RXU2"/>
      <c r="RXV2"/>
      <c r="RXW2"/>
      <c r="RXX2"/>
      <c r="RXY2"/>
      <c r="RXZ2"/>
      <c r="RYA2"/>
      <c r="RYB2"/>
      <c r="RYC2"/>
      <c r="RYD2"/>
      <c r="RYE2"/>
      <c r="RYF2"/>
      <c r="RYG2"/>
      <c r="RYH2"/>
      <c r="RYI2"/>
      <c r="RYJ2"/>
      <c r="RYK2"/>
      <c r="RYL2"/>
      <c r="RYM2"/>
      <c r="RYN2"/>
      <c r="RYO2"/>
      <c r="RYP2"/>
      <c r="RYQ2"/>
      <c r="RYR2"/>
      <c r="RYS2"/>
      <c r="RYT2"/>
      <c r="RYU2"/>
      <c r="RYV2"/>
      <c r="RYW2"/>
      <c r="RYX2"/>
      <c r="RYY2"/>
      <c r="RYZ2"/>
      <c r="RZA2"/>
      <c r="RZB2"/>
      <c r="RZC2"/>
      <c r="RZD2"/>
      <c r="RZE2"/>
      <c r="RZF2"/>
      <c r="RZG2"/>
      <c r="RZH2"/>
      <c r="RZI2"/>
      <c r="RZJ2"/>
      <c r="RZK2"/>
      <c r="RZL2"/>
      <c r="RZM2"/>
      <c r="RZN2"/>
      <c r="RZO2"/>
      <c r="RZP2"/>
      <c r="RZQ2"/>
      <c r="RZR2"/>
      <c r="RZS2"/>
      <c r="RZT2"/>
      <c r="RZU2"/>
      <c r="RZV2"/>
      <c r="RZW2"/>
      <c r="RZX2"/>
      <c r="RZY2"/>
      <c r="RZZ2"/>
      <c r="SAA2"/>
      <c r="SAB2"/>
      <c r="SAC2"/>
      <c r="SAD2"/>
      <c r="SAE2"/>
      <c r="SAF2"/>
      <c r="SAG2"/>
      <c r="SAH2"/>
      <c r="SAI2"/>
      <c r="SAJ2"/>
      <c r="SAK2"/>
      <c r="SAL2"/>
      <c r="SAM2"/>
      <c r="SAN2"/>
      <c r="SAO2"/>
      <c r="SAP2"/>
      <c r="SAQ2"/>
      <c r="SAR2"/>
      <c r="SAS2"/>
      <c r="SAT2"/>
      <c r="SAU2"/>
      <c r="SAV2"/>
      <c r="SAW2"/>
      <c r="SAX2"/>
      <c r="SAY2"/>
      <c r="SAZ2"/>
      <c r="SBA2"/>
      <c r="SBB2"/>
      <c r="SBC2"/>
      <c r="SBD2"/>
      <c r="SBE2"/>
      <c r="SBF2"/>
      <c r="SBG2"/>
      <c r="SBH2"/>
      <c r="SBI2"/>
      <c r="SBJ2"/>
      <c r="SBK2"/>
      <c r="SBL2"/>
      <c r="SBM2"/>
      <c r="SBN2"/>
      <c r="SBO2"/>
      <c r="SBP2"/>
      <c r="SBQ2"/>
      <c r="SBR2"/>
      <c r="SBS2"/>
      <c r="SBT2"/>
      <c r="SBU2"/>
      <c r="SBV2"/>
      <c r="SBW2"/>
      <c r="SBX2"/>
      <c r="SBY2"/>
      <c r="SBZ2"/>
      <c r="SCA2"/>
      <c r="SCB2"/>
      <c r="SCC2"/>
      <c r="SCD2"/>
      <c r="SCE2"/>
      <c r="SCF2"/>
      <c r="SCG2"/>
      <c r="SCH2"/>
      <c r="SCI2"/>
      <c r="SCJ2"/>
      <c r="SCK2"/>
      <c r="SCL2"/>
      <c r="SCM2"/>
      <c r="SCN2"/>
      <c r="SCO2"/>
      <c r="SCP2"/>
      <c r="SCQ2"/>
      <c r="SCR2"/>
      <c r="SCS2"/>
      <c r="SCT2"/>
      <c r="SCU2"/>
      <c r="SCV2"/>
      <c r="SCW2"/>
      <c r="SCX2"/>
      <c r="SCY2"/>
      <c r="SCZ2"/>
      <c r="SDA2"/>
      <c r="SDB2"/>
      <c r="SDC2"/>
      <c r="SDD2"/>
      <c r="SDE2"/>
      <c r="SDF2"/>
      <c r="SDG2"/>
      <c r="SDH2"/>
      <c r="SDI2"/>
      <c r="SDJ2"/>
      <c r="SDK2"/>
      <c r="SDL2"/>
      <c r="SDM2"/>
      <c r="SDN2"/>
      <c r="SDO2"/>
      <c r="SDP2"/>
      <c r="SDQ2"/>
      <c r="SDR2"/>
      <c r="SDS2"/>
      <c r="SDT2"/>
      <c r="SDU2"/>
      <c r="SDV2"/>
      <c r="SDW2"/>
      <c r="SDX2"/>
      <c r="SDY2"/>
      <c r="SDZ2"/>
      <c r="SEA2"/>
      <c r="SEB2"/>
      <c r="SEC2"/>
      <c r="SED2"/>
      <c r="SEE2"/>
      <c r="SEF2"/>
      <c r="SEG2"/>
      <c r="SEH2"/>
      <c r="SEI2"/>
      <c r="SEJ2"/>
      <c r="SEK2"/>
      <c r="SEL2"/>
      <c r="SEM2"/>
      <c r="SEN2"/>
      <c r="SEO2"/>
      <c r="SEP2"/>
      <c r="SEQ2"/>
      <c r="SER2"/>
      <c r="SES2"/>
      <c r="SET2"/>
      <c r="SEU2"/>
      <c r="SEV2"/>
      <c r="SEW2"/>
      <c r="SEX2"/>
      <c r="SEY2"/>
      <c r="SEZ2"/>
      <c r="SFA2"/>
      <c r="SFB2"/>
      <c r="SFC2"/>
      <c r="SFD2"/>
      <c r="SFE2"/>
      <c r="SFF2"/>
      <c r="SFG2"/>
      <c r="SFH2"/>
      <c r="SFI2"/>
      <c r="SFJ2"/>
      <c r="SFK2"/>
      <c r="SFL2"/>
      <c r="SFM2"/>
      <c r="SFN2"/>
      <c r="SFO2"/>
      <c r="SFP2"/>
      <c r="SFQ2"/>
      <c r="SFR2"/>
      <c r="SFS2"/>
      <c r="SFT2"/>
      <c r="SFU2"/>
      <c r="SFV2"/>
      <c r="SFW2"/>
      <c r="SFX2"/>
      <c r="SFY2"/>
      <c r="SFZ2"/>
      <c r="SGA2"/>
      <c r="SGB2"/>
      <c r="SGC2"/>
      <c r="SGD2"/>
      <c r="SGE2"/>
      <c r="SGF2"/>
      <c r="SGG2"/>
      <c r="SGH2"/>
      <c r="SGI2"/>
      <c r="SGJ2"/>
      <c r="SGK2"/>
      <c r="SGL2"/>
      <c r="SGM2"/>
      <c r="SGN2"/>
      <c r="SGO2"/>
      <c r="SGP2"/>
      <c r="SGQ2"/>
      <c r="SGR2"/>
      <c r="SGS2"/>
      <c r="SGT2"/>
      <c r="SGU2"/>
      <c r="SGV2"/>
      <c r="SGW2"/>
      <c r="SGX2"/>
      <c r="SGY2"/>
      <c r="SGZ2"/>
      <c r="SHA2"/>
      <c r="SHB2"/>
      <c r="SHC2"/>
      <c r="SHD2"/>
      <c r="SHE2"/>
      <c r="SHF2"/>
      <c r="SHG2"/>
      <c r="SHH2"/>
      <c r="SHI2"/>
      <c r="SHJ2"/>
      <c r="SHK2"/>
      <c r="SHL2"/>
      <c r="SHM2"/>
      <c r="SHN2"/>
      <c r="SHO2"/>
      <c r="SHP2"/>
      <c r="SHQ2"/>
      <c r="SHR2"/>
      <c r="SHS2"/>
      <c r="SHT2"/>
      <c r="SHU2"/>
      <c r="SHV2"/>
      <c r="SHW2"/>
      <c r="SHX2"/>
      <c r="SHY2"/>
      <c r="SHZ2"/>
      <c r="SIA2"/>
      <c r="SIB2"/>
      <c r="SIC2"/>
      <c r="SID2"/>
      <c r="SIE2"/>
      <c r="SIF2"/>
      <c r="SIG2"/>
      <c r="SIH2"/>
      <c r="SII2"/>
      <c r="SIJ2"/>
      <c r="SIK2"/>
      <c r="SIL2"/>
      <c r="SIM2"/>
      <c r="SIN2"/>
      <c r="SIO2"/>
      <c r="SIP2"/>
      <c r="SIQ2"/>
      <c r="SIR2"/>
      <c r="SIS2"/>
      <c r="SIT2"/>
      <c r="SIU2"/>
      <c r="SIV2"/>
      <c r="SIW2"/>
      <c r="SIX2"/>
      <c r="SIY2"/>
      <c r="SIZ2"/>
      <c r="SJA2"/>
      <c r="SJB2"/>
      <c r="SJC2"/>
      <c r="SJD2"/>
      <c r="SJE2"/>
      <c r="SJF2"/>
      <c r="SJG2"/>
      <c r="SJH2"/>
      <c r="SJI2"/>
      <c r="SJJ2"/>
      <c r="SJK2"/>
      <c r="SJL2"/>
      <c r="SJM2"/>
      <c r="SJN2"/>
      <c r="SJO2"/>
      <c r="SJP2"/>
      <c r="SJQ2"/>
      <c r="SJR2"/>
      <c r="SJS2"/>
      <c r="SJT2"/>
      <c r="SJU2"/>
      <c r="SJV2"/>
      <c r="SJW2"/>
      <c r="SJX2"/>
      <c r="SJY2"/>
      <c r="SJZ2"/>
      <c r="SKA2"/>
      <c r="SKB2"/>
      <c r="SKC2"/>
      <c r="SKD2"/>
      <c r="SKE2"/>
      <c r="SKF2"/>
      <c r="SKG2"/>
      <c r="SKH2"/>
      <c r="SKI2"/>
      <c r="SKJ2"/>
      <c r="SKK2"/>
      <c r="SKL2"/>
      <c r="SKM2"/>
      <c r="SKN2"/>
      <c r="SKO2"/>
      <c r="SKP2"/>
      <c r="SKQ2"/>
      <c r="SKR2"/>
      <c r="SKS2"/>
      <c r="SKT2"/>
      <c r="SKU2"/>
      <c r="SKV2"/>
      <c r="SKW2"/>
      <c r="SKX2"/>
      <c r="SKY2"/>
      <c r="SKZ2"/>
      <c r="SLA2"/>
      <c r="SLB2"/>
      <c r="SLC2"/>
      <c r="SLD2"/>
      <c r="SLE2"/>
      <c r="SLF2"/>
      <c r="SLG2"/>
      <c r="SLH2"/>
      <c r="SLI2"/>
      <c r="SLJ2"/>
      <c r="SLK2"/>
      <c r="SLL2"/>
      <c r="SLM2"/>
      <c r="SLN2"/>
      <c r="SLO2"/>
      <c r="SLP2"/>
      <c r="SLQ2"/>
      <c r="SLR2"/>
      <c r="SLS2"/>
      <c r="SLT2"/>
      <c r="SLU2"/>
      <c r="SLV2"/>
      <c r="SLW2"/>
      <c r="SLX2"/>
      <c r="SLY2"/>
      <c r="SLZ2"/>
      <c r="SMA2"/>
      <c r="SMB2"/>
      <c r="SMC2"/>
      <c r="SMD2"/>
      <c r="SME2"/>
      <c r="SMF2"/>
      <c r="SMG2"/>
      <c r="SMH2"/>
      <c r="SMI2"/>
      <c r="SMJ2"/>
      <c r="SMK2"/>
      <c r="SML2"/>
      <c r="SMM2"/>
      <c r="SMN2"/>
      <c r="SMO2"/>
      <c r="SMP2"/>
      <c r="SMQ2"/>
      <c r="SMR2"/>
      <c r="SMS2"/>
      <c r="SMT2"/>
      <c r="SMU2"/>
      <c r="SMV2"/>
      <c r="SMW2"/>
      <c r="SMX2"/>
      <c r="SMY2"/>
      <c r="SMZ2"/>
      <c r="SNA2"/>
      <c r="SNB2"/>
      <c r="SNC2"/>
      <c r="SND2"/>
      <c r="SNE2"/>
      <c r="SNF2"/>
      <c r="SNG2"/>
      <c r="SNH2"/>
      <c r="SNI2"/>
      <c r="SNJ2"/>
      <c r="SNK2"/>
      <c r="SNL2"/>
      <c r="SNM2"/>
      <c r="SNN2"/>
      <c r="SNO2"/>
      <c r="SNP2"/>
      <c r="SNQ2"/>
      <c r="SNR2"/>
      <c r="SNS2"/>
      <c r="SNT2"/>
      <c r="SNU2"/>
      <c r="SNV2"/>
      <c r="SNW2"/>
      <c r="SNX2"/>
      <c r="SNY2"/>
      <c r="SNZ2"/>
      <c r="SOA2"/>
      <c r="SOB2"/>
      <c r="SOC2"/>
      <c r="SOD2"/>
      <c r="SOE2"/>
      <c r="SOF2"/>
      <c r="SOG2"/>
      <c r="SOH2"/>
      <c r="SOI2"/>
      <c r="SOJ2"/>
      <c r="SOK2"/>
      <c r="SOL2"/>
      <c r="SOM2"/>
      <c r="SON2"/>
      <c r="SOO2"/>
      <c r="SOP2"/>
      <c r="SOQ2"/>
      <c r="SOR2"/>
      <c r="SOS2"/>
      <c r="SOT2"/>
      <c r="SOU2"/>
      <c r="SOV2"/>
      <c r="SOW2"/>
      <c r="SOX2"/>
      <c r="SOY2"/>
      <c r="SOZ2"/>
      <c r="SPA2"/>
      <c r="SPB2"/>
      <c r="SPC2"/>
      <c r="SPD2"/>
      <c r="SPE2"/>
      <c r="SPF2"/>
      <c r="SPG2"/>
      <c r="SPH2"/>
      <c r="SPI2"/>
      <c r="SPJ2"/>
      <c r="SPK2"/>
      <c r="SPL2"/>
      <c r="SPM2"/>
      <c r="SPN2"/>
      <c r="SPO2"/>
      <c r="SPP2"/>
      <c r="SPQ2"/>
      <c r="SPR2"/>
      <c r="SPS2"/>
      <c r="SPT2"/>
      <c r="SPU2"/>
      <c r="SPV2"/>
      <c r="SPW2"/>
      <c r="SPX2"/>
      <c r="SPY2"/>
      <c r="SPZ2"/>
      <c r="SQA2"/>
      <c r="SQB2"/>
      <c r="SQC2"/>
      <c r="SQD2"/>
      <c r="SQE2"/>
      <c r="SQF2"/>
      <c r="SQG2"/>
      <c r="SQH2"/>
      <c r="SQI2"/>
      <c r="SQJ2"/>
      <c r="SQK2"/>
      <c r="SQL2"/>
      <c r="SQM2"/>
      <c r="SQN2"/>
      <c r="SQO2"/>
      <c r="SQP2"/>
      <c r="SQQ2"/>
      <c r="SQR2"/>
      <c r="SQS2"/>
      <c r="SQT2"/>
      <c r="SQU2"/>
      <c r="SQV2"/>
      <c r="SQW2"/>
      <c r="SQX2"/>
      <c r="SQY2"/>
      <c r="SQZ2"/>
      <c r="SRA2"/>
      <c r="SRB2"/>
      <c r="SRC2"/>
      <c r="SRD2"/>
      <c r="SRE2"/>
      <c r="SRF2"/>
      <c r="SRG2"/>
      <c r="SRH2"/>
      <c r="SRI2"/>
      <c r="SRJ2"/>
      <c r="SRK2"/>
      <c r="SRL2"/>
      <c r="SRM2"/>
      <c r="SRN2"/>
      <c r="SRO2"/>
      <c r="SRP2"/>
      <c r="SRQ2"/>
      <c r="SRR2"/>
      <c r="SRS2"/>
      <c r="SRT2"/>
      <c r="SRU2"/>
      <c r="SRV2"/>
      <c r="SRW2"/>
      <c r="SRX2"/>
      <c r="SRY2"/>
      <c r="SRZ2"/>
      <c r="SSA2"/>
      <c r="SSB2"/>
      <c r="SSC2"/>
      <c r="SSD2"/>
      <c r="SSE2"/>
      <c r="SSF2"/>
      <c r="SSG2"/>
      <c r="SSH2"/>
      <c r="SSI2"/>
      <c r="SSJ2"/>
      <c r="SSK2"/>
      <c r="SSL2"/>
      <c r="SSM2"/>
      <c r="SSN2"/>
      <c r="SSO2"/>
      <c r="SSP2"/>
      <c r="SSQ2"/>
      <c r="SSR2"/>
      <c r="SSS2"/>
      <c r="SST2"/>
      <c r="SSU2"/>
      <c r="SSV2"/>
      <c r="SSW2"/>
      <c r="SSX2"/>
      <c r="SSY2"/>
      <c r="SSZ2"/>
      <c r="STA2"/>
      <c r="STB2"/>
      <c r="STC2"/>
      <c r="STD2"/>
      <c r="STE2"/>
      <c r="STF2"/>
      <c r="STG2"/>
      <c r="STH2"/>
      <c r="STI2"/>
      <c r="STJ2"/>
      <c r="STK2"/>
      <c r="STL2"/>
      <c r="STM2"/>
      <c r="STN2"/>
      <c r="STO2"/>
      <c r="STP2"/>
      <c r="STQ2"/>
      <c r="STR2"/>
      <c r="STS2"/>
      <c r="STT2"/>
      <c r="STU2"/>
      <c r="STV2"/>
      <c r="STW2"/>
      <c r="STX2"/>
      <c r="STY2"/>
      <c r="STZ2"/>
      <c r="SUA2"/>
      <c r="SUB2"/>
      <c r="SUC2"/>
      <c r="SUD2"/>
      <c r="SUE2"/>
      <c r="SUF2"/>
      <c r="SUG2"/>
      <c r="SUH2"/>
      <c r="SUI2"/>
      <c r="SUJ2"/>
      <c r="SUK2"/>
      <c r="SUL2"/>
      <c r="SUM2"/>
      <c r="SUN2"/>
      <c r="SUO2"/>
      <c r="SUP2"/>
      <c r="SUQ2"/>
      <c r="SUR2"/>
      <c r="SUS2"/>
      <c r="SUT2"/>
      <c r="SUU2"/>
      <c r="SUV2"/>
      <c r="SUW2"/>
      <c r="SUX2"/>
      <c r="SUY2"/>
      <c r="SUZ2"/>
      <c r="SVA2"/>
      <c r="SVB2"/>
      <c r="SVC2"/>
      <c r="SVD2"/>
      <c r="SVE2"/>
      <c r="SVF2"/>
      <c r="SVG2"/>
      <c r="SVH2"/>
      <c r="SVI2"/>
      <c r="SVJ2"/>
      <c r="SVK2"/>
      <c r="SVL2"/>
      <c r="SVM2"/>
      <c r="SVN2"/>
      <c r="SVO2"/>
      <c r="SVP2"/>
      <c r="SVQ2"/>
      <c r="SVR2"/>
      <c r="SVS2"/>
      <c r="SVT2"/>
      <c r="SVU2"/>
      <c r="SVV2"/>
      <c r="SVW2"/>
      <c r="SVX2"/>
      <c r="SVY2"/>
      <c r="SVZ2"/>
      <c r="SWA2"/>
      <c r="SWB2"/>
      <c r="SWC2"/>
      <c r="SWD2"/>
      <c r="SWE2"/>
      <c r="SWF2"/>
      <c r="SWG2"/>
      <c r="SWH2"/>
      <c r="SWI2"/>
      <c r="SWJ2"/>
      <c r="SWK2"/>
      <c r="SWL2"/>
      <c r="SWM2"/>
      <c r="SWN2"/>
      <c r="SWO2"/>
      <c r="SWP2"/>
      <c r="SWQ2"/>
      <c r="SWR2"/>
      <c r="SWS2"/>
      <c r="SWT2"/>
      <c r="SWU2"/>
      <c r="SWV2"/>
      <c r="SWW2"/>
      <c r="SWX2"/>
      <c r="SWY2"/>
      <c r="SWZ2"/>
      <c r="SXA2"/>
      <c r="SXB2"/>
      <c r="SXC2"/>
      <c r="SXD2"/>
      <c r="SXE2"/>
      <c r="SXF2"/>
      <c r="SXG2"/>
      <c r="SXH2"/>
      <c r="SXI2"/>
      <c r="SXJ2"/>
      <c r="SXK2"/>
      <c r="SXL2"/>
      <c r="SXM2"/>
      <c r="SXN2"/>
      <c r="SXO2"/>
      <c r="SXP2"/>
      <c r="SXQ2"/>
      <c r="SXR2"/>
      <c r="SXS2"/>
      <c r="SXT2"/>
      <c r="SXU2"/>
      <c r="SXV2"/>
      <c r="SXW2"/>
      <c r="SXX2"/>
      <c r="SXY2"/>
      <c r="SXZ2"/>
      <c r="SYA2"/>
      <c r="SYB2"/>
      <c r="SYC2"/>
      <c r="SYD2"/>
      <c r="SYE2"/>
      <c r="SYF2"/>
      <c r="SYG2"/>
      <c r="SYH2"/>
      <c r="SYI2"/>
      <c r="SYJ2"/>
      <c r="SYK2"/>
      <c r="SYL2"/>
      <c r="SYM2"/>
      <c r="SYN2"/>
      <c r="SYO2"/>
      <c r="SYP2"/>
      <c r="SYQ2"/>
      <c r="SYR2"/>
      <c r="SYS2"/>
      <c r="SYT2"/>
      <c r="SYU2"/>
      <c r="SYV2"/>
      <c r="SYW2"/>
      <c r="SYX2"/>
      <c r="SYY2"/>
      <c r="SYZ2"/>
      <c r="SZA2"/>
      <c r="SZB2"/>
      <c r="SZC2"/>
      <c r="SZD2"/>
      <c r="SZE2"/>
      <c r="SZF2"/>
      <c r="SZG2"/>
      <c r="SZH2"/>
      <c r="SZI2"/>
      <c r="SZJ2"/>
      <c r="SZK2"/>
      <c r="SZL2"/>
      <c r="SZM2"/>
      <c r="SZN2"/>
      <c r="SZO2"/>
      <c r="SZP2"/>
      <c r="SZQ2"/>
      <c r="SZR2"/>
      <c r="SZS2"/>
      <c r="SZT2"/>
      <c r="SZU2"/>
      <c r="SZV2"/>
      <c r="SZW2"/>
      <c r="SZX2"/>
      <c r="SZY2"/>
      <c r="SZZ2"/>
      <c r="TAA2"/>
      <c r="TAB2"/>
      <c r="TAC2"/>
      <c r="TAD2"/>
      <c r="TAE2"/>
      <c r="TAF2"/>
      <c r="TAG2"/>
      <c r="TAH2"/>
      <c r="TAI2"/>
      <c r="TAJ2"/>
      <c r="TAK2"/>
      <c r="TAL2"/>
      <c r="TAM2"/>
      <c r="TAN2"/>
      <c r="TAO2"/>
      <c r="TAP2"/>
      <c r="TAQ2"/>
      <c r="TAR2"/>
      <c r="TAS2"/>
      <c r="TAT2"/>
      <c r="TAU2"/>
      <c r="TAV2"/>
      <c r="TAW2"/>
      <c r="TAX2"/>
      <c r="TAY2"/>
      <c r="TAZ2"/>
      <c r="TBA2"/>
      <c r="TBB2"/>
      <c r="TBC2"/>
      <c r="TBD2"/>
      <c r="TBE2"/>
      <c r="TBF2"/>
      <c r="TBG2"/>
      <c r="TBH2"/>
      <c r="TBI2"/>
      <c r="TBJ2"/>
      <c r="TBK2"/>
      <c r="TBL2"/>
      <c r="TBM2"/>
      <c r="TBN2"/>
      <c r="TBO2"/>
      <c r="TBP2"/>
      <c r="TBQ2"/>
      <c r="TBR2"/>
      <c r="TBS2"/>
      <c r="TBT2"/>
      <c r="TBU2"/>
      <c r="TBV2"/>
      <c r="TBW2"/>
      <c r="TBX2"/>
      <c r="TBY2"/>
      <c r="TBZ2"/>
      <c r="TCA2"/>
      <c r="TCB2"/>
      <c r="TCC2"/>
      <c r="TCD2"/>
      <c r="TCE2"/>
      <c r="TCF2"/>
      <c r="TCG2"/>
      <c r="TCH2"/>
      <c r="TCI2"/>
      <c r="TCJ2"/>
      <c r="TCK2"/>
      <c r="TCL2"/>
      <c r="TCM2"/>
      <c r="TCN2"/>
      <c r="TCO2"/>
      <c r="TCP2"/>
      <c r="TCQ2"/>
      <c r="TCR2"/>
      <c r="TCS2"/>
      <c r="TCT2"/>
      <c r="TCU2"/>
      <c r="TCV2"/>
      <c r="TCW2"/>
      <c r="TCX2"/>
      <c r="TCY2"/>
      <c r="TCZ2"/>
      <c r="TDA2"/>
      <c r="TDB2"/>
      <c r="TDC2"/>
      <c r="TDD2"/>
      <c r="TDE2"/>
      <c r="TDF2"/>
      <c r="TDG2"/>
      <c r="TDH2"/>
      <c r="TDI2"/>
      <c r="TDJ2"/>
      <c r="TDK2"/>
      <c r="TDL2"/>
      <c r="TDM2"/>
      <c r="TDN2"/>
      <c r="TDO2"/>
      <c r="TDP2"/>
      <c r="TDQ2"/>
      <c r="TDR2"/>
      <c r="TDS2"/>
      <c r="TDT2"/>
      <c r="TDU2"/>
      <c r="TDV2"/>
      <c r="TDW2"/>
      <c r="TDX2"/>
      <c r="TDY2"/>
      <c r="TDZ2"/>
      <c r="TEA2"/>
      <c r="TEB2"/>
      <c r="TEC2"/>
      <c r="TED2"/>
      <c r="TEE2"/>
      <c r="TEF2"/>
      <c r="TEG2"/>
      <c r="TEH2"/>
      <c r="TEI2"/>
      <c r="TEJ2"/>
      <c r="TEK2"/>
      <c r="TEL2"/>
      <c r="TEM2"/>
      <c r="TEN2"/>
      <c r="TEO2"/>
      <c r="TEP2"/>
      <c r="TEQ2"/>
      <c r="TER2"/>
      <c r="TES2"/>
      <c r="TET2"/>
      <c r="TEU2"/>
      <c r="TEV2"/>
      <c r="TEW2"/>
      <c r="TEX2"/>
      <c r="TEY2"/>
      <c r="TEZ2"/>
      <c r="TFA2"/>
      <c r="TFB2"/>
      <c r="TFC2"/>
      <c r="TFD2"/>
      <c r="TFE2"/>
      <c r="TFF2"/>
      <c r="TFG2"/>
      <c r="TFH2"/>
      <c r="TFI2"/>
      <c r="TFJ2"/>
      <c r="TFK2"/>
      <c r="TFL2"/>
      <c r="TFM2"/>
      <c r="TFN2"/>
      <c r="TFO2"/>
      <c r="TFP2"/>
      <c r="TFQ2"/>
      <c r="TFR2"/>
      <c r="TFS2"/>
      <c r="TFT2"/>
      <c r="TFU2"/>
      <c r="TFV2"/>
      <c r="TFW2"/>
      <c r="TFX2"/>
      <c r="TFY2"/>
      <c r="TFZ2"/>
      <c r="TGA2"/>
      <c r="TGB2"/>
      <c r="TGC2"/>
      <c r="TGD2"/>
      <c r="TGE2"/>
      <c r="TGF2"/>
      <c r="TGG2"/>
      <c r="TGH2"/>
      <c r="TGI2"/>
      <c r="TGJ2"/>
      <c r="TGK2"/>
      <c r="TGL2"/>
      <c r="TGM2"/>
      <c r="TGN2"/>
      <c r="TGO2"/>
      <c r="TGP2"/>
      <c r="TGQ2"/>
      <c r="TGR2"/>
      <c r="TGS2"/>
      <c r="TGT2"/>
      <c r="TGU2"/>
      <c r="TGV2"/>
      <c r="TGW2"/>
      <c r="TGX2"/>
      <c r="TGY2"/>
      <c r="TGZ2"/>
      <c r="THA2"/>
      <c r="THB2"/>
      <c r="THC2"/>
      <c r="THD2"/>
      <c r="THE2"/>
      <c r="THF2"/>
      <c r="THG2"/>
      <c r="THH2"/>
      <c r="THI2"/>
      <c r="THJ2"/>
      <c r="THK2"/>
      <c r="THL2"/>
      <c r="THM2"/>
      <c r="THN2"/>
      <c r="THO2"/>
      <c r="THP2"/>
      <c r="THQ2"/>
      <c r="THR2"/>
      <c r="THS2"/>
      <c r="THT2"/>
      <c r="THU2"/>
      <c r="THV2"/>
      <c r="THW2"/>
      <c r="THX2"/>
      <c r="THY2"/>
      <c r="THZ2"/>
      <c r="TIA2"/>
      <c r="TIB2"/>
      <c r="TIC2"/>
      <c r="TID2"/>
      <c r="TIE2"/>
      <c r="TIF2"/>
      <c r="TIG2"/>
      <c r="TIH2"/>
      <c r="TII2"/>
      <c r="TIJ2"/>
      <c r="TIK2"/>
      <c r="TIL2"/>
      <c r="TIM2"/>
      <c r="TIN2"/>
      <c r="TIO2"/>
      <c r="TIP2"/>
      <c r="TIQ2"/>
      <c r="TIR2"/>
      <c r="TIS2"/>
      <c r="TIT2"/>
      <c r="TIU2"/>
      <c r="TIV2"/>
      <c r="TIW2"/>
      <c r="TIX2"/>
      <c r="TIY2"/>
      <c r="TIZ2"/>
      <c r="TJA2"/>
      <c r="TJB2"/>
      <c r="TJC2"/>
      <c r="TJD2"/>
      <c r="TJE2"/>
      <c r="TJF2"/>
      <c r="TJG2"/>
      <c r="TJH2"/>
      <c r="TJI2"/>
      <c r="TJJ2"/>
      <c r="TJK2"/>
      <c r="TJL2"/>
      <c r="TJM2"/>
      <c r="TJN2"/>
      <c r="TJO2"/>
      <c r="TJP2"/>
      <c r="TJQ2"/>
      <c r="TJR2"/>
      <c r="TJS2"/>
      <c r="TJT2"/>
      <c r="TJU2"/>
      <c r="TJV2"/>
      <c r="TJW2"/>
      <c r="TJX2"/>
      <c r="TJY2"/>
      <c r="TJZ2"/>
      <c r="TKA2"/>
      <c r="TKB2"/>
      <c r="TKC2"/>
      <c r="TKD2"/>
      <c r="TKE2"/>
      <c r="TKF2"/>
      <c r="TKG2"/>
      <c r="TKH2"/>
      <c r="TKI2"/>
      <c r="TKJ2"/>
      <c r="TKK2"/>
      <c r="TKL2"/>
      <c r="TKM2"/>
      <c r="TKN2"/>
      <c r="TKO2"/>
      <c r="TKP2"/>
      <c r="TKQ2"/>
      <c r="TKR2"/>
      <c r="TKS2"/>
      <c r="TKT2"/>
      <c r="TKU2"/>
      <c r="TKV2"/>
      <c r="TKW2"/>
      <c r="TKX2"/>
      <c r="TKY2"/>
      <c r="TKZ2"/>
      <c r="TLA2"/>
      <c r="TLB2"/>
      <c r="TLC2"/>
      <c r="TLD2"/>
      <c r="TLE2"/>
      <c r="TLF2"/>
      <c r="TLG2"/>
      <c r="TLH2"/>
      <c r="TLI2"/>
      <c r="TLJ2"/>
      <c r="TLK2"/>
      <c r="TLL2"/>
      <c r="TLM2"/>
      <c r="TLN2"/>
      <c r="TLO2"/>
      <c r="TLP2"/>
      <c r="TLQ2"/>
      <c r="TLR2"/>
      <c r="TLS2"/>
      <c r="TLT2"/>
      <c r="TLU2"/>
      <c r="TLV2"/>
      <c r="TLW2"/>
      <c r="TLX2"/>
      <c r="TLY2"/>
      <c r="TLZ2"/>
      <c r="TMA2"/>
      <c r="TMB2"/>
      <c r="TMC2"/>
      <c r="TMD2"/>
      <c r="TME2"/>
      <c r="TMF2"/>
      <c r="TMG2"/>
      <c r="TMH2"/>
      <c r="TMI2"/>
      <c r="TMJ2"/>
      <c r="TMK2"/>
      <c r="TML2"/>
      <c r="TMM2"/>
      <c r="TMN2"/>
      <c r="TMO2"/>
      <c r="TMP2"/>
      <c r="TMQ2"/>
      <c r="TMR2"/>
      <c r="TMS2"/>
      <c r="TMT2"/>
      <c r="TMU2"/>
      <c r="TMV2"/>
      <c r="TMW2"/>
      <c r="TMX2"/>
      <c r="TMY2"/>
      <c r="TMZ2"/>
      <c r="TNA2"/>
      <c r="TNB2"/>
      <c r="TNC2"/>
      <c r="TND2"/>
      <c r="TNE2"/>
      <c r="TNF2"/>
      <c r="TNG2"/>
      <c r="TNH2"/>
      <c r="TNI2"/>
      <c r="TNJ2"/>
      <c r="TNK2"/>
      <c r="TNL2"/>
      <c r="TNM2"/>
      <c r="TNN2"/>
      <c r="TNO2"/>
      <c r="TNP2"/>
      <c r="TNQ2"/>
      <c r="TNR2"/>
      <c r="TNS2"/>
      <c r="TNT2"/>
      <c r="TNU2"/>
      <c r="TNV2"/>
      <c r="TNW2"/>
      <c r="TNX2"/>
      <c r="TNY2"/>
      <c r="TNZ2"/>
      <c r="TOA2"/>
      <c r="TOB2"/>
      <c r="TOC2"/>
      <c r="TOD2"/>
      <c r="TOE2"/>
      <c r="TOF2"/>
      <c r="TOG2"/>
      <c r="TOH2"/>
      <c r="TOI2"/>
      <c r="TOJ2"/>
      <c r="TOK2"/>
      <c r="TOL2"/>
      <c r="TOM2"/>
      <c r="TON2"/>
      <c r="TOO2"/>
      <c r="TOP2"/>
      <c r="TOQ2"/>
      <c r="TOR2"/>
      <c r="TOS2"/>
      <c r="TOT2"/>
      <c r="TOU2"/>
      <c r="TOV2"/>
      <c r="TOW2"/>
      <c r="TOX2"/>
      <c r="TOY2"/>
      <c r="TOZ2"/>
      <c r="TPA2"/>
      <c r="TPB2"/>
      <c r="TPC2"/>
      <c r="TPD2"/>
      <c r="TPE2"/>
      <c r="TPF2"/>
      <c r="TPG2"/>
      <c r="TPH2"/>
      <c r="TPI2"/>
      <c r="TPJ2"/>
      <c r="TPK2"/>
      <c r="TPL2"/>
      <c r="TPM2"/>
      <c r="TPN2"/>
      <c r="TPO2"/>
      <c r="TPP2"/>
      <c r="TPQ2"/>
      <c r="TPR2"/>
      <c r="TPS2"/>
      <c r="TPT2"/>
      <c r="TPU2"/>
      <c r="TPV2"/>
      <c r="TPW2"/>
      <c r="TPX2"/>
      <c r="TPY2"/>
      <c r="TPZ2"/>
      <c r="TQA2"/>
      <c r="TQB2"/>
      <c r="TQC2"/>
      <c r="TQD2"/>
      <c r="TQE2"/>
      <c r="TQF2"/>
      <c r="TQG2"/>
      <c r="TQH2"/>
      <c r="TQI2"/>
      <c r="TQJ2"/>
      <c r="TQK2"/>
      <c r="TQL2"/>
      <c r="TQM2"/>
      <c r="TQN2"/>
      <c r="TQO2"/>
      <c r="TQP2"/>
      <c r="TQQ2"/>
      <c r="TQR2"/>
      <c r="TQS2"/>
      <c r="TQT2"/>
      <c r="TQU2"/>
      <c r="TQV2"/>
      <c r="TQW2"/>
      <c r="TQX2"/>
      <c r="TQY2"/>
      <c r="TQZ2"/>
      <c r="TRA2"/>
      <c r="TRB2"/>
      <c r="TRC2"/>
      <c r="TRD2"/>
      <c r="TRE2"/>
      <c r="TRF2"/>
      <c r="TRG2"/>
      <c r="TRH2"/>
      <c r="TRI2"/>
      <c r="TRJ2"/>
      <c r="TRK2"/>
      <c r="TRL2"/>
      <c r="TRM2"/>
      <c r="TRN2"/>
      <c r="TRO2"/>
      <c r="TRP2"/>
      <c r="TRQ2"/>
      <c r="TRR2"/>
      <c r="TRS2"/>
      <c r="TRT2"/>
      <c r="TRU2"/>
      <c r="TRV2"/>
      <c r="TRW2"/>
      <c r="TRX2"/>
      <c r="TRY2"/>
      <c r="TRZ2"/>
      <c r="TSA2"/>
      <c r="TSB2"/>
      <c r="TSC2"/>
      <c r="TSD2"/>
      <c r="TSE2"/>
      <c r="TSF2"/>
      <c r="TSG2"/>
      <c r="TSH2"/>
      <c r="TSI2"/>
      <c r="TSJ2"/>
      <c r="TSK2"/>
      <c r="TSL2"/>
      <c r="TSM2"/>
      <c r="TSN2"/>
      <c r="TSO2"/>
      <c r="TSP2"/>
      <c r="TSQ2"/>
      <c r="TSR2"/>
      <c r="TSS2"/>
      <c r="TST2"/>
      <c r="TSU2"/>
      <c r="TSV2"/>
      <c r="TSW2"/>
      <c r="TSX2"/>
      <c r="TSY2"/>
      <c r="TSZ2"/>
      <c r="TTA2"/>
      <c r="TTB2"/>
      <c r="TTC2"/>
      <c r="TTD2"/>
      <c r="TTE2"/>
      <c r="TTF2"/>
      <c r="TTG2"/>
      <c r="TTH2"/>
      <c r="TTI2"/>
      <c r="TTJ2"/>
      <c r="TTK2"/>
      <c r="TTL2"/>
      <c r="TTM2"/>
      <c r="TTN2"/>
      <c r="TTO2"/>
      <c r="TTP2"/>
      <c r="TTQ2"/>
      <c r="TTR2"/>
      <c r="TTS2"/>
      <c r="TTT2"/>
      <c r="TTU2"/>
      <c r="TTV2"/>
      <c r="TTW2"/>
      <c r="TTX2"/>
      <c r="TTY2"/>
      <c r="TTZ2"/>
      <c r="TUA2"/>
      <c r="TUB2"/>
      <c r="TUC2"/>
      <c r="TUD2"/>
      <c r="TUE2"/>
      <c r="TUF2"/>
      <c r="TUG2"/>
      <c r="TUH2"/>
      <c r="TUI2"/>
      <c r="TUJ2"/>
      <c r="TUK2"/>
      <c r="TUL2"/>
      <c r="TUM2"/>
      <c r="TUN2"/>
      <c r="TUO2"/>
      <c r="TUP2"/>
      <c r="TUQ2"/>
      <c r="TUR2"/>
      <c r="TUS2"/>
      <c r="TUT2"/>
      <c r="TUU2"/>
      <c r="TUV2"/>
      <c r="TUW2"/>
      <c r="TUX2"/>
      <c r="TUY2"/>
      <c r="TUZ2"/>
      <c r="TVA2"/>
      <c r="TVB2"/>
      <c r="TVC2"/>
      <c r="TVD2"/>
      <c r="TVE2"/>
      <c r="TVF2"/>
      <c r="TVG2"/>
      <c r="TVH2"/>
      <c r="TVI2"/>
      <c r="TVJ2"/>
      <c r="TVK2"/>
      <c r="TVL2"/>
      <c r="TVM2"/>
      <c r="TVN2"/>
      <c r="TVO2"/>
      <c r="TVP2"/>
      <c r="TVQ2"/>
      <c r="TVR2"/>
      <c r="TVS2"/>
      <c r="TVT2"/>
      <c r="TVU2"/>
      <c r="TVV2"/>
      <c r="TVW2"/>
      <c r="TVX2"/>
      <c r="TVY2"/>
      <c r="TVZ2"/>
      <c r="TWA2"/>
      <c r="TWB2"/>
      <c r="TWC2"/>
      <c r="TWD2"/>
      <c r="TWE2"/>
      <c r="TWF2"/>
      <c r="TWG2"/>
      <c r="TWH2"/>
      <c r="TWI2"/>
      <c r="TWJ2"/>
      <c r="TWK2"/>
      <c r="TWL2"/>
      <c r="TWM2"/>
      <c r="TWN2"/>
      <c r="TWO2"/>
      <c r="TWP2"/>
      <c r="TWQ2"/>
      <c r="TWR2"/>
      <c r="TWS2"/>
      <c r="TWT2"/>
      <c r="TWU2"/>
      <c r="TWV2"/>
      <c r="TWW2"/>
      <c r="TWX2"/>
      <c r="TWY2"/>
      <c r="TWZ2"/>
      <c r="TXA2"/>
      <c r="TXB2"/>
      <c r="TXC2"/>
      <c r="TXD2"/>
      <c r="TXE2"/>
      <c r="TXF2"/>
      <c r="TXG2"/>
      <c r="TXH2"/>
      <c r="TXI2"/>
      <c r="TXJ2"/>
      <c r="TXK2"/>
      <c r="TXL2"/>
      <c r="TXM2"/>
      <c r="TXN2"/>
      <c r="TXO2"/>
      <c r="TXP2"/>
      <c r="TXQ2"/>
      <c r="TXR2"/>
      <c r="TXS2"/>
      <c r="TXT2"/>
      <c r="TXU2"/>
      <c r="TXV2"/>
      <c r="TXW2"/>
      <c r="TXX2"/>
      <c r="TXY2"/>
      <c r="TXZ2"/>
      <c r="TYA2"/>
      <c r="TYB2"/>
      <c r="TYC2"/>
      <c r="TYD2"/>
      <c r="TYE2"/>
      <c r="TYF2"/>
      <c r="TYG2"/>
      <c r="TYH2"/>
      <c r="TYI2"/>
      <c r="TYJ2"/>
      <c r="TYK2"/>
      <c r="TYL2"/>
      <c r="TYM2"/>
      <c r="TYN2"/>
      <c r="TYO2"/>
      <c r="TYP2"/>
      <c r="TYQ2"/>
      <c r="TYR2"/>
      <c r="TYS2"/>
      <c r="TYT2"/>
      <c r="TYU2"/>
      <c r="TYV2"/>
      <c r="TYW2"/>
      <c r="TYX2"/>
      <c r="TYY2"/>
      <c r="TYZ2"/>
      <c r="TZA2"/>
      <c r="TZB2"/>
      <c r="TZC2"/>
      <c r="TZD2"/>
      <c r="TZE2"/>
      <c r="TZF2"/>
      <c r="TZG2"/>
      <c r="TZH2"/>
      <c r="TZI2"/>
      <c r="TZJ2"/>
      <c r="TZK2"/>
      <c r="TZL2"/>
      <c r="TZM2"/>
      <c r="TZN2"/>
      <c r="TZO2"/>
      <c r="TZP2"/>
      <c r="TZQ2"/>
      <c r="TZR2"/>
      <c r="TZS2"/>
      <c r="TZT2"/>
      <c r="TZU2"/>
      <c r="TZV2"/>
      <c r="TZW2"/>
      <c r="TZX2"/>
      <c r="TZY2"/>
      <c r="TZZ2"/>
      <c r="UAA2"/>
      <c r="UAB2"/>
      <c r="UAC2"/>
      <c r="UAD2"/>
      <c r="UAE2"/>
      <c r="UAF2"/>
      <c r="UAG2"/>
      <c r="UAH2"/>
      <c r="UAI2"/>
      <c r="UAJ2"/>
      <c r="UAK2"/>
      <c r="UAL2"/>
      <c r="UAM2"/>
      <c r="UAN2"/>
      <c r="UAO2"/>
      <c r="UAP2"/>
      <c r="UAQ2"/>
      <c r="UAR2"/>
      <c r="UAS2"/>
      <c r="UAT2"/>
      <c r="UAU2"/>
      <c r="UAV2"/>
      <c r="UAW2"/>
      <c r="UAX2"/>
      <c r="UAY2"/>
      <c r="UAZ2"/>
      <c r="UBA2"/>
      <c r="UBB2"/>
      <c r="UBC2"/>
      <c r="UBD2"/>
      <c r="UBE2"/>
      <c r="UBF2"/>
      <c r="UBG2"/>
      <c r="UBH2"/>
      <c r="UBI2"/>
      <c r="UBJ2"/>
      <c r="UBK2"/>
      <c r="UBL2"/>
      <c r="UBM2"/>
      <c r="UBN2"/>
      <c r="UBO2"/>
      <c r="UBP2"/>
      <c r="UBQ2"/>
      <c r="UBR2"/>
      <c r="UBS2"/>
      <c r="UBT2"/>
      <c r="UBU2"/>
      <c r="UBV2"/>
      <c r="UBW2"/>
      <c r="UBX2"/>
      <c r="UBY2"/>
      <c r="UBZ2"/>
      <c r="UCA2"/>
      <c r="UCB2"/>
      <c r="UCC2"/>
      <c r="UCD2"/>
      <c r="UCE2"/>
      <c r="UCF2"/>
      <c r="UCG2"/>
      <c r="UCH2"/>
      <c r="UCI2"/>
      <c r="UCJ2"/>
      <c r="UCK2"/>
      <c r="UCL2"/>
      <c r="UCM2"/>
      <c r="UCN2"/>
      <c r="UCO2"/>
      <c r="UCP2"/>
      <c r="UCQ2"/>
      <c r="UCR2"/>
      <c r="UCS2"/>
      <c r="UCT2"/>
      <c r="UCU2"/>
      <c r="UCV2"/>
      <c r="UCW2"/>
      <c r="UCX2"/>
      <c r="UCY2"/>
      <c r="UCZ2"/>
      <c r="UDA2"/>
      <c r="UDB2"/>
      <c r="UDC2"/>
      <c r="UDD2"/>
      <c r="UDE2"/>
      <c r="UDF2"/>
      <c r="UDG2"/>
      <c r="UDH2"/>
      <c r="UDI2"/>
      <c r="UDJ2"/>
      <c r="UDK2"/>
      <c r="UDL2"/>
      <c r="UDM2"/>
      <c r="UDN2"/>
      <c r="UDO2"/>
      <c r="UDP2"/>
      <c r="UDQ2"/>
      <c r="UDR2"/>
      <c r="UDS2"/>
      <c r="UDT2"/>
      <c r="UDU2"/>
      <c r="UDV2"/>
      <c r="UDW2"/>
      <c r="UDX2"/>
      <c r="UDY2"/>
      <c r="UDZ2"/>
      <c r="UEA2"/>
      <c r="UEB2"/>
      <c r="UEC2"/>
      <c r="UED2"/>
      <c r="UEE2"/>
      <c r="UEF2"/>
      <c r="UEG2"/>
      <c r="UEH2"/>
      <c r="UEI2"/>
      <c r="UEJ2"/>
      <c r="UEK2"/>
      <c r="UEL2"/>
      <c r="UEM2"/>
      <c r="UEN2"/>
      <c r="UEO2"/>
      <c r="UEP2"/>
      <c r="UEQ2"/>
      <c r="UER2"/>
      <c r="UES2"/>
      <c r="UET2"/>
      <c r="UEU2"/>
      <c r="UEV2"/>
      <c r="UEW2"/>
      <c r="UEX2"/>
      <c r="UEY2"/>
      <c r="UEZ2"/>
      <c r="UFA2"/>
      <c r="UFB2"/>
      <c r="UFC2"/>
      <c r="UFD2"/>
      <c r="UFE2"/>
      <c r="UFF2"/>
      <c r="UFG2"/>
      <c r="UFH2"/>
      <c r="UFI2"/>
      <c r="UFJ2"/>
      <c r="UFK2"/>
      <c r="UFL2"/>
      <c r="UFM2"/>
      <c r="UFN2"/>
      <c r="UFO2"/>
      <c r="UFP2"/>
      <c r="UFQ2"/>
      <c r="UFR2"/>
      <c r="UFS2"/>
      <c r="UFT2"/>
      <c r="UFU2"/>
      <c r="UFV2"/>
      <c r="UFW2"/>
      <c r="UFX2"/>
      <c r="UFY2"/>
      <c r="UFZ2"/>
      <c r="UGA2"/>
      <c r="UGB2"/>
      <c r="UGC2"/>
      <c r="UGD2"/>
      <c r="UGE2"/>
      <c r="UGF2"/>
      <c r="UGG2"/>
      <c r="UGH2"/>
      <c r="UGI2"/>
      <c r="UGJ2"/>
      <c r="UGK2"/>
      <c r="UGL2"/>
      <c r="UGM2"/>
      <c r="UGN2"/>
      <c r="UGO2"/>
      <c r="UGP2"/>
      <c r="UGQ2"/>
      <c r="UGR2"/>
      <c r="UGS2"/>
      <c r="UGT2"/>
      <c r="UGU2"/>
      <c r="UGV2"/>
      <c r="UGW2"/>
      <c r="UGX2"/>
      <c r="UGY2"/>
      <c r="UGZ2"/>
      <c r="UHA2"/>
      <c r="UHB2"/>
      <c r="UHC2"/>
      <c r="UHD2"/>
      <c r="UHE2"/>
      <c r="UHF2"/>
      <c r="UHG2"/>
      <c r="UHH2"/>
      <c r="UHI2"/>
      <c r="UHJ2"/>
      <c r="UHK2"/>
      <c r="UHL2"/>
      <c r="UHM2"/>
      <c r="UHN2"/>
      <c r="UHO2"/>
      <c r="UHP2"/>
      <c r="UHQ2"/>
      <c r="UHR2"/>
      <c r="UHS2"/>
      <c r="UHT2"/>
      <c r="UHU2"/>
      <c r="UHV2"/>
      <c r="UHW2"/>
      <c r="UHX2"/>
      <c r="UHY2"/>
      <c r="UHZ2"/>
      <c r="UIA2"/>
      <c r="UIB2"/>
      <c r="UIC2"/>
      <c r="UID2"/>
      <c r="UIE2"/>
      <c r="UIF2"/>
      <c r="UIG2"/>
      <c r="UIH2"/>
      <c r="UII2"/>
      <c r="UIJ2"/>
      <c r="UIK2"/>
      <c r="UIL2"/>
      <c r="UIM2"/>
      <c r="UIN2"/>
      <c r="UIO2"/>
      <c r="UIP2"/>
      <c r="UIQ2"/>
      <c r="UIR2"/>
      <c r="UIS2"/>
      <c r="UIT2"/>
      <c r="UIU2"/>
      <c r="UIV2"/>
      <c r="UIW2"/>
      <c r="UIX2"/>
      <c r="UIY2"/>
      <c r="UIZ2"/>
      <c r="UJA2"/>
      <c r="UJB2"/>
      <c r="UJC2"/>
      <c r="UJD2"/>
      <c r="UJE2"/>
      <c r="UJF2"/>
      <c r="UJG2"/>
      <c r="UJH2"/>
      <c r="UJI2"/>
      <c r="UJJ2"/>
      <c r="UJK2"/>
      <c r="UJL2"/>
      <c r="UJM2"/>
      <c r="UJN2"/>
      <c r="UJO2"/>
      <c r="UJP2"/>
      <c r="UJQ2"/>
      <c r="UJR2"/>
      <c r="UJS2"/>
      <c r="UJT2"/>
      <c r="UJU2"/>
      <c r="UJV2"/>
      <c r="UJW2"/>
      <c r="UJX2"/>
      <c r="UJY2"/>
      <c r="UJZ2"/>
      <c r="UKA2"/>
      <c r="UKB2"/>
      <c r="UKC2"/>
      <c r="UKD2"/>
      <c r="UKE2"/>
      <c r="UKF2"/>
      <c r="UKG2"/>
      <c r="UKH2"/>
      <c r="UKI2"/>
      <c r="UKJ2"/>
      <c r="UKK2"/>
      <c r="UKL2"/>
      <c r="UKM2"/>
      <c r="UKN2"/>
      <c r="UKO2"/>
      <c r="UKP2"/>
      <c r="UKQ2"/>
      <c r="UKR2"/>
      <c r="UKS2"/>
      <c r="UKT2"/>
      <c r="UKU2"/>
      <c r="UKV2"/>
      <c r="UKW2"/>
      <c r="UKX2"/>
      <c r="UKY2"/>
      <c r="UKZ2"/>
      <c r="ULA2"/>
      <c r="ULB2"/>
      <c r="ULC2"/>
      <c r="ULD2"/>
      <c r="ULE2"/>
      <c r="ULF2"/>
      <c r="ULG2"/>
      <c r="ULH2"/>
      <c r="ULI2"/>
      <c r="ULJ2"/>
      <c r="ULK2"/>
      <c r="ULL2"/>
      <c r="ULM2"/>
      <c r="ULN2"/>
      <c r="ULO2"/>
      <c r="ULP2"/>
      <c r="ULQ2"/>
      <c r="ULR2"/>
      <c r="ULS2"/>
      <c r="ULT2"/>
      <c r="ULU2"/>
      <c r="ULV2"/>
      <c r="ULW2"/>
      <c r="ULX2"/>
      <c r="ULY2"/>
      <c r="ULZ2"/>
      <c r="UMA2"/>
      <c r="UMB2"/>
      <c r="UMC2"/>
      <c r="UMD2"/>
      <c r="UME2"/>
      <c r="UMF2"/>
      <c r="UMG2"/>
      <c r="UMH2"/>
      <c r="UMI2"/>
      <c r="UMJ2"/>
      <c r="UMK2"/>
      <c r="UML2"/>
      <c r="UMM2"/>
      <c r="UMN2"/>
      <c r="UMO2"/>
      <c r="UMP2"/>
      <c r="UMQ2"/>
      <c r="UMR2"/>
      <c r="UMS2"/>
      <c r="UMT2"/>
      <c r="UMU2"/>
      <c r="UMV2"/>
      <c r="UMW2"/>
      <c r="UMX2"/>
      <c r="UMY2"/>
      <c r="UMZ2"/>
      <c r="UNA2"/>
      <c r="UNB2"/>
      <c r="UNC2"/>
      <c r="UND2"/>
      <c r="UNE2"/>
      <c r="UNF2"/>
      <c r="UNG2"/>
      <c r="UNH2"/>
      <c r="UNI2"/>
      <c r="UNJ2"/>
      <c r="UNK2"/>
      <c r="UNL2"/>
      <c r="UNM2"/>
      <c r="UNN2"/>
      <c r="UNO2"/>
      <c r="UNP2"/>
      <c r="UNQ2"/>
      <c r="UNR2"/>
      <c r="UNS2"/>
      <c r="UNT2"/>
      <c r="UNU2"/>
      <c r="UNV2"/>
      <c r="UNW2"/>
      <c r="UNX2"/>
      <c r="UNY2"/>
      <c r="UNZ2"/>
      <c r="UOA2"/>
      <c r="UOB2"/>
      <c r="UOC2"/>
      <c r="UOD2"/>
      <c r="UOE2"/>
      <c r="UOF2"/>
      <c r="UOG2"/>
      <c r="UOH2"/>
      <c r="UOI2"/>
      <c r="UOJ2"/>
      <c r="UOK2"/>
      <c r="UOL2"/>
      <c r="UOM2"/>
      <c r="UON2"/>
      <c r="UOO2"/>
      <c r="UOP2"/>
      <c r="UOQ2"/>
      <c r="UOR2"/>
      <c r="UOS2"/>
      <c r="UOT2"/>
      <c r="UOU2"/>
      <c r="UOV2"/>
      <c r="UOW2"/>
      <c r="UOX2"/>
      <c r="UOY2"/>
      <c r="UOZ2"/>
      <c r="UPA2"/>
      <c r="UPB2"/>
      <c r="UPC2"/>
      <c r="UPD2"/>
      <c r="UPE2"/>
      <c r="UPF2"/>
      <c r="UPG2"/>
      <c r="UPH2"/>
      <c r="UPI2"/>
      <c r="UPJ2"/>
      <c r="UPK2"/>
      <c r="UPL2"/>
      <c r="UPM2"/>
      <c r="UPN2"/>
      <c r="UPO2"/>
      <c r="UPP2"/>
      <c r="UPQ2"/>
      <c r="UPR2"/>
      <c r="UPS2"/>
      <c r="UPT2"/>
      <c r="UPU2"/>
      <c r="UPV2"/>
      <c r="UPW2"/>
      <c r="UPX2"/>
      <c r="UPY2"/>
      <c r="UPZ2"/>
      <c r="UQA2"/>
      <c r="UQB2"/>
      <c r="UQC2"/>
      <c r="UQD2"/>
      <c r="UQE2"/>
      <c r="UQF2"/>
      <c r="UQG2"/>
      <c r="UQH2"/>
      <c r="UQI2"/>
      <c r="UQJ2"/>
      <c r="UQK2"/>
      <c r="UQL2"/>
      <c r="UQM2"/>
      <c r="UQN2"/>
      <c r="UQO2"/>
      <c r="UQP2"/>
      <c r="UQQ2"/>
      <c r="UQR2"/>
      <c r="UQS2"/>
      <c r="UQT2"/>
      <c r="UQU2"/>
      <c r="UQV2"/>
      <c r="UQW2"/>
      <c r="UQX2"/>
      <c r="UQY2"/>
      <c r="UQZ2"/>
      <c r="URA2"/>
      <c r="URB2"/>
      <c r="URC2"/>
      <c r="URD2"/>
      <c r="URE2"/>
      <c r="URF2"/>
      <c r="URG2"/>
      <c r="URH2"/>
      <c r="URI2"/>
      <c r="URJ2"/>
      <c r="URK2"/>
      <c r="URL2"/>
      <c r="URM2"/>
      <c r="URN2"/>
      <c r="URO2"/>
      <c r="URP2"/>
      <c r="URQ2"/>
      <c r="URR2"/>
      <c r="URS2"/>
      <c r="URT2"/>
      <c r="URU2"/>
      <c r="URV2"/>
      <c r="URW2"/>
      <c r="URX2"/>
      <c r="URY2"/>
      <c r="URZ2"/>
      <c r="USA2"/>
      <c r="USB2"/>
      <c r="USC2"/>
      <c r="USD2"/>
      <c r="USE2"/>
      <c r="USF2"/>
      <c r="USG2"/>
      <c r="USH2"/>
      <c r="USI2"/>
      <c r="USJ2"/>
      <c r="USK2"/>
      <c r="USL2"/>
      <c r="USM2"/>
      <c r="USN2"/>
      <c r="USO2"/>
      <c r="USP2"/>
      <c r="USQ2"/>
      <c r="USR2"/>
      <c r="USS2"/>
      <c r="UST2"/>
      <c r="USU2"/>
      <c r="USV2"/>
      <c r="USW2"/>
      <c r="USX2"/>
      <c r="USY2"/>
      <c r="USZ2"/>
      <c r="UTA2"/>
      <c r="UTB2"/>
      <c r="UTC2"/>
      <c r="UTD2"/>
      <c r="UTE2"/>
      <c r="UTF2"/>
      <c r="UTG2"/>
      <c r="UTH2"/>
      <c r="UTI2"/>
      <c r="UTJ2"/>
      <c r="UTK2"/>
      <c r="UTL2"/>
      <c r="UTM2"/>
      <c r="UTN2"/>
      <c r="UTO2"/>
      <c r="UTP2"/>
      <c r="UTQ2"/>
      <c r="UTR2"/>
      <c r="UTS2"/>
      <c r="UTT2"/>
      <c r="UTU2"/>
      <c r="UTV2"/>
      <c r="UTW2"/>
      <c r="UTX2"/>
      <c r="UTY2"/>
      <c r="UTZ2"/>
      <c r="UUA2"/>
      <c r="UUB2"/>
      <c r="UUC2"/>
      <c r="UUD2"/>
      <c r="UUE2"/>
      <c r="UUF2"/>
      <c r="UUG2"/>
      <c r="UUH2"/>
      <c r="UUI2"/>
      <c r="UUJ2"/>
      <c r="UUK2"/>
      <c r="UUL2"/>
      <c r="UUM2"/>
      <c r="UUN2"/>
      <c r="UUO2"/>
      <c r="UUP2"/>
      <c r="UUQ2"/>
      <c r="UUR2"/>
      <c r="UUS2"/>
      <c r="UUT2"/>
      <c r="UUU2"/>
      <c r="UUV2"/>
      <c r="UUW2"/>
      <c r="UUX2"/>
      <c r="UUY2"/>
      <c r="UUZ2"/>
      <c r="UVA2"/>
      <c r="UVB2"/>
      <c r="UVC2"/>
      <c r="UVD2"/>
      <c r="UVE2"/>
      <c r="UVF2"/>
      <c r="UVG2"/>
      <c r="UVH2"/>
      <c r="UVI2"/>
      <c r="UVJ2"/>
      <c r="UVK2"/>
      <c r="UVL2"/>
      <c r="UVM2"/>
      <c r="UVN2"/>
      <c r="UVO2"/>
      <c r="UVP2"/>
      <c r="UVQ2"/>
      <c r="UVR2"/>
      <c r="UVS2"/>
      <c r="UVT2"/>
      <c r="UVU2"/>
      <c r="UVV2"/>
      <c r="UVW2"/>
      <c r="UVX2"/>
      <c r="UVY2"/>
      <c r="UVZ2"/>
      <c r="UWA2"/>
      <c r="UWB2"/>
      <c r="UWC2"/>
      <c r="UWD2"/>
      <c r="UWE2"/>
      <c r="UWF2"/>
      <c r="UWG2"/>
      <c r="UWH2"/>
      <c r="UWI2"/>
      <c r="UWJ2"/>
      <c r="UWK2"/>
      <c r="UWL2"/>
      <c r="UWM2"/>
      <c r="UWN2"/>
      <c r="UWO2"/>
      <c r="UWP2"/>
      <c r="UWQ2"/>
      <c r="UWR2"/>
      <c r="UWS2"/>
      <c r="UWT2"/>
      <c r="UWU2"/>
      <c r="UWV2"/>
      <c r="UWW2"/>
      <c r="UWX2"/>
      <c r="UWY2"/>
      <c r="UWZ2"/>
      <c r="UXA2"/>
      <c r="UXB2"/>
      <c r="UXC2"/>
      <c r="UXD2"/>
      <c r="UXE2"/>
      <c r="UXF2"/>
      <c r="UXG2"/>
      <c r="UXH2"/>
      <c r="UXI2"/>
      <c r="UXJ2"/>
      <c r="UXK2"/>
      <c r="UXL2"/>
      <c r="UXM2"/>
      <c r="UXN2"/>
      <c r="UXO2"/>
      <c r="UXP2"/>
      <c r="UXQ2"/>
      <c r="UXR2"/>
      <c r="UXS2"/>
      <c r="UXT2"/>
      <c r="UXU2"/>
      <c r="UXV2"/>
      <c r="UXW2"/>
      <c r="UXX2"/>
      <c r="UXY2"/>
      <c r="UXZ2"/>
      <c r="UYA2"/>
      <c r="UYB2"/>
      <c r="UYC2"/>
      <c r="UYD2"/>
      <c r="UYE2"/>
      <c r="UYF2"/>
      <c r="UYG2"/>
      <c r="UYH2"/>
      <c r="UYI2"/>
      <c r="UYJ2"/>
      <c r="UYK2"/>
      <c r="UYL2"/>
      <c r="UYM2"/>
      <c r="UYN2"/>
      <c r="UYO2"/>
      <c r="UYP2"/>
      <c r="UYQ2"/>
      <c r="UYR2"/>
      <c r="UYS2"/>
      <c r="UYT2"/>
      <c r="UYU2"/>
      <c r="UYV2"/>
      <c r="UYW2"/>
      <c r="UYX2"/>
      <c r="UYY2"/>
      <c r="UYZ2"/>
      <c r="UZA2"/>
      <c r="UZB2"/>
      <c r="UZC2"/>
      <c r="UZD2"/>
      <c r="UZE2"/>
      <c r="UZF2"/>
      <c r="UZG2"/>
      <c r="UZH2"/>
      <c r="UZI2"/>
      <c r="UZJ2"/>
      <c r="UZK2"/>
      <c r="UZL2"/>
      <c r="UZM2"/>
      <c r="UZN2"/>
      <c r="UZO2"/>
      <c r="UZP2"/>
      <c r="UZQ2"/>
      <c r="UZR2"/>
      <c r="UZS2"/>
      <c r="UZT2"/>
      <c r="UZU2"/>
      <c r="UZV2"/>
      <c r="UZW2"/>
      <c r="UZX2"/>
      <c r="UZY2"/>
      <c r="UZZ2"/>
      <c r="VAA2"/>
      <c r="VAB2"/>
      <c r="VAC2"/>
      <c r="VAD2"/>
      <c r="VAE2"/>
      <c r="VAF2"/>
      <c r="VAG2"/>
      <c r="VAH2"/>
      <c r="VAI2"/>
      <c r="VAJ2"/>
      <c r="VAK2"/>
      <c r="VAL2"/>
      <c r="VAM2"/>
      <c r="VAN2"/>
      <c r="VAO2"/>
      <c r="VAP2"/>
      <c r="VAQ2"/>
      <c r="VAR2"/>
      <c r="VAS2"/>
      <c r="VAT2"/>
      <c r="VAU2"/>
      <c r="VAV2"/>
      <c r="VAW2"/>
      <c r="VAX2"/>
      <c r="VAY2"/>
      <c r="VAZ2"/>
      <c r="VBA2"/>
      <c r="VBB2"/>
      <c r="VBC2"/>
      <c r="VBD2"/>
      <c r="VBE2"/>
      <c r="VBF2"/>
      <c r="VBG2"/>
      <c r="VBH2"/>
      <c r="VBI2"/>
      <c r="VBJ2"/>
      <c r="VBK2"/>
      <c r="VBL2"/>
      <c r="VBM2"/>
      <c r="VBN2"/>
      <c r="VBO2"/>
      <c r="VBP2"/>
      <c r="VBQ2"/>
      <c r="VBR2"/>
      <c r="VBS2"/>
      <c r="VBT2"/>
      <c r="VBU2"/>
      <c r="VBV2"/>
      <c r="VBW2"/>
      <c r="VBX2"/>
      <c r="VBY2"/>
      <c r="VBZ2"/>
      <c r="VCA2"/>
      <c r="VCB2"/>
      <c r="VCC2"/>
      <c r="VCD2"/>
      <c r="VCE2"/>
      <c r="VCF2"/>
      <c r="VCG2"/>
      <c r="VCH2"/>
      <c r="VCI2"/>
      <c r="VCJ2"/>
      <c r="VCK2"/>
      <c r="VCL2"/>
      <c r="VCM2"/>
      <c r="VCN2"/>
      <c r="VCO2"/>
      <c r="VCP2"/>
      <c r="VCQ2"/>
      <c r="VCR2"/>
      <c r="VCS2"/>
      <c r="VCT2"/>
      <c r="VCU2"/>
      <c r="VCV2"/>
      <c r="VCW2"/>
      <c r="VCX2"/>
      <c r="VCY2"/>
      <c r="VCZ2"/>
      <c r="VDA2"/>
      <c r="VDB2"/>
      <c r="VDC2"/>
      <c r="VDD2"/>
      <c r="VDE2"/>
      <c r="VDF2"/>
      <c r="VDG2"/>
      <c r="VDH2"/>
      <c r="VDI2"/>
      <c r="VDJ2"/>
      <c r="VDK2"/>
      <c r="VDL2"/>
      <c r="VDM2"/>
      <c r="VDN2"/>
      <c r="VDO2"/>
      <c r="VDP2"/>
      <c r="VDQ2"/>
      <c r="VDR2"/>
      <c r="VDS2"/>
      <c r="VDT2"/>
      <c r="VDU2"/>
      <c r="VDV2"/>
      <c r="VDW2"/>
      <c r="VDX2"/>
      <c r="VDY2"/>
      <c r="VDZ2"/>
      <c r="VEA2"/>
      <c r="VEB2"/>
      <c r="VEC2"/>
      <c r="VED2"/>
      <c r="VEE2"/>
      <c r="VEF2"/>
      <c r="VEG2"/>
      <c r="VEH2"/>
      <c r="VEI2"/>
      <c r="VEJ2"/>
      <c r="VEK2"/>
      <c r="VEL2"/>
      <c r="VEM2"/>
      <c r="VEN2"/>
      <c r="VEO2"/>
      <c r="VEP2"/>
      <c r="VEQ2"/>
      <c r="VER2"/>
      <c r="VES2"/>
      <c r="VET2"/>
      <c r="VEU2"/>
      <c r="VEV2"/>
      <c r="VEW2"/>
      <c r="VEX2"/>
      <c r="VEY2"/>
      <c r="VEZ2"/>
      <c r="VFA2"/>
      <c r="VFB2"/>
      <c r="VFC2"/>
      <c r="VFD2"/>
      <c r="VFE2"/>
      <c r="VFF2"/>
      <c r="VFG2"/>
      <c r="VFH2"/>
      <c r="VFI2"/>
      <c r="VFJ2"/>
      <c r="VFK2"/>
      <c r="VFL2"/>
      <c r="VFM2"/>
      <c r="VFN2"/>
      <c r="VFO2"/>
      <c r="VFP2"/>
      <c r="VFQ2"/>
      <c r="VFR2"/>
      <c r="VFS2"/>
      <c r="VFT2"/>
      <c r="VFU2"/>
      <c r="VFV2"/>
      <c r="VFW2"/>
      <c r="VFX2"/>
      <c r="VFY2"/>
      <c r="VFZ2"/>
      <c r="VGA2"/>
      <c r="VGB2"/>
      <c r="VGC2"/>
      <c r="VGD2"/>
      <c r="VGE2"/>
      <c r="VGF2"/>
      <c r="VGG2"/>
      <c r="VGH2"/>
      <c r="VGI2"/>
      <c r="VGJ2"/>
      <c r="VGK2"/>
      <c r="VGL2"/>
      <c r="VGM2"/>
      <c r="VGN2"/>
      <c r="VGO2"/>
      <c r="VGP2"/>
      <c r="VGQ2"/>
      <c r="VGR2"/>
      <c r="VGS2"/>
      <c r="VGT2"/>
      <c r="VGU2"/>
      <c r="VGV2"/>
      <c r="VGW2"/>
      <c r="VGX2"/>
      <c r="VGY2"/>
      <c r="VGZ2"/>
      <c r="VHA2"/>
      <c r="VHB2"/>
      <c r="VHC2"/>
      <c r="VHD2"/>
      <c r="VHE2"/>
      <c r="VHF2"/>
      <c r="VHG2"/>
      <c r="VHH2"/>
      <c r="VHI2"/>
      <c r="VHJ2"/>
      <c r="VHK2"/>
      <c r="VHL2"/>
      <c r="VHM2"/>
      <c r="VHN2"/>
      <c r="VHO2"/>
      <c r="VHP2"/>
      <c r="VHQ2"/>
      <c r="VHR2"/>
      <c r="VHS2"/>
      <c r="VHT2"/>
      <c r="VHU2"/>
      <c r="VHV2"/>
      <c r="VHW2"/>
      <c r="VHX2"/>
      <c r="VHY2"/>
      <c r="VHZ2"/>
      <c r="VIA2"/>
      <c r="VIB2"/>
      <c r="VIC2"/>
      <c r="VID2"/>
      <c r="VIE2"/>
      <c r="VIF2"/>
      <c r="VIG2"/>
      <c r="VIH2"/>
      <c r="VII2"/>
      <c r="VIJ2"/>
      <c r="VIK2"/>
      <c r="VIL2"/>
      <c r="VIM2"/>
      <c r="VIN2"/>
      <c r="VIO2"/>
      <c r="VIP2"/>
      <c r="VIQ2"/>
      <c r="VIR2"/>
      <c r="VIS2"/>
      <c r="VIT2"/>
      <c r="VIU2"/>
      <c r="VIV2"/>
      <c r="VIW2"/>
      <c r="VIX2"/>
      <c r="VIY2"/>
      <c r="VIZ2"/>
      <c r="VJA2"/>
      <c r="VJB2"/>
      <c r="VJC2"/>
      <c r="VJD2"/>
      <c r="VJE2"/>
      <c r="VJF2"/>
      <c r="VJG2"/>
      <c r="VJH2"/>
      <c r="VJI2"/>
      <c r="VJJ2"/>
      <c r="VJK2"/>
      <c r="VJL2"/>
      <c r="VJM2"/>
      <c r="VJN2"/>
      <c r="VJO2"/>
      <c r="VJP2"/>
      <c r="VJQ2"/>
      <c r="VJR2"/>
      <c r="VJS2"/>
      <c r="VJT2"/>
      <c r="VJU2"/>
      <c r="VJV2"/>
      <c r="VJW2"/>
      <c r="VJX2"/>
      <c r="VJY2"/>
      <c r="VJZ2"/>
      <c r="VKA2"/>
      <c r="VKB2"/>
      <c r="VKC2"/>
      <c r="VKD2"/>
      <c r="VKE2"/>
      <c r="VKF2"/>
      <c r="VKG2"/>
      <c r="VKH2"/>
      <c r="VKI2"/>
      <c r="VKJ2"/>
      <c r="VKK2"/>
      <c r="VKL2"/>
      <c r="VKM2"/>
      <c r="VKN2"/>
      <c r="VKO2"/>
      <c r="VKP2"/>
      <c r="VKQ2"/>
      <c r="VKR2"/>
      <c r="VKS2"/>
      <c r="VKT2"/>
      <c r="VKU2"/>
      <c r="VKV2"/>
      <c r="VKW2"/>
      <c r="VKX2"/>
      <c r="VKY2"/>
      <c r="VKZ2"/>
      <c r="VLA2"/>
      <c r="VLB2"/>
      <c r="VLC2"/>
      <c r="VLD2"/>
      <c r="VLE2"/>
      <c r="VLF2"/>
      <c r="VLG2"/>
      <c r="VLH2"/>
      <c r="VLI2"/>
      <c r="VLJ2"/>
      <c r="VLK2"/>
      <c r="VLL2"/>
      <c r="VLM2"/>
      <c r="VLN2"/>
      <c r="VLO2"/>
      <c r="VLP2"/>
      <c r="VLQ2"/>
      <c r="VLR2"/>
      <c r="VLS2"/>
      <c r="VLT2"/>
      <c r="VLU2"/>
      <c r="VLV2"/>
      <c r="VLW2"/>
      <c r="VLX2"/>
      <c r="VLY2"/>
      <c r="VLZ2"/>
      <c r="VMA2"/>
      <c r="VMB2"/>
      <c r="VMC2"/>
      <c r="VMD2"/>
      <c r="VME2"/>
      <c r="VMF2"/>
      <c r="VMG2"/>
      <c r="VMH2"/>
      <c r="VMI2"/>
      <c r="VMJ2"/>
      <c r="VMK2"/>
      <c r="VML2"/>
      <c r="VMM2"/>
      <c r="VMN2"/>
      <c r="VMO2"/>
      <c r="VMP2"/>
      <c r="VMQ2"/>
      <c r="VMR2"/>
      <c r="VMS2"/>
      <c r="VMT2"/>
      <c r="VMU2"/>
      <c r="VMV2"/>
      <c r="VMW2"/>
      <c r="VMX2"/>
      <c r="VMY2"/>
      <c r="VMZ2"/>
      <c r="VNA2"/>
      <c r="VNB2"/>
      <c r="VNC2"/>
      <c r="VND2"/>
      <c r="VNE2"/>
      <c r="VNF2"/>
      <c r="VNG2"/>
      <c r="VNH2"/>
      <c r="VNI2"/>
      <c r="VNJ2"/>
      <c r="VNK2"/>
      <c r="VNL2"/>
      <c r="VNM2"/>
      <c r="VNN2"/>
      <c r="VNO2"/>
      <c r="VNP2"/>
      <c r="VNQ2"/>
      <c r="VNR2"/>
      <c r="VNS2"/>
      <c r="VNT2"/>
      <c r="VNU2"/>
      <c r="VNV2"/>
      <c r="VNW2"/>
      <c r="VNX2"/>
      <c r="VNY2"/>
      <c r="VNZ2"/>
      <c r="VOA2"/>
      <c r="VOB2"/>
      <c r="VOC2"/>
      <c r="VOD2"/>
      <c r="VOE2"/>
      <c r="VOF2"/>
      <c r="VOG2"/>
      <c r="VOH2"/>
      <c r="VOI2"/>
      <c r="VOJ2"/>
      <c r="VOK2"/>
      <c r="VOL2"/>
      <c r="VOM2"/>
      <c r="VON2"/>
      <c r="VOO2"/>
      <c r="VOP2"/>
      <c r="VOQ2"/>
      <c r="VOR2"/>
      <c r="VOS2"/>
      <c r="VOT2"/>
      <c r="VOU2"/>
      <c r="VOV2"/>
      <c r="VOW2"/>
      <c r="VOX2"/>
      <c r="VOY2"/>
      <c r="VOZ2"/>
      <c r="VPA2"/>
      <c r="VPB2"/>
      <c r="VPC2"/>
      <c r="VPD2"/>
      <c r="VPE2"/>
      <c r="VPF2"/>
      <c r="VPG2"/>
      <c r="VPH2"/>
      <c r="VPI2"/>
      <c r="VPJ2"/>
      <c r="VPK2"/>
      <c r="VPL2"/>
      <c r="VPM2"/>
      <c r="VPN2"/>
      <c r="VPO2"/>
      <c r="VPP2"/>
      <c r="VPQ2"/>
      <c r="VPR2"/>
      <c r="VPS2"/>
      <c r="VPT2"/>
      <c r="VPU2"/>
      <c r="VPV2"/>
      <c r="VPW2"/>
      <c r="VPX2"/>
      <c r="VPY2"/>
      <c r="VPZ2"/>
      <c r="VQA2"/>
      <c r="VQB2"/>
      <c r="VQC2"/>
      <c r="VQD2"/>
      <c r="VQE2"/>
      <c r="VQF2"/>
      <c r="VQG2"/>
      <c r="VQH2"/>
      <c r="VQI2"/>
      <c r="VQJ2"/>
      <c r="VQK2"/>
      <c r="VQL2"/>
      <c r="VQM2"/>
      <c r="VQN2"/>
      <c r="VQO2"/>
      <c r="VQP2"/>
      <c r="VQQ2"/>
      <c r="VQR2"/>
      <c r="VQS2"/>
      <c r="VQT2"/>
      <c r="VQU2"/>
      <c r="VQV2"/>
      <c r="VQW2"/>
      <c r="VQX2"/>
      <c r="VQY2"/>
      <c r="VQZ2"/>
      <c r="VRA2"/>
      <c r="VRB2"/>
      <c r="VRC2"/>
      <c r="VRD2"/>
      <c r="VRE2"/>
      <c r="VRF2"/>
      <c r="VRG2"/>
      <c r="VRH2"/>
      <c r="VRI2"/>
      <c r="VRJ2"/>
      <c r="VRK2"/>
      <c r="VRL2"/>
      <c r="VRM2"/>
      <c r="VRN2"/>
      <c r="VRO2"/>
      <c r="VRP2"/>
      <c r="VRQ2"/>
      <c r="VRR2"/>
      <c r="VRS2"/>
      <c r="VRT2"/>
      <c r="VRU2"/>
      <c r="VRV2"/>
      <c r="VRW2"/>
      <c r="VRX2"/>
      <c r="VRY2"/>
      <c r="VRZ2"/>
      <c r="VSA2"/>
      <c r="VSB2"/>
      <c r="VSC2"/>
      <c r="VSD2"/>
      <c r="VSE2"/>
      <c r="VSF2"/>
      <c r="VSG2"/>
      <c r="VSH2"/>
      <c r="VSI2"/>
      <c r="VSJ2"/>
      <c r="VSK2"/>
      <c r="VSL2"/>
      <c r="VSM2"/>
      <c r="VSN2"/>
      <c r="VSO2"/>
      <c r="VSP2"/>
      <c r="VSQ2"/>
      <c r="VSR2"/>
      <c r="VSS2"/>
      <c r="VST2"/>
      <c r="VSU2"/>
      <c r="VSV2"/>
      <c r="VSW2"/>
      <c r="VSX2"/>
      <c r="VSY2"/>
      <c r="VSZ2"/>
      <c r="VTA2"/>
      <c r="VTB2"/>
      <c r="VTC2"/>
      <c r="VTD2"/>
      <c r="VTE2"/>
      <c r="VTF2"/>
      <c r="VTG2"/>
      <c r="VTH2"/>
      <c r="VTI2"/>
      <c r="VTJ2"/>
      <c r="VTK2"/>
      <c r="VTL2"/>
      <c r="VTM2"/>
      <c r="VTN2"/>
      <c r="VTO2"/>
      <c r="VTP2"/>
      <c r="VTQ2"/>
      <c r="VTR2"/>
      <c r="VTS2"/>
      <c r="VTT2"/>
      <c r="VTU2"/>
      <c r="VTV2"/>
      <c r="VTW2"/>
      <c r="VTX2"/>
      <c r="VTY2"/>
      <c r="VTZ2"/>
      <c r="VUA2"/>
      <c r="VUB2"/>
      <c r="VUC2"/>
      <c r="VUD2"/>
      <c r="VUE2"/>
      <c r="VUF2"/>
      <c r="VUG2"/>
      <c r="VUH2"/>
      <c r="VUI2"/>
      <c r="VUJ2"/>
      <c r="VUK2"/>
      <c r="VUL2"/>
      <c r="VUM2"/>
      <c r="VUN2"/>
      <c r="VUO2"/>
      <c r="VUP2"/>
      <c r="VUQ2"/>
      <c r="VUR2"/>
      <c r="VUS2"/>
      <c r="VUT2"/>
      <c r="VUU2"/>
      <c r="VUV2"/>
      <c r="VUW2"/>
      <c r="VUX2"/>
      <c r="VUY2"/>
      <c r="VUZ2"/>
      <c r="VVA2"/>
      <c r="VVB2"/>
      <c r="VVC2"/>
      <c r="VVD2"/>
      <c r="VVE2"/>
      <c r="VVF2"/>
      <c r="VVG2"/>
      <c r="VVH2"/>
      <c r="VVI2"/>
      <c r="VVJ2"/>
      <c r="VVK2"/>
      <c r="VVL2"/>
      <c r="VVM2"/>
      <c r="VVN2"/>
      <c r="VVO2"/>
      <c r="VVP2"/>
      <c r="VVQ2"/>
      <c r="VVR2"/>
      <c r="VVS2"/>
      <c r="VVT2"/>
      <c r="VVU2"/>
      <c r="VVV2"/>
      <c r="VVW2"/>
      <c r="VVX2"/>
      <c r="VVY2"/>
      <c r="VVZ2"/>
      <c r="VWA2"/>
      <c r="VWB2"/>
      <c r="VWC2"/>
      <c r="VWD2"/>
      <c r="VWE2"/>
      <c r="VWF2"/>
      <c r="VWG2"/>
      <c r="VWH2"/>
      <c r="VWI2"/>
      <c r="VWJ2"/>
      <c r="VWK2"/>
      <c r="VWL2"/>
      <c r="VWM2"/>
      <c r="VWN2"/>
      <c r="VWO2"/>
      <c r="VWP2"/>
      <c r="VWQ2"/>
      <c r="VWR2"/>
      <c r="VWS2"/>
      <c r="VWT2"/>
      <c r="VWU2"/>
      <c r="VWV2"/>
      <c r="VWW2"/>
      <c r="VWX2"/>
      <c r="VWY2"/>
      <c r="VWZ2"/>
      <c r="VXA2"/>
      <c r="VXB2"/>
      <c r="VXC2"/>
      <c r="VXD2"/>
      <c r="VXE2"/>
      <c r="VXF2"/>
      <c r="VXG2"/>
      <c r="VXH2"/>
      <c r="VXI2"/>
      <c r="VXJ2"/>
      <c r="VXK2"/>
      <c r="VXL2"/>
      <c r="VXM2"/>
      <c r="VXN2"/>
      <c r="VXO2"/>
      <c r="VXP2"/>
      <c r="VXQ2"/>
      <c r="VXR2"/>
      <c r="VXS2"/>
      <c r="VXT2"/>
      <c r="VXU2"/>
      <c r="VXV2"/>
      <c r="VXW2"/>
      <c r="VXX2"/>
      <c r="VXY2"/>
      <c r="VXZ2"/>
      <c r="VYA2"/>
      <c r="VYB2"/>
      <c r="VYC2"/>
      <c r="VYD2"/>
      <c r="VYE2"/>
      <c r="VYF2"/>
      <c r="VYG2"/>
      <c r="VYH2"/>
      <c r="VYI2"/>
      <c r="VYJ2"/>
      <c r="VYK2"/>
      <c r="VYL2"/>
      <c r="VYM2"/>
      <c r="VYN2"/>
      <c r="VYO2"/>
      <c r="VYP2"/>
      <c r="VYQ2"/>
      <c r="VYR2"/>
      <c r="VYS2"/>
      <c r="VYT2"/>
      <c r="VYU2"/>
      <c r="VYV2"/>
      <c r="VYW2"/>
      <c r="VYX2"/>
      <c r="VYY2"/>
      <c r="VYZ2"/>
      <c r="VZA2"/>
      <c r="VZB2"/>
      <c r="VZC2"/>
      <c r="VZD2"/>
      <c r="VZE2"/>
      <c r="VZF2"/>
      <c r="VZG2"/>
      <c r="VZH2"/>
      <c r="VZI2"/>
      <c r="VZJ2"/>
      <c r="VZK2"/>
      <c r="VZL2"/>
      <c r="VZM2"/>
      <c r="VZN2"/>
      <c r="VZO2"/>
      <c r="VZP2"/>
      <c r="VZQ2"/>
      <c r="VZR2"/>
      <c r="VZS2"/>
      <c r="VZT2"/>
      <c r="VZU2"/>
      <c r="VZV2"/>
      <c r="VZW2"/>
      <c r="VZX2"/>
      <c r="VZY2"/>
      <c r="VZZ2"/>
      <c r="WAA2"/>
      <c r="WAB2"/>
      <c r="WAC2"/>
      <c r="WAD2"/>
      <c r="WAE2"/>
      <c r="WAF2"/>
      <c r="WAG2"/>
      <c r="WAH2"/>
      <c r="WAI2"/>
      <c r="WAJ2"/>
      <c r="WAK2"/>
      <c r="WAL2"/>
      <c r="WAM2"/>
      <c r="WAN2"/>
      <c r="WAO2"/>
      <c r="WAP2"/>
      <c r="WAQ2"/>
      <c r="WAR2"/>
      <c r="WAS2"/>
      <c r="WAT2"/>
      <c r="WAU2"/>
      <c r="WAV2"/>
      <c r="WAW2"/>
      <c r="WAX2"/>
      <c r="WAY2"/>
      <c r="WAZ2"/>
      <c r="WBA2"/>
      <c r="WBB2"/>
      <c r="WBC2"/>
      <c r="WBD2"/>
      <c r="WBE2"/>
      <c r="WBF2"/>
      <c r="WBG2"/>
      <c r="WBH2"/>
      <c r="WBI2"/>
      <c r="WBJ2"/>
      <c r="WBK2"/>
      <c r="WBL2"/>
      <c r="WBM2"/>
      <c r="WBN2"/>
      <c r="WBO2"/>
      <c r="WBP2"/>
      <c r="WBQ2"/>
      <c r="WBR2"/>
      <c r="WBS2"/>
      <c r="WBT2"/>
      <c r="WBU2"/>
      <c r="WBV2"/>
      <c r="WBW2"/>
      <c r="WBX2"/>
      <c r="WBY2"/>
      <c r="WBZ2"/>
      <c r="WCA2"/>
      <c r="WCB2"/>
      <c r="WCC2"/>
      <c r="WCD2"/>
      <c r="WCE2"/>
      <c r="WCF2"/>
      <c r="WCG2"/>
      <c r="WCH2"/>
      <c r="WCI2"/>
      <c r="WCJ2"/>
      <c r="WCK2"/>
      <c r="WCL2"/>
      <c r="WCM2"/>
      <c r="WCN2"/>
      <c r="WCO2"/>
      <c r="WCP2"/>
      <c r="WCQ2"/>
      <c r="WCR2"/>
      <c r="WCS2"/>
      <c r="WCT2"/>
      <c r="WCU2"/>
      <c r="WCV2"/>
      <c r="WCW2"/>
      <c r="WCX2"/>
      <c r="WCY2"/>
      <c r="WCZ2"/>
      <c r="WDA2"/>
      <c r="WDB2"/>
      <c r="WDC2"/>
      <c r="WDD2"/>
      <c r="WDE2"/>
      <c r="WDF2"/>
      <c r="WDG2"/>
      <c r="WDH2"/>
      <c r="WDI2"/>
      <c r="WDJ2"/>
      <c r="WDK2"/>
      <c r="WDL2"/>
      <c r="WDM2"/>
      <c r="WDN2"/>
      <c r="WDO2"/>
      <c r="WDP2"/>
      <c r="WDQ2"/>
      <c r="WDR2"/>
      <c r="WDS2"/>
      <c r="WDT2"/>
      <c r="WDU2"/>
      <c r="WDV2"/>
      <c r="WDW2"/>
      <c r="WDX2"/>
      <c r="WDY2"/>
      <c r="WDZ2"/>
      <c r="WEA2"/>
      <c r="WEB2"/>
      <c r="WEC2"/>
      <c r="WED2"/>
      <c r="WEE2"/>
      <c r="WEF2"/>
      <c r="WEG2"/>
      <c r="WEH2"/>
      <c r="WEI2"/>
      <c r="WEJ2"/>
      <c r="WEK2"/>
      <c r="WEL2"/>
      <c r="WEM2"/>
      <c r="WEN2"/>
      <c r="WEO2"/>
      <c r="WEP2"/>
      <c r="WEQ2"/>
      <c r="WER2"/>
      <c r="WES2"/>
      <c r="WET2"/>
      <c r="WEU2"/>
      <c r="WEV2"/>
      <c r="WEW2"/>
      <c r="WEX2"/>
      <c r="WEY2"/>
      <c r="WEZ2"/>
      <c r="WFA2"/>
      <c r="WFB2"/>
      <c r="WFC2"/>
      <c r="WFD2"/>
      <c r="WFE2"/>
      <c r="WFF2"/>
      <c r="WFG2"/>
      <c r="WFH2"/>
      <c r="WFI2"/>
      <c r="WFJ2"/>
      <c r="WFK2"/>
      <c r="WFL2"/>
      <c r="WFM2"/>
      <c r="WFN2"/>
      <c r="WFO2"/>
      <c r="WFP2"/>
      <c r="WFQ2"/>
      <c r="WFR2"/>
      <c r="WFS2"/>
      <c r="WFT2"/>
      <c r="WFU2"/>
      <c r="WFV2"/>
      <c r="WFW2"/>
      <c r="WFX2"/>
      <c r="WFY2"/>
      <c r="WFZ2"/>
      <c r="WGA2"/>
      <c r="WGB2"/>
      <c r="WGC2"/>
      <c r="WGD2"/>
      <c r="WGE2"/>
      <c r="WGF2"/>
      <c r="WGG2"/>
      <c r="WGH2"/>
      <c r="WGI2"/>
      <c r="WGJ2"/>
      <c r="WGK2"/>
      <c r="WGL2"/>
      <c r="WGM2"/>
      <c r="WGN2"/>
      <c r="WGO2"/>
      <c r="WGP2"/>
      <c r="WGQ2"/>
      <c r="WGR2"/>
      <c r="WGS2"/>
      <c r="WGT2"/>
      <c r="WGU2"/>
      <c r="WGV2"/>
      <c r="WGW2"/>
      <c r="WGX2"/>
      <c r="WGY2"/>
      <c r="WGZ2"/>
      <c r="WHA2"/>
      <c r="WHB2"/>
      <c r="WHC2"/>
      <c r="WHD2"/>
      <c r="WHE2"/>
      <c r="WHF2"/>
      <c r="WHG2"/>
      <c r="WHH2"/>
      <c r="WHI2"/>
      <c r="WHJ2"/>
      <c r="WHK2"/>
      <c r="WHL2"/>
      <c r="WHM2"/>
      <c r="WHN2"/>
      <c r="WHO2"/>
      <c r="WHP2"/>
      <c r="WHQ2"/>
      <c r="WHR2"/>
      <c r="WHS2"/>
      <c r="WHT2"/>
      <c r="WHU2"/>
      <c r="WHV2"/>
      <c r="WHW2"/>
      <c r="WHX2"/>
      <c r="WHY2"/>
      <c r="WHZ2"/>
      <c r="WIA2"/>
      <c r="WIB2"/>
      <c r="WIC2"/>
      <c r="WID2"/>
      <c r="WIE2"/>
      <c r="WIF2"/>
      <c r="WIG2"/>
      <c r="WIH2"/>
      <c r="WII2"/>
      <c r="WIJ2"/>
      <c r="WIK2"/>
      <c r="WIL2"/>
      <c r="WIM2"/>
      <c r="WIN2"/>
      <c r="WIO2"/>
      <c r="WIP2"/>
      <c r="WIQ2"/>
      <c r="WIR2"/>
      <c r="WIS2"/>
      <c r="WIT2"/>
      <c r="WIU2"/>
      <c r="WIV2"/>
      <c r="WIW2"/>
      <c r="WIX2"/>
      <c r="WIY2"/>
      <c r="WIZ2"/>
      <c r="WJA2"/>
      <c r="WJB2"/>
      <c r="WJC2"/>
      <c r="WJD2"/>
      <c r="WJE2"/>
      <c r="WJF2"/>
      <c r="WJG2"/>
      <c r="WJH2"/>
      <c r="WJI2"/>
      <c r="WJJ2"/>
      <c r="WJK2"/>
      <c r="WJL2"/>
      <c r="WJM2"/>
      <c r="WJN2"/>
      <c r="WJO2"/>
      <c r="WJP2"/>
      <c r="WJQ2"/>
      <c r="WJR2"/>
      <c r="WJS2"/>
      <c r="WJT2"/>
      <c r="WJU2"/>
      <c r="WJV2"/>
      <c r="WJW2"/>
      <c r="WJX2"/>
      <c r="WJY2"/>
      <c r="WJZ2"/>
      <c r="WKA2"/>
      <c r="WKB2"/>
      <c r="WKC2"/>
      <c r="WKD2"/>
      <c r="WKE2"/>
      <c r="WKF2"/>
      <c r="WKG2"/>
      <c r="WKH2"/>
      <c r="WKI2"/>
      <c r="WKJ2"/>
      <c r="WKK2"/>
      <c r="WKL2"/>
      <c r="WKM2"/>
      <c r="WKN2"/>
      <c r="WKO2"/>
      <c r="WKP2"/>
      <c r="WKQ2"/>
      <c r="WKR2"/>
      <c r="WKS2"/>
      <c r="WKT2"/>
      <c r="WKU2"/>
      <c r="WKV2"/>
      <c r="WKW2"/>
      <c r="WKX2"/>
      <c r="WKY2"/>
      <c r="WKZ2"/>
      <c r="WLA2"/>
      <c r="WLB2"/>
      <c r="WLC2"/>
      <c r="WLD2"/>
      <c r="WLE2"/>
      <c r="WLF2"/>
      <c r="WLG2"/>
      <c r="WLH2"/>
      <c r="WLI2"/>
      <c r="WLJ2"/>
      <c r="WLK2"/>
      <c r="WLL2"/>
      <c r="WLM2"/>
      <c r="WLN2"/>
      <c r="WLO2"/>
      <c r="WLP2"/>
      <c r="WLQ2"/>
      <c r="WLR2"/>
      <c r="WLS2"/>
      <c r="WLT2"/>
      <c r="WLU2"/>
      <c r="WLV2"/>
      <c r="WLW2"/>
      <c r="WLX2"/>
      <c r="WLY2"/>
      <c r="WLZ2"/>
      <c r="WMA2"/>
      <c r="WMB2"/>
      <c r="WMC2"/>
      <c r="WMD2"/>
      <c r="WME2"/>
      <c r="WMF2"/>
      <c r="WMG2"/>
      <c r="WMH2"/>
      <c r="WMI2"/>
      <c r="WMJ2"/>
      <c r="WMK2"/>
      <c r="WML2"/>
      <c r="WMM2"/>
      <c r="WMN2"/>
      <c r="WMO2"/>
      <c r="WMP2"/>
      <c r="WMQ2"/>
      <c r="WMR2"/>
      <c r="WMS2"/>
      <c r="WMT2"/>
      <c r="WMU2"/>
      <c r="WMV2"/>
      <c r="WMW2"/>
      <c r="WMX2"/>
      <c r="WMY2"/>
      <c r="WMZ2"/>
      <c r="WNA2"/>
      <c r="WNB2"/>
      <c r="WNC2"/>
      <c r="WND2"/>
      <c r="WNE2"/>
      <c r="WNF2"/>
      <c r="WNG2"/>
      <c r="WNH2"/>
      <c r="WNI2"/>
      <c r="WNJ2"/>
      <c r="WNK2"/>
      <c r="WNL2"/>
      <c r="WNM2"/>
      <c r="WNN2"/>
      <c r="WNO2"/>
      <c r="WNP2"/>
      <c r="WNQ2"/>
      <c r="WNR2"/>
      <c r="WNS2"/>
      <c r="WNT2"/>
      <c r="WNU2"/>
      <c r="WNV2"/>
      <c r="WNW2"/>
      <c r="WNX2"/>
      <c r="WNY2"/>
      <c r="WNZ2"/>
      <c r="WOA2"/>
      <c r="WOB2"/>
      <c r="WOC2"/>
      <c r="WOD2"/>
      <c r="WOE2"/>
      <c r="WOF2"/>
      <c r="WOG2"/>
      <c r="WOH2"/>
      <c r="WOI2"/>
      <c r="WOJ2"/>
      <c r="WOK2"/>
      <c r="WOL2"/>
      <c r="WOM2"/>
      <c r="WON2"/>
      <c r="WOO2"/>
      <c r="WOP2"/>
      <c r="WOQ2"/>
      <c r="WOR2"/>
      <c r="WOS2"/>
      <c r="WOT2"/>
      <c r="WOU2"/>
      <c r="WOV2"/>
      <c r="WOW2"/>
      <c r="WOX2"/>
      <c r="WOY2"/>
      <c r="WOZ2"/>
      <c r="WPA2"/>
      <c r="WPB2"/>
      <c r="WPC2"/>
      <c r="WPD2"/>
      <c r="WPE2"/>
      <c r="WPF2"/>
      <c r="WPG2"/>
      <c r="WPH2"/>
      <c r="WPI2"/>
      <c r="WPJ2"/>
      <c r="WPK2"/>
      <c r="WPL2"/>
      <c r="WPM2"/>
      <c r="WPN2"/>
      <c r="WPO2"/>
      <c r="WPP2"/>
      <c r="WPQ2"/>
      <c r="WPR2"/>
      <c r="WPS2"/>
      <c r="WPT2"/>
      <c r="WPU2"/>
      <c r="WPV2"/>
      <c r="WPW2"/>
      <c r="WPX2"/>
      <c r="WPY2"/>
      <c r="WPZ2"/>
      <c r="WQA2"/>
      <c r="WQB2"/>
      <c r="WQC2"/>
      <c r="WQD2"/>
      <c r="WQE2"/>
      <c r="WQF2"/>
      <c r="WQG2"/>
      <c r="WQH2"/>
      <c r="WQI2"/>
      <c r="WQJ2"/>
      <c r="WQK2"/>
      <c r="WQL2"/>
      <c r="WQM2"/>
      <c r="WQN2"/>
      <c r="WQO2"/>
      <c r="WQP2"/>
      <c r="WQQ2"/>
      <c r="WQR2"/>
      <c r="WQS2"/>
      <c r="WQT2"/>
      <c r="WQU2"/>
      <c r="WQV2"/>
      <c r="WQW2"/>
      <c r="WQX2"/>
      <c r="WQY2"/>
      <c r="WQZ2"/>
      <c r="WRA2"/>
      <c r="WRB2"/>
      <c r="WRC2"/>
      <c r="WRD2"/>
      <c r="WRE2"/>
      <c r="WRF2"/>
      <c r="WRG2"/>
      <c r="WRH2"/>
      <c r="WRI2"/>
      <c r="WRJ2"/>
      <c r="WRK2"/>
      <c r="WRL2"/>
      <c r="WRM2"/>
      <c r="WRN2"/>
      <c r="WRO2"/>
      <c r="WRP2"/>
      <c r="WRQ2"/>
      <c r="WRR2"/>
      <c r="WRS2"/>
      <c r="WRT2"/>
      <c r="WRU2"/>
      <c r="WRV2"/>
      <c r="WRW2"/>
      <c r="WRX2"/>
      <c r="WRY2"/>
      <c r="WRZ2"/>
      <c r="WSA2"/>
      <c r="WSB2"/>
      <c r="WSC2"/>
      <c r="WSD2"/>
      <c r="WSE2"/>
      <c r="WSF2"/>
      <c r="WSG2"/>
      <c r="WSH2"/>
      <c r="WSI2"/>
      <c r="WSJ2"/>
      <c r="WSK2"/>
      <c r="WSL2"/>
      <c r="WSM2"/>
      <c r="WSN2"/>
      <c r="WSO2"/>
      <c r="WSP2"/>
      <c r="WSQ2"/>
      <c r="WSR2"/>
      <c r="WSS2"/>
      <c r="WST2"/>
      <c r="WSU2"/>
      <c r="WSV2"/>
      <c r="WSW2"/>
      <c r="WSX2"/>
      <c r="WSY2"/>
      <c r="WSZ2"/>
      <c r="WTA2"/>
      <c r="WTB2"/>
      <c r="WTC2"/>
      <c r="WTD2"/>
      <c r="WTE2"/>
      <c r="WTF2"/>
      <c r="WTG2"/>
      <c r="WTH2"/>
      <c r="WTI2"/>
      <c r="WTJ2"/>
      <c r="WTK2"/>
      <c r="WTL2"/>
      <c r="WTM2"/>
      <c r="WTN2"/>
      <c r="WTO2"/>
      <c r="WTP2"/>
      <c r="WTQ2"/>
      <c r="WTR2"/>
      <c r="WTS2"/>
      <c r="WTT2"/>
      <c r="WTU2"/>
      <c r="WTV2"/>
      <c r="WTW2"/>
      <c r="WTX2"/>
      <c r="WTY2"/>
      <c r="WTZ2"/>
      <c r="WUA2"/>
      <c r="WUB2"/>
      <c r="WUC2"/>
      <c r="WUD2"/>
      <c r="WUE2"/>
      <c r="WUF2"/>
      <c r="WUG2"/>
      <c r="WUH2"/>
      <c r="WUI2"/>
      <c r="WUJ2"/>
      <c r="WUK2"/>
      <c r="WUL2"/>
      <c r="WUM2"/>
      <c r="WUN2"/>
      <c r="WUO2"/>
      <c r="WUP2"/>
      <c r="WUQ2"/>
      <c r="WUR2"/>
      <c r="WUS2"/>
      <c r="WUT2"/>
      <c r="WUU2"/>
      <c r="WUV2"/>
      <c r="WUW2"/>
      <c r="WUX2"/>
      <c r="WUY2"/>
      <c r="WUZ2"/>
      <c r="WVA2"/>
      <c r="WVB2"/>
      <c r="WVC2"/>
      <c r="WVD2"/>
      <c r="WVE2"/>
      <c r="WVF2"/>
      <c r="WVG2"/>
      <c r="WVH2"/>
      <c r="WVI2"/>
      <c r="WVJ2"/>
      <c r="WVK2"/>
      <c r="WVL2"/>
      <c r="WVM2"/>
      <c r="WVN2"/>
      <c r="WVO2"/>
      <c r="WVP2"/>
      <c r="WVQ2"/>
      <c r="WVR2"/>
      <c r="WVS2"/>
      <c r="WVT2"/>
      <c r="WVU2"/>
      <c r="WVV2"/>
      <c r="WVW2"/>
      <c r="WVX2"/>
      <c r="WVY2"/>
      <c r="WVZ2"/>
      <c r="WWA2"/>
      <c r="WWB2"/>
      <c r="WWC2"/>
      <c r="WWD2"/>
      <c r="WWE2"/>
      <c r="WWF2"/>
      <c r="WWG2"/>
      <c r="WWH2"/>
      <c r="WWI2"/>
      <c r="WWJ2"/>
      <c r="WWK2"/>
      <c r="WWL2"/>
      <c r="WWM2"/>
      <c r="WWN2"/>
      <c r="WWO2"/>
      <c r="WWP2"/>
      <c r="WWQ2"/>
      <c r="WWR2"/>
      <c r="WWS2"/>
      <c r="WWT2"/>
      <c r="WWU2"/>
      <c r="WWV2"/>
      <c r="WWW2"/>
      <c r="WWX2"/>
      <c r="WWY2"/>
      <c r="WWZ2"/>
      <c r="WXA2"/>
      <c r="WXB2"/>
      <c r="WXC2"/>
      <c r="WXD2"/>
      <c r="WXE2"/>
      <c r="WXF2"/>
      <c r="WXG2"/>
      <c r="WXH2"/>
      <c r="WXI2"/>
      <c r="WXJ2"/>
      <c r="WXK2"/>
      <c r="WXL2"/>
      <c r="WXM2"/>
      <c r="WXN2"/>
      <c r="WXO2"/>
      <c r="WXP2"/>
      <c r="WXQ2"/>
      <c r="WXR2"/>
      <c r="WXS2"/>
      <c r="WXT2"/>
      <c r="WXU2"/>
      <c r="WXV2"/>
      <c r="WXW2"/>
      <c r="WXX2"/>
      <c r="WXY2"/>
      <c r="WXZ2"/>
      <c r="WYA2"/>
      <c r="WYB2"/>
      <c r="WYC2"/>
      <c r="WYD2"/>
      <c r="WYE2"/>
      <c r="WYF2"/>
      <c r="WYG2"/>
      <c r="WYH2"/>
      <c r="WYI2"/>
      <c r="WYJ2"/>
      <c r="WYK2"/>
      <c r="WYL2"/>
      <c r="WYM2"/>
      <c r="WYN2"/>
      <c r="WYO2"/>
      <c r="WYP2"/>
      <c r="WYQ2"/>
      <c r="WYR2"/>
      <c r="WYS2"/>
      <c r="WYT2"/>
      <c r="WYU2"/>
      <c r="WYV2"/>
      <c r="WYW2"/>
      <c r="WYX2"/>
      <c r="WYY2"/>
      <c r="WYZ2"/>
      <c r="WZA2"/>
      <c r="WZB2"/>
      <c r="WZC2"/>
      <c r="WZD2"/>
      <c r="WZE2"/>
      <c r="WZF2"/>
      <c r="WZG2"/>
      <c r="WZH2"/>
      <c r="WZI2"/>
      <c r="WZJ2"/>
      <c r="WZK2"/>
      <c r="WZL2"/>
      <c r="WZM2"/>
      <c r="WZN2"/>
      <c r="WZO2"/>
      <c r="WZP2"/>
      <c r="WZQ2"/>
      <c r="WZR2"/>
      <c r="WZS2"/>
      <c r="WZT2"/>
      <c r="WZU2"/>
      <c r="WZV2"/>
      <c r="WZW2"/>
      <c r="WZX2"/>
      <c r="WZY2"/>
      <c r="WZZ2"/>
      <c r="XAA2"/>
      <c r="XAB2"/>
      <c r="XAC2"/>
      <c r="XAD2"/>
      <c r="XAE2"/>
      <c r="XAF2"/>
      <c r="XAG2"/>
      <c r="XAH2"/>
      <c r="XAI2"/>
      <c r="XAJ2"/>
      <c r="XAK2"/>
      <c r="XAL2"/>
      <c r="XAM2"/>
      <c r="XAN2"/>
      <c r="XAO2"/>
      <c r="XAP2"/>
      <c r="XAQ2"/>
      <c r="XAR2"/>
      <c r="XAS2"/>
      <c r="XAT2"/>
      <c r="XAU2"/>
      <c r="XAV2"/>
      <c r="XAW2"/>
      <c r="XAX2"/>
      <c r="XAY2"/>
      <c r="XAZ2"/>
      <c r="XBA2"/>
      <c r="XBB2"/>
      <c r="XBC2"/>
      <c r="XBD2"/>
      <c r="XBE2"/>
      <c r="XBF2"/>
      <c r="XBG2"/>
      <c r="XBH2"/>
      <c r="XBI2"/>
      <c r="XBJ2"/>
      <c r="XBK2"/>
      <c r="XBL2"/>
      <c r="XBM2"/>
      <c r="XBN2"/>
      <c r="XBO2"/>
      <c r="XBP2"/>
      <c r="XBQ2"/>
      <c r="XBR2"/>
      <c r="XBS2"/>
      <c r="XBT2"/>
      <c r="XBU2"/>
      <c r="XBV2"/>
      <c r="XBW2"/>
      <c r="XBX2"/>
      <c r="XBY2"/>
      <c r="XBZ2"/>
      <c r="XCA2"/>
      <c r="XCB2"/>
      <c r="XCC2"/>
      <c r="XCD2"/>
      <c r="XCE2"/>
      <c r="XCF2"/>
      <c r="XCG2"/>
      <c r="XCH2"/>
      <c r="XCI2"/>
      <c r="XCJ2"/>
      <c r="XCK2"/>
      <c r="XCL2"/>
      <c r="XCM2"/>
      <c r="XCN2"/>
      <c r="XCO2"/>
      <c r="XCP2"/>
      <c r="XCQ2"/>
      <c r="XCR2"/>
      <c r="XCS2"/>
      <c r="XCT2"/>
      <c r="XCU2"/>
      <c r="XCV2"/>
      <c r="XCW2"/>
      <c r="XCX2"/>
      <c r="XCY2"/>
      <c r="XCZ2"/>
      <c r="XDA2"/>
      <c r="XDB2"/>
      <c r="XDC2"/>
      <c r="XDD2"/>
      <c r="XDE2"/>
      <c r="XDF2"/>
      <c r="XDG2"/>
      <c r="XDH2"/>
      <c r="XDI2"/>
      <c r="XDJ2"/>
      <c r="XDK2"/>
      <c r="XDL2"/>
      <c r="XDM2"/>
      <c r="XDN2"/>
      <c r="XDO2"/>
      <c r="XDP2"/>
      <c r="XDQ2"/>
      <c r="XDR2"/>
      <c r="XDS2"/>
      <c r="XDT2"/>
      <c r="XDU2"/>
      <c r="XDV2"/>
      <c r="XDW2"/>
      <c r="XDX2"/>
      <c r="XDY2"/>
      <c r="XDZ2"/>
      <c r="XEA2"/>
      <c r="XEB2"/>
      <c r="XEC2"/>
      <c r="XED2"/>
      <c r="XEE2"/>
      <c r="XEF2"/>
      <c r="XEG2"/>
      <c r="XEH2"/>
      <c r="XEI2"/>
      <c r="XEJ2"/>
      <c r="XEK2"/>
      <c r="XEL2"/>
      <c r="XEM2"/>
      <c r="XEN2"/>
      <c r="XEO2"/>
      <c r="XEP2"/>
      <c r="XEQ2"/>
      <c r="XER2"/>
      <c r="XES2"/>
      <c r="XET2"/>
      <c r="XEU2"/>
      <c r="XEV2"/>
      <c r="XEW2"/>
      <c r="XEX2"/>
      <c r="XEY2"/>
      <c r="XEZ2"/>
      <c r="XFA2"/>
      <c r="XFB2"/>
    </row>
    <row r="3" spans="1:16382" s="129" customFormat="1" ht="15" customHeight="1">
      <c r="A3" s="458"/>
      <c r="B3" s="459"/>
      <c r="C3" s="458"/>
      <c r="D3" s="458"/>
      <c r="E3" s="458"/>
      <c r="F3" s="458"/>
      <c r="G3" s="458"/>
      <c r="H3" s="458"/>
      <c r="I3" s="458"/>
      <c r="J3" s="458"/>
      <c r="K3" s="458"/>
      <c r="L3" s="458"/>
      <c r="M3" s="458"/>
      <c r="N3" s="458"/>
      <c r="O3" s="458"/>
      <c r="P3" s="458"/>
      <c r="Q3" s="458"/>
      <c r="R3" s="458"/>
      <c r="S3" s="458"/>
      <c r="T3" s="458"/>
      <c r="U3" s="458"/>
      <c r="V3" s="458"/>
      <c r="W3" s="458"/>
      <c r="X3" s="458"/>
      <c r="Y3" s="458"/>
      <c r="Z3" s="458"/>
      <c r="AA3" s="458"/>
      <c r="AB3" s="458"/>
      <c r="AC3" s="458"/>
      <c r="AD3" s="458"/>
      <c r="AE3" s="458"/>
      <c r="AF3" s="458"/>
      <c r="AG3" s="458"/>
      <c r="AH3" s="458"/>
      <c r="AI3" s="458"/>
      <c r="AJ3" s="458"/>
      <c r="AK3" s="458"/>
      <c r="AL3" s="458"/>
      <c r="AM3" s="458"/>
      <c r="AN3" s="458"/>
      <c r="AO3" s="458"/>
      <c r="AP3" s="458"/>
      <c r="AQ3" s="458"/>
      <c r="AR3" s="458"/>
      <c r="AS3" s="458"/>
      <c r="AT3" s="281"/>
      <c r="AU3" s="281"/>
      <c r="AV3" s="281"/>
      <c r="AW3" s="281"/>
      <c r="AX3" s="281"/>
      <c r="AY3" s="281"/>
      <c r="AZ3" s="281"/>
      <c r="BA3" s="281"/>
      <c r="BB3" s="281"/>
      <c r="BC3" s="281"/>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c r="BFZ3"/>
      <c r="BGA3"/>
      <c r="BGB3"/>
      <c r="BGC3"/>
      <c r="BGD3"/>
      <c r="BGE3"/>
      <c r="BGF3"/>
      <c r="BGG3"/>
      <c r="BGH3"/>
      <c r="BGI3"/>
      <c r="BGJ3"/>
      <c r="BGK3"/>
      <c r="BGL3"/>
      <c r="BGM3"/>
      <c r="BGN3"/>
      <c r="BGO3"/>
      <c r="BGP3"/>
      <c r="BGQ3"/>
      <c r="BGR3"/>
      <c r="BGS3"/>
      <c r="BGT3"/>
      <c r="BGU3"/>
      <c r="BGV3"/>
      <c r="BGW3"/>
      <c r="BGX3"/>
      <c r="BGY3"/>
      <c r="BGZ3"/>
      <c r="BHA3"/>
      <c r="BHB3"/>
      <c r="BHC3"/>
      <c r="BHD3"/>
      <c r="BHE3"/>
      <c r="BHF3"/>
      <c r="BHG3"/>
      <c r="BHH3"/>
      <c r="BHI3"/>
      <c r="BHJ3"/>
      <c r="BHK3"/>
      <c r="BHL3"/>
      <c r="BHM3"/>
      <c r="BHN3"/>
      <c r="BHO3"/>
      <c r="BHP3"/>
      <c r="BHQ3"/>
      <c r="BHR3"/>
      <c r="BHS3"/>
      <c r="BHT3"/>
      <c r="BHU3"/>
      <c r="BHV3"/>
      <c r="BHW3"/>
      <c r="BHX3"/>
      <c r="BHY3"/>
      <c r="BHZ3"/>
      <c r="BIA3"/>
      <c r="BIB3"/>
      <c r="BIC3"/>
      <c r="BID3"/>
      <c r="BIE3"/>
      <c r="BIF3"/>
      <c r="BIG3"/>
      <c r="BIH3"/>
      <c r="BII3"/>
      <c r="BIJ3"/>
      <c r="BIK3"/>
      <c r="BIL3"/>
      <c r="BIM3"/>
      <c r="BIN3"/>
      <c r="BIO3"/>
      <c r="BIP3"/>
      <c r="BIQ3"/>
      <c r="BIR3"/>
      <c r="BIS3"/>
      <c r="BIT3"/>
      <c r="BIU3"/>
      <c r="BIV3"/>
      <c r="BIW3"/>
      <c r="BIX3"/>
      <c r="BIY3"/>
      <c r="BIZ3"/>
      <c r="BJA3"/>
      <c r="BJB3"/>
      <c r="BJC3"/>
      <c r="BJD3"/>
      <c r="BJE3"/>
      <c r="BJF3"/>
      <c r="BJG3"/>
      <c r="BJH3"/>
      <c r="BJI3"/>
      <c r="BJJ3"/>
      <c r="BJK3"/>
      <c r="BJL3"/>
      <c r="BJM3"/>
      <c r="BJN3"/>
      <c r="BJO3"/>
      <c r="BJP3"/>
      <c r="BJQ3"/>
      <c r="BJR3"/>
      <c r="BJS3"/>
      <c r="BJT3"/>
      <c r="BJU3"/>
      <c r="BJV3"/>
      <c r="BJW3"/>
      <c r="BJX3"/>
      <c r="BJY3"/>
      <c r="BJZ3"/>
      <c r="BKA3"/>
      <c r="BKB3"/>
      <c r="BKC3"/>
      <c r="BKD3"/>
      <c r="BKE3"/>
      <c r="BKF3"/>
      <c r="BKG3"/>
      <c r="BKH3"/>
      <c r="BKI3"/>
      <c r="BKJ3"/>
      <c r="BKK3"/>
      <c r="BKL3"/>
      <c r="BKM3"/>
      <c r="BKN3"/>
      <c r="BKO3"/>
      <c r="BKP3"/>
      <c r="BKQ3"/>
      <c r="BKR3"/>
      <c r="BKS3"/>
      <c r="BKT3"/>
      <c r="BKU3"/>
      <c r="BKV3"/>
      <c r="BKW3"/>
      <c r="BKX3"/>
      <c r="BKY3"/>
      <c r="BKZ3"/>
      <c r="BLA3"/>
      <c r="BLB3"/>
      <c r="BLC3"/>
      <c r="BLD3"/>
      <c r="BLE3"/>
      <c r="BLF3"/>
      <c r="BLG3"/>
      <c r="BLH3"/>
      <c r="BLI3"/>
      <c r="BLJ3"/>
      <c r="BLK3"/>
      <c r="BLL3"/>
      <c r="BLM3"/>
      <c r="BLN3"/>
      <c r="BLO3"/>
      <c r="BLP3"/>
      <c r="BLQ3"/>
      <c r="BLR3"/>
      <c r="BLS3"/>
      <c r="BLT3"/>
      <c r="BLU3"/>
      <c r="BLV3"/>
      <c r="BLW3"/>
      <c r="BLX3"/>
      <c r="BLY3"/>
      <c r="BLZ3"/>
      <c r="BMA3"/>
      <c r="BMB3"/>
      <c r="BMC3"/>
      <c r="BMD3"/>
      <c r="BME3"/>
      <c r="BMF3"/>
      <c r="BMG3"/>
      <c r="BMH3"/>
      <c r="BMI3"/>
      <c r="BMJ3"/>
      <c r="BMK3"/>
      <c r="BML3"/>
      <c r="BMM3"/>
      <c r="BMN3"/>
      <c r="BMO3"/>
      <c r="BMP3"/>
      <c r="BMQ3"/>
      <c r="BMR3"/>
      <c r="BMS3"/>
      <c r="BMT3"/>
      <c r="BMU3"/>
      <c r="BMV3"/>
      <c r="BMW3"/>
      <c r="BMX3"/>
      <c r="BMY3"/>
      <c r="BMZ3"/>
      <c r="BNA3"/>
      <c r="BNB3"/>
      <c r="BNC3"/>
      <c r="BND3"/>
      <c r="BNE3"/>
      <c r="BNF3"/>
      <c r="BNG3"/>
      <c r="BNH3"/>
      <c r="BNI3"/>
      <c r="BNJ3"/>
      <c r="BNK3"/>
      <c r="BNL3"/>
      <c r="BNM3"/>
      <c r="BNN3"/>
      <c r="BNO3"/>
      <c r="BNP3"/>
      <c r="BNQ3"/>
      <c r="BNR3"/>
      <c r="BNS3"/>
      <c r="BNT3"/>
      <c r="BNU3"/>
      <c r="BNV3"/>
      <c r="BNW3"/>
      <c r="BNX3"/>
      <c r="BNY3"/>
      <c r="BNZ3"/>
      <c r="BOA3"/>
      <c r="BOB3"/>
      <c r="BOC3"/>
      <c r="BOD3"/>
      <c r="BOE3"/>
      <c r="BOF3"/>
      <c r="BOG3"/>
      <c r="BOH3"/>
      <c r="BOI3"/>
      <c r="BOJ3"/>
      <c r="BOK3"/>
      <c r="BOL3"/>
      <c r="BOM3"/>
      <c r="BON3"/>
      <c r="BOO3"/>
      <c r="BOP3"/>
      <c r="BOQ3"/>
      <c r="BOR3"/>
      <c r="BOS3"/>
      <c r="BOT3"/>
      <c r="BOU3"/>
      <c r="BOV3"/>
      <c r="BOW3"/>
      <c r="BOX3"/>
      <c r="BOY3"/>
      <c r="BOZ3"/>
      <c r="BPA3"/>
      <c r="BPB3"/>
      <c r="BPC3"/>
      <c r="BPD3"/>
      <c r="BPE3"/>
      <c r="BPF3"/>
      <c r="BPG3"/>
      <c r="BPH3"/>
      <c r="BPI3"/>
      <c r="BPJ3"/>
      <c r="BPK3"/>
      <c r="BPL3"/>
      <c r="BPM3"/>
      <c r="BPN3"/>
      <c r="BPO3"/>
      <c r="BPP3"/>
      <c r="BPQ3"/>
      <c r="BPR3"/>
      <c r="BPS3"/>
      <c r="BPT3"/>
      <c r="BPU3"/>
      <c r="BPV3"/>
      <c r="BPW3"/>
      <c r="BPX3"/>
      <c r="BPY3"/>
      <c r="BPZ3"/>
      <c r="BQA3"/>
      <c r="BQB3"/>
      <c r="BQC3"/>
      <c r="BQD3"/>
      <c r="BQE3"/>
      <c r="BQF3"/>
      <c r="BQG3"/>
      <c r="BQH3"/>
      <c r="BQI3"/>
      <c r="BQJ3"/>
      <c r="BQK3"/>
      <c r="BQL3"/>
      <c r="BQM3"/>
      <c r="BQN3"/>
      <c r="BQO3"/>
      <c r="BQP3"/>
      <c r="BQQ3"/>
      <c r="BQR3"/>
      <c r="BQS3"/>
      <c r="BQT3"/>
      <c r="BQU3"/>
      <c r="BQV3"/>
      <c r="BQW3"/>
      <c r="BQX3"/>
      <c r="BQY3"/>
      <c r="BQZ3"/>
      <c r="BRA3"/>
      <c r="BRB3"/>
      <c r="BRC3"/>
      <c r="BRD3"/>
      <c r="BRE3"/>
      <c r="BRF3"/>
      <c r="BRG3"/>
      <c r="BRH3"/>
      <c r="BRI3"/>
      <c r="BRJ3"/>
      <c r="BRK3"/>
      <c r="BRL3"/>
      <c r="BRM3"/>
      <c r="BRN3"/>
      <c r="BRO3"/>
      <c r="BRP3"/>
      <c r="BRQ3"/>
      <c r="BRR3"/>
      <c r="BRS3"/>
      <c r="BRT3"/>
      <c r="BRU3"/>
      <c r="BRV3"/>
      <c r="BRW3"/>
      <c r="BRX3"/>
      <c r="BRY3"/>
      <c r="BRZ3"/>
      <c r="BSA3"/>
      <c r="BSB3"/>
      <c r="BSC3"/>
      <c r="BSD3"/>
      <c r="BSE3"/>
      <c r="BSF3"/>
      <c r="BSG3"/>
      <c r="BSH3"/>
      <c r="BSI3"/>
      <c r="BSJ3"/>
      <c r="BSK3"/>
      <c r="BSL3"/>
      <c r="BSM3"/>
      <c r="BSN3"/>
      <c r="BSO3"/>
      <c r="BSP3"/>
      <c r="BSQ3"/>
      <c r="BSR3"/>
      <c r="BSS3"/>
      <c r="BST3"/>
      <c r="BSU3"/>
      <c r="BSV3"/>
      <c r="BSW3"/>
      <c r="BSX3"/>
      <c r="BSY3"/>
      <c r="BSZ3"/>
      <c r="BTA3"/>
      <c r="BTB3"/>
      <c r="BTC3"/>
      <c r="BTD3"/>
      <c r="BTE3"/>
      <c r="BTF3"/>
      <c r="BTG3"/>
      <c r="BTH3"/>
      <c r="BTI3"/>
      <c r="BTJ3"/>
      <c r="BTK3"/>
      <c r="BTL3"/>
      <c r="BTM3"/>
      <c r="BTN3"/>
      <c r="BTO3"/>
      <c r="BTP3"/>
      <c r="BTQ3"/>
      <c r="BTR3"/>
      <c r="BTS3"/>
      <c r="BTT3"/>
      <c r="BTU3"/>
      <c r="BTV3"/>
      <c r="BTW3"/>
      <c r="BTX3"/>
      <c r="BTY3"/>
      <c r="BTZ3"/>
      <c r="BUA3"/>
      <c r="BUB3"/>
      <c r="BUC3"/>
      <c r="BUD3"/>
      <c r="BUE3"/>
      <c r="BUF3"/>
      <c r="BUG3"/>
      <c r="BUH3"/>
      <c r="BUI3"/>
      <c r="BUJ3"/>
      <c r="BUK3"/>
      <c r="BUL3"/>
      <c r="BUM3"/>
      <c r="BUN3"/>
      <c r="BUO3"/>
      <c r="BUP3"/>
      <c r="BUQ3"/>
      <c r="BUR3"/>
      <c r="BUS3"/>
      <c r="BUT3"/>
      <c r="BUU3"/>
      <c r="BUV3"/>
      <c r="BUW3"/>
      <c r="BUX3"/>
      <c r="BUY3"/>
      <c r="BUZ3"/>
      <c r="BVA3"/>
      <c r="BVB3"/>
      <c r="BVC3"/>
      <c r="BVD3"/>
      <c r="BVE3"/>
      <c r="BVF3"/>
      <c r="BVG3"/>
      <c r="BVH3"/>
      <c r="BVI3"/>
      <c r="BVJ3"/>
      <c r="BVK3"/>
      <c r="BVL3"/>
      <c r="BVM3"/>
      <c r="BVN3"/>
      <c r="BVO3"/>
      <c r="BVP3"/>
      <c r="BVQ3"/>
      <c r="BVR3"/>
      <c r="BVS3"/>
      <c r="BVT3"/>
      <c r="BVU3"/>
      <c r="BVV3"/>
      <c r="BVW3"/>
      <c r="BVX3"/>
      <c r="BVY3"/>
      <c r="BVZ3"/>
      <c r="BWA3"/>
      <c r="BWB3"/>
      <c r="BWC3"/>
      <c r="BWD3"/>
      <c r="BWE3"/>
      <c r="BWF3"/>
      <c r="BWG3"/>
      <c r="BWH3"/>
      <c r="BWI3"/>
      <c r="BWJ3"/>
      <c r="BWK3"/>
      <c r="BWL3"/>
      <c r="BWM3"/>
      <c r="BWN3"/>
      <c r="BWO3"/>
      <c r="BWP3"/>
      <c r="BWQ3"/>
      <c r="BWR3"/>
      <c r="BWS3"/>
      <c r="BWT3"/>
      <c r="BWU3"/>
      <c r="BWV3"/>
      <c r="BWW3"/>
      <c r="BWX3"/>
      <c r="BWY3"/>
      <c r="BWZ3"/>
      <c r="BXA3"/>
      <c r="BXB3"/>
      <c r="BXC3"/>
      <c r="BXD3"/>
      <c r="BXE3"/>
      <c r="BXF3"/>
      <c r="BXG3"/>
      <c r="BXH3"/>
      <c r="BXI3"/>
      <c r="BXJ3"/>
      <c r="BXK3"/>
      <c r="BXL3"/>
      <c r="BXM3"/>
      <c r="BXN3"/>
      <c r="BXO3"/>
      <c r="BXP3"/>
      <c r="BXQ3"/>
      <c r="BXR3"/>
      <c r="BXS3"/>
      <c r="BXT3"/>
      <c r="BXU3"/>
      <c r="BXV3"/>
      <c r="BXW3"/>
      <c r="BXX3"/>
      <c r="BXY3"/>
      <c r="BXZ3"/>
      <c r="BYA3"/>
      <c r="BYB3"/>
      <c r="BYC3"/>
      <c r="BYD3"/>
      <c r="BYE3"/>
      <c r="BYF3"/>
      <c r="BYG3"/>
      <c r="BYH3"/>
      <c r="BYI3"/>
      <c r="BYJ3"/>
      <c r="BYK3"/>
      <c r="BYL3"/>
      <c r="BYM3"/>
      <c r="BYN3"/>
      <c r="BYO3"/>
      <c r="BYP3"/>
      <c r="BYQ3"/>
      <c r="BYR3"/>
      <c r="BYS3"/>
      <c r="BYT3"/>
      <c r="BYU3"/>
      <c r="BYV3"/>
      <c r="BYW3"/>
      <c r="BYX3"/>
      <c r="BYY3"/>
      <c r="BYZ3"/>
      <c r="BZA3"/>
      <c r="BZB3"/>
      <c r="BZC3"/>
      <c r="BZD3"/>
      <c r="BZE3"/>
      <c r="BZF3"/>
      <c r="BZG3"/>
      <c r="BZH3"/>
      <c r="BZI3"/>
      <c r="BZJ3"/>
      <c r="BZK3"/>
      <c r="BZL3"/>
      <c r="BZM3"/>
      <c r="BZN3"/>
      <c r="BZO3"/>
      <c r="BZP3"/>
      <c r="BZQ3"/>
      <c r="BZR3"/>
      <c r="BZS3"/>
      <c r="BZT3"/>
      <c r="BZU3"/>
      <c r="BZV3"/>
      <c r="BZW3"/>
      <c r="BZX3"/>
      <c r="BZY3"/>
      <c r="BZZ3"/>
      <c r="CAA3"/>
      <c r="CAB3"/>
      <c r="CAC3"/>
      <c r="CAD3"/>
      <c r="CAE3"/>
      <c r="CAF3"/>
      <c r="CAG3"/>
      <c r="CAH3"/>
      <c r="CAI3"/>
      <c r="CAJ3"/>
      <c r="CAK3"/>
      <c r="CAL3"/>
      <c r="CAM3"/>
      <c r="CAN3"/>
      <c r="CAO3"/>
      <c r="CAP3"/>
      <c r="CAQ3"/>
      <c r="CAR3"/>
      <c r="CAS3"/>
      <c r="CAT3"/>
      <c r="CAU3"/>
      <c r="CAV3"/>
      <c r="CAW3"/>
      <c r="CAX3"/>
      <c r="CAY3"/>
      <c r="CAZ3"/>
      <c r="CBA3"/>
      <c r="CBB3"/>
      <c r="CBC3"/>
      <c r="CBD3"/>
      <c r="CBE3"/>
      <c r="CBF3"/>
      <c r="CBG3"/>
      <c r="CBH3"/>
      <c r="CBI3"/>
      <c r="CBJ3"/>
      <c r="CBK3"/>
      <c r="CBL3"/>
      <c r="CBM3"/>
      <c r="CBN3"/>
      <c r="CBO3"/>
      <c r="CBP3"/>
      <c r="CBQ3"/>
      <c r="CBR3"/>
      <c r="CBS3"/>
      <c r="CBT3"/>
      <c r="CBU3"/>
      <c r="CBV3"/>
      <c r="CBW3"/>
      <c r="CBX3"/>
      <c r="CBY3"/>
      <c r="CBZ3"/>
      <c r="CCA3"/>
      <c r="CCB3"/>
      <c r="CCC3"/>
      <c r="CCD3"/>
      <c r="CCE3"/>
      <c r="CCF3"/>
      <c r="CCG3"/>
      <c r="CCH3"/>
      <c r="CCI3"/>
      <c r="CCJ3"/>
      <c r="CCK3"/>
      <c r="CCL3"/>
      <c r="CCM3"/>
      <c r="CCN3"/>
      <c r="CCO3"/>
      <c r="CCP3"/>
      <c r="CCQ3"/>
      <c r="CCR3"/>
      <c r="CCS3"/>
      <c r="CCT3"/>
      <c r="CCU3"/>
      <c r="CCV3"/>
      <c r="CCW3"/>
      <c r="CCX3"/>
      <c r="CCY3"/>
      <c r="CCZ3"/>
      <c r="CDA3"/>
      <c r="CDB3"/>
      <c r="CDC3"/>
      <c r="CDD3"/>
      <c r="CDE3"/>
      <c r="CDF3"/>
      <c r="CDG3"/>
      <c r="CDH3"/>
      <c r="CDI3"/>
      <c r="CDJ3"/>
      <c r="CDK3"/>
      <c r="CDL3"/>
      <c r="CDM3"/>
      <c r="CDN3"/>
      <c r="CDO3"/>
      <c r="CDP3"/>
      <c r="CDQ3"/>
      <c r="CDR3"/>
      <c r="CDS3"/>
      <c r="CDT3"/>
      <c r="CDU3"/>
      <c r="CDV3"/>
      <c r="CDW3"/>
      <c r="CDX3"/>
      <c r="CDY3"/>
      <c r="CDZ3"/>
      <c r="CEA3"/>
      <c r="CEB3"/>
      <c r="CEC3"/>
      <c r="CED3"/>
      <c r="CEE3"/>
      <c r="CEF3"/>
      <c r="CEG3"/>
      <c r="CEH3"/>
      <c r="CEI3"/>
      <c r="CEJ3"/>
      <c r="CEK3"/>
      <c r="CEL3"/>
      <c r="CEM3"/>
      <c r="CEN3"/>
      <c r="CEO3"/>
      <c r="CEP3"/>
      <c r="CEQ3"/>
      <c r="CER3"/>
      <c r="CES3"/>
      <c r="CET3"/>
      <c r="CEU3"/>
      <c r="CEV3"/>
      <c r="CEW3"/>
      <c r="CEX3"/>
      <c r="CEY3"/>
      <c r="CEZ3"/>
      <c r="CFA3"/>
      <c r="CFB3"/>
      <c r="CFC3"/>
      <c r="CFD3"/>
      <c r="CFE3"/>
      <c r="CFF3"/>
      <c r="CFG3"/>
      <c r="CFH3"/>
      <c r="CFI3"/>
      <c r="CFJ3"/>
      <c r="CFK3"/>
      <c r="CFL3"/>
      <c r="CFM3"/>
      <c r="CFN3"/>
      <c r="CFO3"/>
      <c r="CFP3"/>
      <c r="CFQ3"/>
      <c r="CFR3"/>
      <c r="CFS3"/>
      <c r="CFT3"/>
      <c r="CFU3"/>
      <c r="CFV3"/>
      <c r="CFW3"/>
      <c r="CFX3"/>
      <c r="CFY3"/>
      <c r="CFZ3"/>
      <c r="CGA3"/>
      <c r="CGB3"/>
      <c r="CGC3"/>
      <c r="CGD3"/>
      <c r="CGE3"/>
      <c r="CGF3"/>
      <c r="CGG3"/>
      <c r="CGH3"/>
      <c r="CGI3"/>
      <c r="CGJ3"/>
      <c r="CGK3"/>
      <c r="CGL3"/>
      <c r="CGM3"/>
      <c r="CGN3"/>
      <c r="CGO3"/>
      <c r="CGP3"/>
      <c r="CGQ3"/>
      <c r="CGR3"/>
      <c r="CGS3"/>
      <c r="CGT3"/>
      <c r="CGU3"/>
      <c r="CGV3"/>
      <c r="CGW3"/>
      <c r="CGX3"/>
      <c r="CGY3"/>
      <c r="CGZ3"/>
      <c r="CHA3"/>
      <c r="CHB3"/>
      <c r="CHC3"/>
      <c r="CHD3"/>
      <c r="CHE3"/>
      <c r="CHF3"/>
      <c r="CHG3"/>
      <c r="CHH3"/>
      <c r="CHI3"/>
      <c r="CHJ3"/>
      <c r="CHK3"/>
      <c r="CHL3"/>
      <c r="CHM3"/>
      <c r="CHN3"/>
      <c r="CHO3"/>
      <c r="CHP3"/>
      <c r="CHQ3"/>
      <c r="CHR3"/>
      <c r="CHS3"/>
      <c r="CHT3"/>
      <c r="CHU3"/>
      <c r="CHV3"/>
      <c r="CHW3"/>
      <c r="CHX3"/>
      <c r="CHY3"/>
      <c r="CHZ3"/>
      <c r="CIA3"/>
      <c r="CIB3"/>
      <c r="CIC3"/>
      <c r="CID3"/>
      <c r="CIE3"/>
      <c r="CIF3"/>
      <c r="CIG3"/>
      <c r="CIH3"/>
      <c r="CII3"/>
      <c r="CIJ3"/>
      <c r="CIK3"/>
      <c r="CIL3"/>
      <c r="CIM3"/>
      <c r="CIN3"/>
      <c r="CIO3"/>
      <c r="CIP3"/>
      <c r="CIQ3"/>
      <c r="CIR3"/>
      <c r="CIS3"/>
      <c r="CIT3"/>
      <c r="CIU3"/>
      <c r="CIV3"/>
      <c r="CIW3"/>
      <c r="CIX3"/>
      <c r="CIY3"/>
      <c r="CIZ3"/>
      <c r="CJA3"/>
      <c r="CJB3"/>
      <c r="CJC3"/>
      <c r="CJD3"/>
      <c r="CJE3"/>
      <c r="CJF3"/>
      <c r="CJG3"/>
      <c r="CJH3"/>
      <c r="CJI3"/>
      <c r="CJJ3"/>
      <c r="CJK3"/>
      <c r="CJL3"/>
      <c r="CJM3"/>
      <c r="CJN3"/>
      <c r="CJO3"/>
      <c r="CJP3"/>
      <c r="CJQ3"/>
      <c r="CJR3"/>
      <c r="CJS3"/>
      <c r="CJT3"/>
      <c r="CJU3"/>
      <c r="CJV3"/>
      <c r="CJW3"/>
      <c r="CJX3"/>
      <c r="CJY3"/>
      <c r="CJZ3"/>
      <c r="CKA3"/>
      <c r="CKB3"/>
      <c r="CKC3"/>
      <c r="CKD3"/>
      <c r="CKE3"/>
      <c r="CKF3"/>
      <c r="CKG3"/>
      <c r="CKH3"/>
      <c r="CKI3"/>
      <c r="CKJ3"/>
      <c r="CKK3"/>
      <c r="CKL3"/>
      <c r="CKM3"/>
      <c r="CKN3"/>
      <c r="CKO3"/>
      <c r="CKP3"/>
      <c r="CKQ3"/>
      <c r="CKR3"/>
      <c r="CKS3"/>
      <c r="CKT3"/>
      <c r="CKU3"/>
      <c r="CKV3"/>
      <c r="CKW3"/>
      <c r="CKX3"/>
      <c r="CKY3"/>
      <c r="CKZ3"/>
      <c r="CLA3"/>
      <c r="CLB3"/>
      <c r="CLC3"/>
      <c r="CLD3"/>
      <c r="CLE3"/>
      <c r="CLF3"/>
      <c r="CLG3"/>
      <c r="CLH3"/>
      <c r="CLI3"/>
      <c r="CLJ3"/>
      <c r="CLK3"/>
      <c r="CLL3"/>
      <c r="CLM3"/>
      <c r="CLN3"/>
      <c r="CLO3"/>
      <c r="CLP3"/>
      <c r="CLQ3"/>
      <c r="CLR3"/>
      <c r="CLS3"/>
      <c r="CLT3"/>
      <c r="CLU3"/>
      <c r="CLV3"/>
      <c r="CLW3"/>
      <c r="CLX3"/>
      <c r="CLY3"/>
      <c r="CLZ3"/>
      <c r="CMA3"/>
      <c r="CMB3"/>
      <c r="CMC3"/>
      <c r="CMD3"/>
      <c r="CME3"/>
      <c r="CMF3"/>
      <c r="CMG3"/>
      <c r="CMH3"/>
      <c r="CMI3"/>
      <c r="CMJ3"/>
      <c r="CMK3"/>
      <c r="CML3"/>
      <c r="CMM3"/>
      <c r="CMN3"/>
      <c r="CMO3"/>
      <c r="CMP3"/>
      <c r="CMQ3"/>
      <c r="CMR3"/>
      <c r="CMS3"/>
      <c r="CMT3"/>
      <c r="CMU3"/>
      <c r="CMV3"/>
      <c r="CMW3"/>
      <c r="CMX3"/>
      <c r="CMY3"/>
      <c r="CMZ3"/>
      <c r="CNA3"/>
      <c r="CNB3"/>
      <c r="CNC3"/>
      <c r="CND3"/>
      <c r="CNE3"/>
      <c r="CNF3"/>
      <c r="CNG3"/>
      <c r="CNH3"/>
      <c r="CNI3"/>
      <c r="CNJ3"/>
      <c r="CNK3"/>
      <c r="CNL3"/>
      <c r="CNM3"/>
      <c r="CNN3"/>
      <c r="CNO3"/>
      <c r="CNP3"/>
      <c r="CNQ3"/>
      <c r="CNR3"/>
      <c r="CNS3"/>
      <c r="CNT3"/>
      <c r="CNU3"/>
      <c r="CNV3"/>
      <c r="CNW3"/>
      <c r="CNX3"/>
      <c r="CNY3"/>
      <c r="CNZ3"/>
      <c r="COA3"/>
      <c r="COB3"/>
      <c r="COC3"/>
      <c r="COD3"/>
      <c r="COE3"/>
      <c r="COF3"/>
      <c r="COG3"/>
      <c r="COH3"/>
      <c r="COI3"/>
      <c r="COJ3"/>
      <c r="COK3"/>
      <c r="COL3"/>
      <c r="COM3"/>
      <c r="CON3"/>
      <c r="COO3"/>
      <c r="COP3"/>
      <c r="COQ3"/>
      <c r="COR3"/>
      <c r="COS3"/>
      <c r="COT3"/>
      <c r="COU3"/>
      <c r="COV3"/>
      <c r="COW3"/>
      <c r="COX3"/>
      <c r="COY3"/>
      <c r="COZ3"/>
      <c r="CPA3"/>
      <c r="CPB3"/>
      <c r="CPC3"/>
      <c r="CPD3"/>
      <c r="CPE3"/>
      <c r="CPF3"/>
      <c r="CPG3"/>
      <c r="CPH3"/>
      <c r="CPI3"/>
      <c r="CPJ3"/>
      <c r="CPK3"/>
      <c r="CPL3"/>
      <c r="CPM3"/>
      <c r="CPN3"/>
      <c r="CPO3"/>
      <c r="CPP3"/>
      <c r="CPQ3"/>
      <c r="CPR3"/>
      <c r="CPS3"/>
      <c r="CPT3"/>
      <c r="CPU3"/>
      <c r="CPV3"/>
      <c r="CPW3"/>
      <c r="CPX3"/>
      <c r="CPY3"/>
      <c r="CPZ3"/>
      <c r="CQA3"/>
      <c r="CQB3"/>
      <c r="CQC3"/>
      <c r="CQD3"/>
      <c r="CQE3"/>
      <c r="CQF3"/>
      <c r="CQG3"/>
      <c r="CQH3"/>
      <c r="CQI3"/>
      <c r="CQJ3"/>
      <c r="CQK3"/>
      <c r="CQL3"/>
      <c r="CQM3"/>
      <c r="CQN3"/>
      <c r="CQO3"/>
      <c r="CQP3"/>
      <c r="CQQ3"/>
      <c r="CQR3"/>
      <c r="CQS3"/>
      <c r="CQT3"/>
      <c r="CQU3"/>
      <c r="CQV3"/>
      <c r="CQW3"/>
      <c r="CQX3"/>
      <c r="CQY3"/>
      <c r="CQZ3"/>
      <c r="CRA3"/>
      <c r="CRB3"/>
      <c r="CRC3"/>
      <c r="CRD3"/>
      <c r="CRE3"/>
      <c r="CRF3"/>
      <c r="CRG3"/>
      <c r="CRH3"/>
      <c r="CRI3"/>
      <c r="CRJ3"/>
      <c r="CRK3"/>
      <c r="CRL3"/>
      <c r="CRM3"/>
      <c r="CRN3"/>
      <c r="CRO3"/>
      <c r="CRP3"/>
      <c r="CRQ3"/>
      <c r="CRR3"/>
      <c r="CRS3"/>
      <c r="CRT3"/>
      <c r="CRU3"/>
      <c r="CRV3"/>
      <c r="CRW3"/>
      <c r="CRX3"/>
      <c r="CRY3"/>
      <c r="CRZ3"/>
      <c r="CSA3"/>
      <c r="CSB3"/>
      <c r="CSC3"/>
      <c r="CSD3"/>
      <c r="CSE3"/>
      <c r="CSF3"/>
      <c r="CSG3"/>
      <c r="CSH3"/>
      <c r="CSI3"/>
      <c r="CSJ3"/>
      <c r="CSK3"/>
      <c r="CSL3"/>
      <c r="CSM3"/>
      <c r="CSN3"/>
      <c r="CSO3"/>
      <c r="CSP3"/>
      <c r="CSQ3"/>
      <c r="CSR3"/>
      <c r="CSS3"/>
      <c r="CST3"/>
      <c r="CSU3"/>
      <c r="CSV3"/>
      <c r="CSW3"/>
      <c r="CSX3"/>
      <c r="CSY3"/>
      <c r="CSZ3"/>
      <c r="CTA3"/>
      <c r="CTB3"/>
      <c r="CTC3"/>
      <c r="CTD3"/>
      <c r="CTE3"/>
      <c r="CTF3"/>
      <c r="CTG3"/>
      <c r="CTH3"/>
      <c r="CTI3"/>
      <c r="CTJ3"/>
      <c r="CTK3"/>
      <c r="CTL3"/>
      <c r="CTM3"/>
      <c r="CTN3"/>
      <c r="CTO3"/>
      <c r="CTP3"/>
      <c r="CTQ3"/>
      <c r="CTR3"/>
      <c r="CTS3"/>
      <c r="CTT3"/>
      <c r="CTU3"/>
      <c r="CTV3"/>
      <c r="CTW3"/>
      <c r="CTX3"/>
      <c r="CTY3"/>
      <c r="CTZ3"/>
      <c r="CUA3"/>
      <c r="CUB3"/>
      <c r="CUC3"/>
      <c r="CUD3"/>
      <c r="CUE3"/>
      <c r="CUF3"/>
      <c r="CUG3"/>
      <c r="CUH3"/>
      <c r="CUI3"/>
      <c r="CUJ3"/>
      <c r="CUK3"/>
      <c r="CUL3"/>
      <c r="CUM3"/>
      <c r="CUN3"/>
      <c r="CUO3"/>
      <c r="CUP3"/>
      <c r="CUQ3"/>
      <c r="CUR3"/>
      <c r="CUS3"/>
      <c r="CUT3"/>
      <c r="CUU3"/>
      <c r="CUV3"/>
      <c r="CUW3"/>
      <c r="CUX3"/>
      <c r="CUY3"/>
      <c r="CUZ3"/>
      <c r="CVA3"/>
      <c r="CVB3"/>
      <c r="CVC3"/>
      <c r="CVD3"/>
      <c r="CVE3"/>
      <c r="CVF3"/>
      <c r="CVG3"/>
      <c r="CVH3"/>
      <c r="CVI3"/>
      <c r="CVJ3"/>
      <c r="CVK3"/>
      <c r="CVL3"/>
      <c r="CVM3"/>
      <c r="CVN3"/>
      <c r="CVO3"/>
      <c r="CVP3"/>
      <c r="CVQ3"/>
      <c r="CVR3"/>
      <c r="CVS3"/>
      <c r="CVT3"/>
      <c r="CVU3"/>
      <c r="CVV3"/>
      <c r="CVW3"/>
      <c r="CVX3"/>
      <c r="CVY3"/>
      <c r="CVZ3"/>
      <c r="CWA3"/>
      <c r="CWB3"/>
      <c r="CWC3"/>
      <c r="CWD3"/>
      <c r="CWE3"/>
      <c r="CWF3"/>
      <c r="CWG3"/>
      <c r="CWH3"/>
      <c r="CWI3"/>
      <c r="CWJ3"/>
      <c r="CWK3"/>
      <c r="CWL3"/>
      <c r="CWM3"/>
      <c r="CWN3"/>
      <c r="CWO3"/>
      <c r="CWP3"/>
      <c r="CWQ3"/>
      <c r="CWR3"/>
      <c r="CWS3"/>
      <c r="CWT3"/>
      <c r="CWU3"/>
      <c r="CWV3"/>
      <c r="CWW3"/>
      <c r="CWX3"/>
      <c r="CWY3"/>
      <c r="CWZ3"/>
      <c r="CXA3"/>
      <c r="CXB3"/>
      <c r="CXC3"/>
      <c r="CXD3"/>
      <c r="CXE3"/>
      <c r="CXF3"/>
      <c r="CXG3"/>
      <c r="CXH3"/>
      <c r="CXI3"/>
      <c r="CXJ3"/>
      <c r="CXK3"/>
      <c r="CXL3"/>
      <c r="CXM3"/>
      <c r="CXN3"/>
      <c r="CXO3"/>
      <c r="CXP3"/>
      <c r="CXQ3"/>
      <c r="CXR3"/>
      <c r="CXS3"/>
      <c r="CXT3"/>
      <c r="CXU3"/>
      <c r="CXV3"/>
      <c r="CXW3"/>
      <c r="CXX3"/>
      <c r="CXY3"/>
      <c r="CXZ3"/>
      <c r="CYA3"/>
      <c r="CYB3"/>
      <c r="CYC3"/>
      <c r="CYD3"/>
      <c r="CYE3"/>
      <c r="CYF3"/>
      <c r="CYG3"/>
      <c r="CYH3"/>
      <c r="CYI3"/>
      <c r="CYJ3"/>
      <c r="CYK3"/>
      <c r="CYL3"/>
      <c r="CYM3"/>
      <c r="CYN3"/>
      <c r="CYO3"/>
      <c r="CYP3"/>
      <c r="CYQ3"/>
      <c r="CYR3"/>
      <c r="CYS3"/>
      <c r="CYT3"/>
      <c r="CYU3"/>
      <c r="CYV3"/>
      <c r="CYW3"/>
      <c r="CYX3"/>
      <c r="CYY3"/>
      <c r="CYZ3"/>
      <c r="CZA3"/>
      <c r="CZB3"/>
      <c r="CZC3"/>
      <c r="CZD3"/>
      <c r="CZE3"/>
      <c r="CZF3"/>
      <c r="CZG3"/>
      <c r="CZH3"/>
      <c r="CZI3"/>
      <c r="CZJ3"/>
      <c r="CZK3"/>
      <c r="CZL3"/>
      <c r="CZM3"/>
      <c r="CZN3"/>
      <c r="CZO3"/>
      <c r="CZP3"/>
      <c r="CZQ3"/>
      <c r="CZR3"/>
      <c r="CZS3"/>
      <c r="CZT3"/>
      <c r="CZU3"/>
      <c r="CZV3"/>
      <c r="CZW3"/>
      <c r="CZX3"/>
      <c r="CZY3"/>
      <c r="CZZ3"/>
      <c r="DAA3"/>
      <c r="DAB3"/>
      <c r="DAC3"/>
      <c r="DAD3"/>
      <c r="DAE3"/>
      <c r="DAF3"/>
      <c r="DAG3"/>
      <c r="DAH3"/>
      <c r="DAI3"/>
      <c r="DAJ3"/>
      <c r="DAK3"/>
      <c r="DAL3"/>
      <c r="DAM3"/>
      <c r="DAN3"/>
      <c r="DAO3"/>
      <c r="DAP3"/>
      <c r="DAQ3"/>
      <c r="DAR3"/>
      <c r="DAS3"/>
      <c r="DAT3"/>
      <c r="DAU3"/>
      <c r="DAV3"/>
      <c r="DAW3"/>
      <c r="DAX3"/>
      <c r="DAY3"/>
      <c r="DAZ3"/>
      <c r="DBA3"/>
      <c r="DBB3"/>
      <c r="DBC3"/>
      <c r="DBD3"/>
      <c r="DBE3"/>
      <c r="DBF3"/>
      <c r="DBG3"/>
      <c r="DBH3"/>
      <c r="DBI3"/>
      <c r="DBJ3"/>
      <c r="DBK3"/>
      <c r="DBL3"/>
      <c r="DBM3"/>
      <c r="DBN3"/>
      <c r="DBO3"/>
      <c r="DBP3"/>
      <c r="DBQ3"/>
      <c r="DBR3"/>
      <c r="DBS3"/>
      <c r="DBT3"/>
      <c r="DBU3"/>
      <c r="DBV3"/>
      <c r="DBW3"/>
      <c r="DBX3"/>
      <c r="DBY3"/>
      <c r="DBZ3"/>
      <c r="DCA3"/>
      <c r="DCB3"/>
      <c r="DCC3"/>
      <c r="DCD3"/>
      <c r="DCE3"/>
      <c r="DCF3"/>
      <c r="DCG3"/>
      <c r="DCH3"/>
      <c r="DCI3"/>
      <c r="DCJ3"/>
      <c r="DCK3"/>
      <c r="DCL3"/>
      <c r="DCM3"/>
      <c r="DCN3"/>
      <c r="DCO3"/>
      <c r="DCP3"/>
      <c r="DCQ3"/>
      <c r="DCR3"/>
      <c r="DCS3"/>
      <c r="DCT3"/>
      <c r="DCU3"/>
      <c r="DCV3"/>
      <c r="DCW3"/>
      <c r="DCX3"/>
      <c r="DCY3"/>
      <c r="DCZ3"/>
      <c r="DDA3"/>
      <c r="DDB3"/>
      <c r="DDC3"/>
      <c r="DDD3"/>
      <c r="DDE3"/>
      <c r="DDF3"/>
      <c r="DDG3"/>
      <c r="DDH3"/>
      <c r="DDI3"/>
      <c r="DDJ3"/>
      <c r="DDK3"/>
      <c r="DDL3"/>
      <c r="DDM3"/>
      <c r="DDN3"/>
      <c r="DDO3"/>
      <c r="DDP3"/>
      <c r="DDQ3"/>
      <c r="DDR3"/>
      <c r="DDS3"/>
      <c r="DDT3"/>
      <c r="DDU3"/>
      <c r="DDV3"/>
      <c r="DDW3"/>
      <c r="DDX3"/>
      <c r="DDY3"/>
      <c r="DDZ3"/>
      <c r="DEA3"/>
      <c r="DEB3"/>
      <c r="DEC3"/>
      <c r="DED3"/>
      <c r="DEE3"/>
      <c r="DEF3"/>
      <c r="DEG3"/>
      <c r="DEH3"/>
      <c r="DEI3"/>
      <c r="DEJ3"/>
      <c r="DEK3"/>
      <c r="DEL3"/>
      <c r="DEM3"/>
      <c r="DEN3"/>
      <c r="DEO3"/>
      <c r="DEP3"/>
      <c r="DEQ3"/>
      <c r="DER3"/>
      <c r="DES3"/>
      <c r="DET3"/>
      <c r="DEU3"/>
      <c r="DEV3"/>
      <c r="DEW3"/>
      <c r="DEX3"/>
      <c r="DEY3"/>
      <c r="DEZ3"/>
      <c r="DFA3"/>
      <c r="DFB3"/>
      <c r="DFC3"/>
      <c r="DFD3"/>
      <c r="DFE3"/>
      <c r="DFF3"/>
      <c r="DFG3"/>
      <c r="DFH3"/>
      <c r="DFI3"/>
      <c r="DFJ3"/>
      <c r="DFK3"/>
      <c r="DFL3"/>
      <c r="DFM3"/>
      <c r="DFN3"/>
      <c r="DFO3"/>
      <c r="DFP3"/>
      <c r="DFQ3"/>
      <c r="DFR3"/>
      <c r="DFS3"/>
      <c r="DFT3"/>
      <c r="DFU3"/>
      <c r="DFV3"/>
      <c r="DFW3"/>
      <c r="DFX3"/>
      <c r="DFY3"/>
      <c r="DFZ3"/>
      <c r="DGA3"/>
      <c r="DGB3"/>
      <c r="DGC3"/>
      <c r="DGD3"/>
      <c r="DGE3"/>
      <c r="DGF3"/>
      <c r="DGG3"/>
      <c r="DGH3"/>
      <c r="DGI3"/>
      <c r="DGJ3"/>
      <c r="DGK3"/>
      <c r="DGL3"/>
      <c r="DGM3"/>
      <c r="DGN3"/>
      <c r="DGO3"/>
      <c r="DGP3"/>
      <c r="DGQ3"/>
      <c r="DGR3"/>
      <c r="DGS3"/>
      <c r="DGT3"/>
      <c r="DGU3"/>
      <c r="DGV3"/>
      <c r="DGW3"/>
      <c r="DGX3"/>
      <c r="DGY3"/>
      <c r="DGZ3"/>
      <c r="DHA3"/>
      <c r="DHB3"/>
      <c r="DHC3"/>
      <c r="DHD3"/>
      <c r="DHE3"/>
      <c r="DHF3"/>
      <c r="DHG3"/>
      <c r="DHH3"/>
      <c r="DHI3"/>
      <c r="DHJ3"/>
      <c r="DHK3"/>
      <c r="DHL3"/>
      <c r="DHM3"/>
      <c r="DHN3"/>
      <c r="DHO3"/>
      <c r="DHP3"/>
      <c r="DHQ3"/>
      <c r="DHR3"/>
      <c r="DHS3"/>
      <c r="DHT3"/>
      <c r="DHU3"/>
      <c r="DHV3"/>
      <c r="DHW3"/>
      <c r="DHX3"/>
      <c r="DHY3"/>
      <c r="DHZ3"/>
      <c r="DIA3"/>
      <c r="DIB3"/>
      <c r="DIC3"/>
      <c r="DID3"/>
      <c r="DIE3"/>
      <c r="DIF3"/>
      <c r="DIG3"/>
      <c r="DIH3"/>
      <c r="DII3"/>
      <c r="DIJ3"/>
      <c r="DIK3"/>
      <c r="DIL3"/>
      <c r="DIM3"/>
      <c r="DIN3"/>
      <c r="DIO3"/>
      <c r="DIP3"/>
      <c r="DIQ3"/>
      <c r="DIR3"/>
      <c r="DIS3"/>
      <c r="DIT3"/>
      <c r="DIU3"/>
      <c r="DIV3"/>
      <c r="DIW3"/>
      <c r="DIX3"/>
      <c r="DIY3"/>
      <c r="DIZ3"/>
      <c r="DJA3"/>
      <c r="DJB3"/>
      <c r="DJC3"/>
      <c r="DJD3"/>
      <c r="DJE3"/>
      <c r="DJF3"/>
      <c r="DJG3"/>
      <c r="DJH3"/>
      <c r="DJI3"/>
      <c r="DJJ3"/>
      <c r="DJK3"/>
      <c r="DJL3"/>
      <c r="DJM3"/>
      <c r="DJN3"/>
      <c r="DJO3"/>
      <c r="DJP3"/>
      <c r="DJQ3"/>
      <c r="DJR3"/>
      <c r="DJS3"/>
      <c r="DJT3"/>
      <c r="DJU3"/>
      <c r="DJV3"/>
      <c r="DJW3"/>
      <c r="DJX3"/>
      <c r="DJY3"/>
      <c r="DJZ3"/>
      <c r="DKA3"/>
      <c r="DKB3"/>
      <c r="DKC3"/>
      <c r="DKD3"/>
      <c r="DKE3"/>
      <c r="DKF3"/>
      <c r="DKG3"/>
      <c r="DKH3"/>
      <c r="DKI3"/>
      <c r="DKJ3"/>
      <c r="DKK3"/>
      <c r="DKL3"/>
      <c r="DKM3"/>
      <c r="DKN3"/>
      <c r="DKO3"/>
      <c r="DKP3"/>
      <c r="DKQ3"/>
      <c r="DKR3"/>
      <c r="DKS3"/>
      <c r="DKT3"/>
      <c r="DKU3"/>
      <c r="DKV3"/>
      <c r="DKW3"/>
      <c r="DKX3"/>
      <c r="DKY3"/>
      <c r="DKZ3"/>
      <c r="DLA3"/>
      <c r="DLB3"/>
      <c r="DLC3"/>
      <c r="DLD3"/>
      <c r="DLE3"/>
      <c r="DLF3"/>
      <c r="DLG3"/>
      <c r="DLH3"/>
      <c r="DLI3"/>
      <c r="DLJ3"/>
      <c r="DLK3"/>
      <c r="DLL3"/>
      <c r="DLM3"/>
      <c r="DLN3"/>
      <c r="DLO3"/>
      <c r="DLP3"/>
      <c r="DLQ3"/>
      <c r="DLR3"/>
      <c r="DLS3"/>
      <c r="DLT3"/>
      <c r="DLU3"/>
      <c r="DLV3"/>
      <c r="DLW3"/>
      <c r="DLX3"/>
      <c r="DLY3"/>
      <c r="DLZ3"/>
      <c r="DMA3"/>
      <c r="DMB3"/>
      <c r="DMC3"/>
      <c r="DMD3"/>
      <c r="DME3"/>
      <c r="DMF3"/>
      <c r="DMG3"/>
      <c r="DMH3"/>
      <c r="DMI3"/>
      <c r="DMJ3"/>
      <c r="DMK3"/>
      <c r="DML3"/>
      <c r="DMM3"/>
      <c r="DMN3"/>
      <c r="DMO3"/>
      <c r="DMP3"/>
      <c r="DMQ3"/>
      <c r="DMR3"/>
      <c r="DMS3"/>
      <c r="DMT3"/>
      <c r="DMU3"/>
      <c r="DMV3"/>
      <c r="DMW3"/>
      <c r="DMX3"/>
      <c r="DMY3"/>
      <c r="DMZ3"/>
      <c r="DNA3"/>
      <c r="DNB3"/>
      <c r="DNC3"/>
      <c r="DND3"/>
      <c r="DNE3"/>
      <c r="DNF3"/>
      <c r="DNG3"/>
      <c r="DNH3"/>
      <c r="DNI3"/>
      <c r="DNJ3"/>
      <c r="DNK3"/>
      <c r="DNL3"/>
      <c r="DNM3"/>
      <c r="DNN3"/>
      <c r="DNO3"/>
      <c r="DNP3"/>
      <c r="DNQ3"/>
      <c r="DNR3"/>
      <c r="DNS3"/>
      <c r="DNT3"/>
      <c r="DNU3"/>
      <c r="DNV3"/>
      <c r="DNW3"/>
      <c r="DNX3"/>
      <c r="DNY3"/>
      <c r="DNZ3"/>
      <c r="DOA3"/>
      <c r="DOB3"/>
      <c r="DOC3"/>
      <c r="DOD3"/>
      <c r="DOE3"/>
      <c r="DOF3"/>
      <c r="DOG3"/>
      <c r="DOH3"/>
      <c r="DOI3"/>
      <c r="DOJ3"/>
      <c r="DOK3"/>
      <c r="DOL3"/>
      <c r="DOM3"/>
      <c r="DON3"/>
      <c r="DOO3"/>
      <c r="DOP3"/>
      <c r="DOQ3"/>
      <c r="DOR3"/>
      <c r="DOS3"/>
      <c r="DOT3"/>
      <c r="DOU3"/>
      <c r="DOV3"/>
      <c r="DOW3"/>
      <c r="DOX3"/>
      <c r="DOY3"/>
      <c r="DOZ3"/>
      <c r="DPA3"/>
      <c r="DPB3"/>
      <c r="DPC3"/>
      <c r="DPD3"/>
      <c r="DPE3"/>
      <c r="DPF3"/>
      <c r="DPG3"/>
      <c r="DPH3"/>
      <c r="DPI3"/>
      <c r="DPJ3"/>
      <c r="DPK3"/>
      <c r="DPL3"/>
      <c r="DPM3"/>
      <c r="DPN3"/>
      <c r="DPO3"/>
      <c r="DPP3"/>
      <c r="DPQ3"/>
      <c r="DPR3"/>
      <c r="DPS3"/>
      <c r="DPT3"/>
      <c r="DPU3"/>
      <c r="DPV3"/>
      <c r="DPW3"/>
      <c r="DPX3"/>
      <c r="DPY3"/>
      <c r="DPZ3"/>
      <c r="DQA3"/>
      <c r="DQB3"/>
      <c r="DQC3"/>
      <c r="DQD3"/>
      <c r="DQE3"/>
      <c r="DQF3"/>
      <c r="DQG3"/>
      <c r="DQH3"/>
      <c r="DQI3"/>
      <c r="DQJ3"/>
      <c r="DQK3"/>
      <c r="DQL3"/>
      <c r="DQM3"/>
      <c r="DQN3"/>
      <c r="DQO3"/>
      <c r="DQP3"/>
      <c r="DQQ3"/>
      <c r="DQR3"/>
      <c r="DQS3"/>
      <c r="DQT3"/>
      <c r="DQU3"/>
      <c r="DQV3"/>
      <c r="DQW3"/>
      <c r="DQX3"/>
      <c r="DQY3"/>
      <c r="DQZ3"/>
      <c r="DRA3"/>
      <c r="DRB3"/>
      <c r="DRC3"/>
      <c r="DRD3"/>
      <c r="DRE3"/>
      <c r="DRF3"/>
      <c r="DRG3"/>
      <c r="DRH3"/>
      <c r="DRI3"/>
      <c r="DRJ3"/>
      <c r="DRK3"/>
      <c r="DRL3"/>
      <c r="DRM3"/>
      <c r="DRN3"/>
      <c r="DRO3"/>
      <c r="DRP3"/>
      <c r="DRQ3"/>
      <c r="DRR3"/>
      <c r="DRS3"/>
      <c r="DRT3"/>
      <c r="DRU3"/>
      <c r="DRV3"/>
      <c r="DRW3"/>
      <c r="DRX3"/>
      <c r="DRY3"/>
      <c r="DRZ3"/>
      <c r="DSA3"/>
      <c r="DSB3"/>
      <c r="DSC3"/>
      <c r="DSD3"/>
      <c r="DSE3"/>
      <c r="DSF3"/>
      <c r="DSG3"/>
      <c r="DSH3"/>
      <c r="DSI3"/>
      <c r="DSJ3"/>
      <c r="DSK3"/>
      <c r="DSL3"/>
      <c r="DSM3"/>
      <c r="DSN3"/>
      <c r="DSO3"/>
      <c r="DSP3"/>
      <c r="DSQ3"/>
      <c r="DSR3"/>
      <c r="DSS3"/>
      <c r="DST3"/>
      <c r="DSU3"/>
      <c r="DSV3"/>
      <c r="DSW3"/>
      <c r="DSX3"/>
      <c r="DSY3"/>
      <c r="DSZ3"/>
      <c r="DTA3"/>
      <c r="DTB3"/>
      <c r="DTC3"/>
      <c r="DTD3"/>
      <c r="DTE3"/>
      <c r="DTF3"/>
      <c r="DTG3"/>
      <c r="DTH3"/>
      <c r="DTI3"/>
      <c r="DTJ3"/>
      <c r="DTK3"/>
      <c r="DTL3"/>
      <c r="DTM3"/>
      <c r="DTN3"/>
      <c r="DTO3"/>
      <c r="DTP3"/>
      <c r="DTQ3"/>
      <c r="DTR3"/>
      <c r="DTS3"/>
      <c r="DTT3"/>
      <c r="DTU3"/>
      <c r="DTV3"/>
      <c r="DTW3"/>
      <c r="DTX3"/>
      <c r="DTY3"/>
      <c r="DTZ3"/>
      <c r="DUA3"/>
      <c r="DUB3"/>
      <c r="DUC3"/>
      <c r="DUD3"/>
      <c r="DUE3"/>
      <c r="DUF3"/>
      <c r="DUG3"/>
      <c r="DUH3"/>
      <c r="DUI3"/>
      <c r="DUJ3"/>
      <c r="DUK3"/>
      <c r="DUL3"/>
      <c r="DUM3"/>
      <c r="DUN3"/>
      <c r="DUO3"/>
      <c r="DUP3"/>
      <c r="DUQ3"/>
      <c r="DUR3"/>
      <c r="DUS3"/>
      <c r="DUT3"/>
      <c r="DUU3"/>
      <c r="DUV3"/>
      <c r="DUW3"/>
      <c r="DUX3"/>
      <c r="DUY3"/>
      <c r="DUZ3"/>
      <c r="DVA3"/>
      <c r="DVB3"/>
      <c r="DVC3"/>
      <c r="DVD3"/>
      <c r="DVE3"/>
      <c r="DVF3"/>
      <c r="DVG3"/>
      <c r="DVH3"/>
      <c r="DVI3"/>
      <c r="DVJ3"/>
      <c r="DVK3"/>
      <c r="DVL3"/>
      <c r="DVM3"/>
      <c r="DVN3"/>
      <c r="DVO3"/>
      <c r="DVP3"/>
      <c r="DVQ3"/>
      <c r="DVR3"/>
      <c r="DVS3"/>
      <c r="DVT3"/>
      <c r="DVU3"/>
      <c r="DVV3"/>
      <c r="DVW3"/>
      <c r="DVX3"/>
      <c r="DVY3"/>
      <c r="DVZ3"/>
      <c r="DWA3"/>
      <c r="DWB3"/>
      <c r="DWC3"/>
      <c r="DWD3"/>
      <c r="DWE3"/>
      <c r="DWF3"/>
      <c r="DWG3"/>
      <c r="DWH3"/>
      <c r="DWI3"/>
      <c r="DWJ3"/>
      <c r="DWK3"/>
      <c r="DWL3"/>
      <c r="DWM3"/>
      <c r="DWN3"/>
      <c r="DWO3"/>
      <c r="DWP3"/>
      <c r="DWQ3"/>
      <c r="DWR3"/>
      <c r="DWS3"/>
      <c r="DWT3"/>
      <c r="DWU3"/>
      <c r="DWV3"/>
      <c r="DWW3"/>
      <c r="DWX3"/>
      <c r="DWY3"/>
      <c r="DWZ3"/>
      <c r="DXA3"/>
      <c r="DXB3"/>
      <c r="DXC3"/>
      <c r="DXD3"/>
      <c r="DXE3"/>
      <c r="DXF3"/>
      <c r="DXG3"/>
      <c r="DXH3"/>
      <c r="DXI3"/>
      <c r="DXJ3"/>
      <c r="DXK3"/>
      <c r="DXL3"/>
      <c r="DXM3"/>
      <c r="DXN3"/>
      <c r="DXO3"/>
      <c r="DXP3"/>
      <c r="DXQ3"/>
      <c r="DXR3"/>
      <c r="DXS3"/>
      <c r="DXT3"/>
      <c r="DXU3"/>
      <c r="DXV3"/>
      <c r="DXW3"/>
      <c r="DXX3"/>
      <c r="DXY3"/>
      <c r="DXZ3"/>
      <c r="DYA3"/>
      <c r="DYB3"/>
      <c r="DYC3"/>
      <c r="DYD3"/>
      <c r="DYE3"/>
      <c r="DYF3"/>
      <c r="DYG3"/>
      <c r="DYH3"/>
      <c r="DYI3"/>
      <c r="DYJ3"/>
      <c r="DYK3"/>
      <c r="DYL3"/>
      <c r="DYM3"/>
      <c r="DYN3"/>
      <c r="DYO3"/>
      <c r="DYP3"/>
      <c r="DYQ3"/>
      <c r="DYR3"/>
      <c r="DYS3"/>
      <c r="DYT3"/>
      <c r="DYU3"/>
      <c r="DYV3"/>
      <c r="DYW3"/>
      <c r="DYX3"/>
      <c r="DYY3"/>
      <c r="DYZ3"/>
      <c r="DZA3"/>
      <c r="DZB3"/>
      <c r="DZC3"/>
      <c r="DZD3"/>
      <c r="DZE3"/>
      <c r="DZF3"/>
      <c r="DZG3"/>
      <c r="DZH3"/>
      <c r="DZI3"/>
      <c r="DZJ3"/>
      <c r="DZK3"/>
      <c r="DZL3"/>
      <c r="DZM3"/>
      <c r="DZN3"/>
      <c r="DZO3"/>
      <c r="DZP3"/>
      <c r="DZQ3"/>
      <c r="DZR3"/>
      <c r="DZS3"/>
      <c r="DZT3"/>
      <c r="DZU3"/>
      <c r="DZV3"/>
      <c r="DZW3"/>
      <c r="DZX3"/>
      <c r="DZY3"/>
      <c r="DZZ3"/>
      <c r="EAA3"/>
      <c r="EAB3"/>
      <c r="EAC3"/>
      <c r="EAD3"/>
      <c r="EAE3"/>
      <c r="EAF3"/>
      <c r="EAG3"/>
      <c r="EAH3"/>
      <c r="EAI3"/>
      <c r="EAJ3"/>
      <c r="EAK3"/>
      <c r="EAL3"/>
      <c r="EAM3"/>
      <c r="EAN3"/>
      <c r="EAO3"/>
      <c r="EAP3"/>
      <c r="EAQ3"/>
      <c r="EAR3"/>
      <c r="EAS3"/>
      <c r="EAT3"/>
      <c r="EAU3"/>
      <c r="EAV3"/>
      <c r="EAW3"/>
      <c r="EAX3"/>
      <c r="EAY3"/>
      <c r="EAZ3"/>
      <c r="EBA3"/>
      <c r="EBB3"/>
      <c r="EBC3"/>
      <c r="EBD3"/>
      <c r="EBE3"/>
      <c r="EBF3"/>
      <c r="EBG3"/>
      <c r="EBH3"/>
      <c r="EBI3"/>
      <c r="EBJ3"/>
      <c r="EBK3"/>
      <c r="EBL3"/>
      <c r="EBM3"/>
      <c r="EBN3"/>
      <c r="EBO3"/>
      <c r="EBP3"/>
      <c r="EBQ3"/>
      <c r="EBR3"/>
      <c r="EBS3"/>
      <c r="EBT3"/>
      <c r="EBU3"/>
      <c r="EBV3"/>
      <c r="EBW3"/>
      <c r="EBX3"/>
      <c r="EBY3"/>
      <c r="EBZ3"/>
      <c r="ECA3"/>
      <c r="ECB3"/>
      <c r="ECC3"/>
      <c r="ECD3"/>
      <c r="ECE3"/>
      <c r="ECF3"/>
      <c r="ECG3"/>
      <c r="ECH3"/>
      <c r="ECI3"/>
      <c r="ECJ3"/>
      <c r="ECK3"/>
      <c r="ECL3"/>
      <c r="ECM3"/>
      <c r="ECN3"/>
      <c r="ECO3"/>
      <c r="ECP3"/>
      <c r="ECQ3"/>
      <c r="ECR3"/>
      <c r="ECS3"/>
      <c r="ECT3"/>
      <c r="ECU3"/>
      <c r="ECV3"/>
      <c r="ECW3"/>
      <c r="ECX3"/>
      <c r="ECY3"/>
      <c r="ECZ3"/>
      <c r="EDA3"/>
      <c r="EDB3"/>
      <c r="EDC3"/>
      <c r="EDD3"/>
      <c r="EDE3"/>
      <c r="EDF3"/>
      <c r="EDG3"/>
      <c r="EDH3"/>
      <c r="EDI3"/>
      <c r="EDJ3"/>
      <c r="EDK3"/>
      <c r="EDL3"/>
      <c r="EDM3"/>
      <c r="EDN3"/>
      <c r="EDO3"/>
      <c r="EDP3"/>
      <c r="EDQ3"/>
      <c r="EDR3"/>
      <c r="EDS3"/>
      <c r="EDT3"/>
      <c r="EDU3"/>
      <c r="EDV3"/>
      <c r="EDW3"/>
      <c r="EDX3"/>
      <c r="EDY3"/>
      <c r="EDZ3"/>
      <c r="EEA3"/>
      <c r="EEB3"/>
      <c r="EEC3"/>
      <c r="EED3"/>
      <c r="EEE3"/>
      <c r="EEF3"/>
      <c r="EEG3"/>
      <c r="EEH3"/>
      <c r="EEI3"/>
      <c r="EEJ3"/>
      <c r="EEK3"/>
      <c r="EEL3"/>
      <c r="EEM3"/>
      <c r="EEN3"/>
      <c r="EEO3"/>
      <c r="EEP3"/>
      <c r="EEQ3"/>
      <c r="EER3"/>
      <c r="EES3"/>
      <c r="EET3"/>
      <c r="EEU3"/>
      <c r="EEV3"/>
      <c r="EEW3"/>
      <c r="EEX3"/>
      <c r="EEY3"/>
      <c r="EEZ3"/>
      <c r="EFA3"/>
      <c r="EFB3"/>
      <c r="EFC3"/>
      <c r="EFD3"/>
      <c r="EFE3"/>
      <c r="EFF3"/>
      <c r="EFG3"/>
      <c r="EFH3"/>
      <c r="EFI3"/>
      <c r="EFJ3"/>
      <c r="EFK3"/>
      <c r="EFL3"/>
      <c r="EFM3"/>
      <c r="EFN3"/>
      <c r="EFO3"/>
      <c r="EFP3"/>
      <c r="EFQ3"/>
      <c r="EFR3"/>
      <c r="EFS3"/>
      <c r="EFT3"/>
      <c r="EFU3"/>
      <c r="EFV3"/>
      <c r="EFW3"/>
      <c r="EFX3"/>
      <c r="EFY3"/>
      <c r="EFZ3"/>
      <c r="EGA3"/>
      <c r="EGB3"/>
      <c r="EGC3"/>
      <c r="EGD3"/>
      <c r="EGE3"/>
      <c r="EGF3"/>
      <c r="EGG3"/>
      <c r="EGH3"/>
      <c r="EGI3"/>
      <c r="EGJ3"/>
      <c r="EGK3"/>
      <c r="EGL3"/>
      <c r="EGM3"/>
      <c r="EGN3"/>
      <c r="EGO3"/>
      <c r="EGP3"/>
      <c r="EGQ3"/>
      <c r="EGR3"/>
      <c r="EGS3"/>
      <c r="EGT3"/>
      <c r="EGU3"/>
      <c r="EGV3"/>
      <c r="EGW3"/>
      <c r="EGX3"/>
      <c r="EGY3"/>
      <c r="EGZ3"/>
      <c r="EHA3"/>
      <c r="EHB3"/>
      <c r="EHC3"/>
      <c r="EHD3"/>
      <c r="EHE3"/>
      <c r="EHF3"/>
      <c r="EHG3"/>
      <c r="EHH3"/>
      <c r="EHI3"/>
      <c r="EHJ3"/>
      <c r="EHK3"/>
      <c r="EHL3"/>
      <c r="EHM3"/>
      <c r="EHN3"/>
      <c r="EHO3"/>
      <c r="EHP3"/>
      <c r="EHQ3"/>
      <c r="EHR3"/>
      <c r="EHS3"/>
      <c r="EHT3"/>
      <c r="EHU3"/>
      <c r="EHV3"/>
      <c r="EHW3"/>
      <c r="EHX3"/>
      <c r="EHY3"/>
      <c r="EHZ3"/>
      <c r="EIA3"/>
      <c r="EIB3"/>
      <c r="EIC3"/>
      <c r="EID3"/>
      <c r="EIE3"/>
      <c r="EIF3"/>
      <c r="EIG3"/>
      <c r="EIH3"/>
      <c r="EII3"/>
      <c r="EIJ3"/>
      <c r="EIK3"/>
      <c r="EIL3"/>
      <c r="EIM3"/>
      <c r="EIN3"/>
      <c r="EIO3"/>
      <c r="EIP3"/>
      <c r="EIQ3"/>
      <c r="EIR3"/>
      <c r="EIS3"/>
      <c r="EIT3"/>
      <c r="EIU3"/>
      <c r="EIV3"/>
      <c r="EIW3"/>
      <c r="EIX3"/>
      <c r="EIY3"/>
      <c r="EIZ3"/>
      <c r="EJA3"/>
      <c r="EJB3"/>
      <c r="EJC3"/>
      <c r="EJD3"/>
      <c r="EJE3"/>
      <c r="EJF3"/>
      <c r="EJG3"/>
      <c r="EJH3"/>
      <c r="EJI3"/>
      <c r="EJJ3"/>
      <c r="EJK3"/>
      <c r="EJL3"/>
      <c r="EJM3"/>
      <c r="EJN3"/>
      <c r="EJO3"/>
      <c r="EJP3"/>
      <c r="EJQ3"/>
      <c r="EJR3"/>
      <c r="EJS3"/>
      <c r="EJT3"/>
      <c r="EJU3"/>
      <c r="EJV3"/>
      <c r="EJW3"/>
      <c r="EJX3"/>
      <c r="EJY3"/>
      <c r="EJZ3"/>
      <c r="EKA3"/>
      <c r="EKB3"/>
      <c r="EKC3"/>
      <c r="EKD3"/>
      <c r="EKE3"/>
      <c r="EKF3"/>
      <c r="EKG3"/>
      <c r="EKH3"/>
      <c r="EKI3"/>
      <c r="EKJ3"/>
      <c r="EKK3"/>
      <c r="EKL3"/>
      <c r="EKM3"/>
      <c r="EKN3"/>
      <c r="EKO3"/>
      <c r="EKP3"/>
      <c r="EKQ3"/>
      <c r="EKR3"/>
      <c r="EKS3"/>
      <c r="EKT3"/>
      <c r="EKU3"/>
      <c r="EKV3"/>
      <c r="EKW3"/>
      <c r="EKX3"/>
      <c r="EKY3"/>
      <c r="EKZ3"/>
      <c r="ELA3"/>
      <c r="ELB3"/>
      <c r="ELC3"/>
      <c r="ELD3"/>
      <c r="ELE3"/>
      <c r="ELF3"/>
      <c r="ELG3"/>
      <c r="ELH3"/>
      <c r="ELI3"/>
      <c r="ELJ3"/>
      <c r="ELK3"/>
      <c r="ELL3"/>
      <c r="ELM3"/>
      <c r="ELN3"/>
      <c r="ELO3"/>
      <c r="ELP3"/>
      <c r="ELQ3"/>
      <c r="ELR3"/>
      <c r="ELS3"/>
      <c r="ELT3"/>
      <c r="ELU3"/>
      <c r="ELV3"/>
      <c r="ELW3"/>
      <c r="ELX3"/>
      <c r="ELY3"/>
      <c r="ELZ3"/>
      <c r="EMA3"/>
      <c r="EMB3"/>
      <c r="EMC3"/>
      <c r="EMD3"/>
      <c r="EME3"/>
      <c r="EMF3"/>
      <c r="EMG3"/>
      <c r="EMH3"/>
      <c r="EMI3"/>
      <c r="EMJ3"/>
      <c r="EMK3"/>
      <c r="EML3"/>
      <c r="EMM3"/>
      <c r="EMN3"/>
      <c r="EMO3"/>
      <c r="EMP3"/>
      <c r="EMQ3"/>
      <c r="EMR3"/>
      <c r="EMS3"/>
      <c r="EMT3"/>
      <c r="EMU3"/>
      <c r="EMV3"/>
      <c r="EMW3"/>
      <c r="EMX3"/>
      <c r="EMY3"/>
      <c r="EMZ3"/>
      <c r="ENA3"/>
      <c r="ENB3"/>
      <c r="ENC3"/>
      <c r="END3"/>
      <c r="ENE3"/>
      <c r="ENF3"/>
      <c r="ENG3"/>
      <c r="ENH3"/>
      <c r="ENI3"/>
      <c r="ENJ3"/>
      <c r="ENK3"/>
      <c r="ENL3"/>
      <c r="ENM3"/>
      <c r="ENN3"/>
      <c r="ENO3"/>
      <c r="ENP3"/>
      <c r="ENQ3"/>
      <c r="ENR3"/>
      <c r="ENS3"/>
      <c r="ENT3"/>
      <c r="ENU3"/>
      <c r="ENV3"/>
      <c r="ENW3"/>
      <c r="ENX3"/>
      <c r="ENY3"/>
      <c r="ENZ3"/>
      <c r="EOA3"/>
      <c r="EOB3"/>
      <c r="EOC3"/>
      <c r="EOD3"/>
      <c r="EOE3"/>
      <c r="EOF3"/>
      <c r="EOG3"/>
      <c r="EOH3"/>
      <c r="EOI3"/>
      <c r="EOJ3"/>
      <c r="EOK3"/>
      <c r="EOL3"/>
      <c r="EOM3"/>
      <c r="EON3"/>
      <c r="EOO3"/>
      <c r="EOP3"/>
      <c r="EOQ3"/>
      <c r="EOR3"/>
      <c r="EOS3"/>
      <c r="EOT3"/>
      <c r="EOU3"/>
      <c r="EOV3"/>
      <c r="EOW3"/>
      <c r="EOX3"/>
      <c r="EOY3"/>
      <c r="EOZ3"/>
      <c r="EPA3"/>
      <c r="EPB3"/>
      <c r="EPC3"/>
      <c r="EPD3"/>
      <c r="EPE3"/>
      <c r="EPF3"/>
      <c r="EPG3"/>
      <c r="EPH3"/>
      <c r="EPI3"/>
      <c r="EPJ3"/>
      <c r="EPK3"/>
      <c r="EPL3"/>
      <c r="EPM3"/>
      <c r="EPN3"/>
      <c r="EPO3"/>
      <c r="EPP3"/>
      <c r="EPQ3"/>
      <c r="EPR3"/>
      <c r="EPS3"/>
      <c r="EPT3"/>
      <c r="EPU3"/>
      <c r="EPV3"/>
      <c r="EPW3"/>
      <c r="EPX3"/>
      <c r="EPY3"/>
      <c r="EPZ3"/>
      <c r="EQA3"/>
      <c r="EQB3"/>
      <c r="EQC3"/>
      <c r="EQD3"/>
      <c r="EQE3"/>
      <c r="EQF3"/>
      <c r="EQG3"/>
      <c r="EQH3"/>
      <c r="EQI3"/>
      <c r="EQJ3"/>
      <c r="EQK3"/>
      <c r="EQL3"/>
      <c r="EQM3"/>
      <c r="EQN3"/>
      <c r="EQO3"/>
      <c r="EQP3"/>
      <c r="EQQ3"/>
      <c r="EQR3"/>
      <c r="EQS3"/>
      <c r="EQT3"/>
      <c r="EQU3"/>
      <c r="EQV3"/>
      <c r="EQW3"/>
      <c r="EQX3"/>
      <c r="EQY3"/>
      <c r="EQZ3"/>
      <c r="ERA3"/>
      <c r="ERB3"/>
      <c r="ERC3"/>
      <c r="ERD3"/>
      <c r="ERE3"/>
      <c r="ERF3"/>
      <c r="ERG3"/>
      <c r="ERH3"/>
      <c r="ERI3"/>
      <c r="ERJ3"/>
      <c r="ERK3"/>
      <c r="ERL3"/>
      <c r="ERM3"/>
      <c r="ERN3"/>
      <c r="ERO3"/>
      <c r="ERP3"/>
      <c r="ERQ3"/>
      <c r="ERR3"/>
      <c r="ERS3"/>
      <c r="ERT3"/>
      <c r="ERU3"/>
      <c r="ERV3"/>
      <c r="ERW3"/>
      <c r="ERX3"/>
      <c r="ERY3"/>
      <c r="ERZ3"/>
      <c r="ESA3"/>
      <c r="ESB3"/>
      <c r="ESC3"/>
      <c r="ESD3"/>
      <c r="ESE3"/>
      <c r="ESF3"/>
      <c r="ESG3"/>
      <c r="ESH3"/>
      <c r="ESI3"/>
      <c r="ESJ3"/>
      <c r="ESK3"/>
      <c r="ESL3"/>
      <c r="ESM3"/>
      <c r="ESN3"/>
      <c r="ESO3"/>
      <c r="ESP3"/>
      <c r="ESQ3"/>
      <c r="ESR3"/>
      <c r="ESS3"/>
      <c r="EST3"/>
      <c r="ESU3"/>
      <c r="ESV3"/>
      <c r="ESW3"/>
      <c r="ESX3"/>
      <c r="ESY3"/>
      <c r="ESZ3"/>
      <c r="ETA3"/>
      <c r="ETB3"/>
      <c r="ETC3"/>
      <c r="ETD3"/>
      <c r="ETE3"/>
      <c r="ETF3"/>
      <c r="ETG3"/>
      <c r="ETH3"/>
      <c r="ETI3"/>
      <c r="ETJ3"/>
      <c r="ETK3"/>
      <c r="ETL3"/>
      <c r="ETM3"/>
      <c r="ETN3"/>
      <c r="ETO3"/>
      <c r="ETP3"/>
      <c r="ETQ3"/>
      <c r="ETR3"/>
      <c r="ETS3"/>
      <c r="ETT3"/>
      <c r="ETU3"/>
      <c r="ETV3"/>
      <c r="ETW3"/>
      <c r="ETX3"/>
      <c r="ETY3"/>
      <c r="ETZ3"/>
      <c r="EUA3"/>
      <c r="EUB3"/>
      <c r="EUC3"/>
      <c r="EUD3"/>
      <c r="EUE3"/>
      <c r="EUF3"/>
      <c r="EUG3"/>
      <c r="EUH3"/>
      <c r="EUI3"/>
      <c r="EUJ3"/>
      <c r="EUK3"/>
      <c r="EUL3"/>
      <c r="EUM3"/>
      <c r="EUN3"/>
      <c r="EUO3"/>
      <c r="EUP3"/>
      <c r="EUQ3"/>
      <c r="EUR3"/>
      <c r="EUS3"/>
      <c r="EUT3"/>
      <c r="EUU3"/>
      <c r="EUV3"/>
      <c r="EUW3"/>
      <c r="EUX3"/>
      <c r="EUY3"/>
      <c r="EUZ3"/>
      <c r="EVA3"/>
      <c r="EVB3"/>
      <c r="EVC3"/>
      <c r="EVD3"/>
      <c r="EVE3"/>
      <c r="EVF3"/>
      <c r="EVG3"/>
      <c r="EVH3"/>
      <c r="EVI3"/>
      <c r="EVJ3"/>
      <c r="EVK3"/>
      <c r="EVL3"/>
      <c r="EVM3"/>
      <c r="EVN3"/>
      <c r="EVO3"/>
      <c r="EVP3"/>
      <c r="EVQ3"/>
      <c r="EVR3"/>
      <c r="EVS3"/>
      <c r="EVT3"/>
      <c r="EVU3"/>
      <c r="EVV3"/>
      <c r="EVW3"/>
      <c r="EVX3"/>
      <c r="EVY3"/>
      <c r="EVZ3"/>
      <c r="EWA3"/>
      <c r="EWB3"/>
      <c r="EWC3"/>
      <c r="EWD3"/>
      <c r="EWE3"/>
      <c r="EWF3"/>
      <c r="EWG3"/>
      <c r="EWH3"/>
      <c r="EWI3"/>
      <c r="EWJ3"/>
      <c r="EWK3"/>
      <c r="EWL3"/>
      <c r="EWM3"/>
      <c r="EWN3"/>
      <c r="EWO3"/>
      <c r="EWP3"/>
      <c r="EWQ3"/>
      <c r="EWR3"/>
      <c r="EWS3"/>
      <c r="EWT3"/>
      <c r="EWU3"/>
      <c r="EWV3"/>
      <c r="EWW3"/>
      <c r="EWX3"/>
      <c r="EWY3"/>
      <c r="EWZ3"/>
      <c r="EXA3"/>
      <c r="EXB3"/>
      <c r="EXC3"/>
      <c r="EXD3"/>
      <c r="EXE3"/>
      <c r="EXF3"/>
      <c r="EXG3"/>
      <c r="EXH3"/>
      <c r="EXI3"/>
      <c r="EXJ3"/>
      <c r="EXK3"/>
      <c r="EXL3"/>
      <c r="EXM3"/>
      <c r="EXN3"/>
      <c r="EXO3"/>
      <c r="EXP3"/>
      <c r="EXQ3"/>
      <c r="EXR3"/>
      <c r="EXS3"/>
      <c r="EXT3"/>
      <c r="EXU3"/>
      <c r="EXV3"/>
      <c r="EXW3"/>
      <c r="EXX3"/>
      <c r="EXY3"/>
      <c r="EXZ3"/>
      <c r="EYA3"/>
      <c r="EYB3"/>
      <c r="EYC3"/>
      <c r="EYD3"/>
      <c r="EYE3"/>
      <c r="EYF3"/>
      <c r="EYG3"/>
      <c r="EYH3"/>
      <c r="EYI3"/>
      <c r="EYJ3"/>
      <c r="EYK3"/>
      <c r="EYL3"/>
      <c r="EYM3"/>
      <c r="EYN3"/>
      <c r="EYO3"/>
      <c r="EYP3"/>
      <c r="EYQ3"/>
      <c r="EYR3"/>
      <c r="EYS3"/>
      <c r="EYT3"/>
      <c r="EYU3"/>
      <c r="EYV3"/>
      <c r="EYW3"/>
      <c r="EYX3"/>
      <c r="EYY3"/>
      <c r="EYZ3"/>
      <c r="EZA3"/>
      <c r="EZB3"/>
      <c r="EZC3"/>
      <c r="EZD3"/>
      <c r="EZE3"/>
      <c r="EZF3"/>
      <c r="EZG3"/>
      <c r="EZH3"/>
      <c r="EZI3"/>
      <c r="EZJ3"/>
      <c r="EZK3"/>
      <c r="EZL3"/>
      <c r="EZM3"/>
      <c r="EZN3"/>
      <c r="EZO3"/>
      <c r="EZP3"/>
      <c r="EZQ3"/>
      <c r="EZR3"/>
      <c r="EZS3"/>
      <c r="EZT3"/>
      <c r="EZU3"/>
      <c r="EZV3"/>
      <c r="EZW3"/>
      <c r="EZX3"/>
      <c r="EZY3"/>
      <c r="EZZ3"/>
      <c r="FAA3"/>
      <c r="FAB3"/>
      <c r="FAC3"/>
      <c r="FAD3"/>
      <c r="FAE3"/>
      <c r="FAF3"/>
      <c r="FAG3"/>
      <c r="FAH3"/>
      <c r="FAI3"/>
      <c r="FAJ3"/>
      <c r="FAK3"/>
      <c r="FAL3"/>
      <c r="FAM3"/>
      <c r="FAN3"/>
      <c r="FAO3"/>
      <c r="FAP3"/>
      <c r="FAQ3"/>
      <c r="FAR3"/>
      <c r="FAS3"/>
      <c r="FAT3"/>
      <c r="FAU3"/>
      <c r="FAV3"/>
      <c r="FAW3"/>
      <c r="FAX3"/>
      <c r="FAY3"/>
      <c r="FAZ3"/>
      <c r="FBA3"/>
      <c r="FBB3"/>
      <c r="FBC3"/>
      <c r="FBD3"/>
      <c r="FBE3"/>
      <c r="FBF3"/>
      <c r="FBG3"/>
      <c r="FBH3"/>
      <c r="FBI3"/>
      <c r="FBJ3"/>
      <c r="FBK3"/>
      <c r="FBL3"/>
      <c r="FBM3"/>
      <c r="FBN3"/>
      <c r="FBO3"/>
      <c r="FBP3"/>
      <c r="FBQ3"/>
      <c r="FBR3"/>
      <c r="FBS3"/>
      <c r="FBT3"/>
      <c r="FBU3"/>
      <c r="FBV3"/>
      <c r="FBW3"/>
      <c r="FBX3"/>
      <c r="FBY3"/>
      <c r="FBZ3"/>
      <c r="FCA3"/>
      <c r="FCB3"/>
      <c r="FCC3"/>
      <c r="FCD3"/>
      <c r="FCE3"/>
      <c r="FCF3"/>
      <c r="FCG3"/>
      <c r="FCH3"/>
      <c r="FCI3"/>
      <c r="FCJ3"/>
      <c r="FCK3"/>
      <c r="FCL3"/>
      <c r="FCM3"/>
      <c r="FCN3"/>
      <c r="FCO3"/>
      <c r="FCP3"/>
      <c r="FCQ3"/>
      <c r="FCR3"/>
      <c r="FCS3"/>
      <c r="FCT3"/>
      <c r="FCU3"/>
      <c r="FCV3"/>
      <c r="FCW3"/>
      <c r="FCX3"/>
      <c r="FCY3"/>
      <c r="FCZ3"/>
      <c r="FDA3"/>
      <c r="FDB3"/>
      <c r="FDC3"/>
      <c r="FDD3"/>
      <c r="FDE3"/>
      <c r="FDF3"/>
      <c r="FDG3"/>
      <c r="FDH3"/>
      <c r="FDI3"/>
      <c r="FDJ3"/>
      <c r="FDK3"/>
      <c r="FDL3"/>
      <c r="FDM3"/>
      <c r="FDN3"/>
      <c r="FDO3"/>
      <c r="FDP3"/>
      <c r="FDQ3"/>
      <c r="FDR3"/>
      <c r="FDS3"/>
      <c r="FDT3"/>
      <c r="FDU3"/>
      <c r="FDV3"/>
      <c r="FDW3"/>
      <c r="FDX3"/>
      <c r="FDY3"/>
      <c r="FDZ3"/>
      <c r="FEA3"/>
      <c r="FEB3"/>
      <c r="FEC3"/>
      <c r="FED3"/>
      <c r="FEE3"/>
      <c r="FEF3"/>
      <c r="FEG3"/>
      <c r="FEH3"/>
      <c r="FEI3"/>
      <c r="FEJ3"/>
      <c r="FEK3"/>
      <c r="FEL3"/>
      <c r="FEM3"/>
      <c r="FEN3"/>
      <c r="FEO3"/>
      <c r="FEP3"/>
      <c r="FEQ3"/>
      <c r="FER3"/>
      <c r="FES3"/>
      <c r="FET3"/>
      <c r="FEU3"/>
      <c r="FEV3"/>
      <c r="FEW3"/>
      <c r="FEX3"/>
      <c r="FEY3"/>
      <c r="FEZ3"/>
      <c r="FFA3"/>
      <c r="FFB3"/>
      <c r="FFC3"/>
      <c r="FFD3"/>
      <c r="FFE3"/>
      <c r="FFF3"/>
      <c r="FFG3"/>
      <c r="FFH3"/>
      <c r="FFI3"/>
      <c r="FFJ3"/>
      <c r="FFK3"/>
      <c r="FFL3"/>
      <c r="FFM3"/>
      <c r="FFN3"/>
      <c r="FFO3"/>
      <c r="FFP3"/>
      <c r="FFQ3"/>
      <c r="FFR3"/>
      <c r="FFS3"/>
      <c r="FFT3"/>
      <c r="FFU3"/>
      <c r="FFV3"/>
      <c r="FFW3"/>
      <c r="FFX3"/>
      <c r="FFY3"/>
      <c r="FFZ3"/>
      <c r="FGA3"/>
      <c r="FGB3"/>
      <c r="FGC3"/>
      <c r="FGD3"/>
      <c r="FGE3"/>
      <c r="FGF3"/>
      <c r="FGG3"/>
      <c r="FGH3"/>
      <c r="FGI3"/>
      <c r="FGJ3"/>
      <c r="FGK3"/>
      <c r="FGL3"/>
      <c r="FGM3"/>
      <c r="FGN3"/>
      <c r="FGO3"/>
      <c r="FGP3"/>
      <c r="FGQ3"/>
      <c r="FGR3"/>
      <c r="FGS3"/>
      <c r="FGT3"/>
      <c r="FGU3"/>
      <c r="FGV3"/>
      <c r="FGW3"/>
      <c r="FGX3"/>
      <c r="FGY3"/>
      <c r="FGZ3"/>
      <c r="FHA3"/>
      <c r="FHB3"/>
      <c r="FHC3"/>
      <c r="FHD3"/>
      <c r="FHE3"/>
      <c r="FHF3"/>
      <c r="FHG3"/>
      <c r="FHH3"/>
      <c r="FHI3"/>
      <c r="FHJ3"/>
      <c r="FHK3"/>
      <c r="FHL3"/>
      <c r="FHM3"/>
      <c r="FHN3"/>
      <c r="FHO3"/>
      <c r="FHP3"/>
      <c r="FHQ3"/>
      <c r="FHR3"/>
      <c r="FHS3"/>
      <c r="FHT3"/>
      <c r="FHU3"/>
      <c r="FHV3"/>
      <c r="FHW3"/>
      <c r="FHX3"/>
      <c r="FHY3"/>
      <c r="FHZ3"/>
      <c r="FIA3"/>
      <c r="FIB3"/>
      <c r="FIC3"/>
      <c r="FID3"/>
      <c r="FIE3"/>
      <c r="FIF3"/>
      <c r="FIG3"/>
      <c r="FIH3"/>
      <c r="FII3"/>
      <c r="FIJ3"/>
      <c r="FIK3"/>
      <c r="FIL3"/>
      <c r="FIM3"/>
      <c r="FIN3"/>
      <c r="FIO3"/>
      <c r="FIP3"/>
      <c r="FIQ3"/>
      <c r="FIR3"/>
      <c r="FIS3"/>
      <c r="FIT3"/>
      <c r="FIU3"/>
      <c r="FIV3"/>
      <c r="FIW3"/>
      <c r="FIX3"/>
      <c r="FIY3"/>
      <c r="FIZ3"/>
      <c r="FJA3"/>
      <c r="FJB3"/>
      <c r="FJC3"/>
      <c r="FJD3"/>
      <c r="FJE3"/>
      <c r="FJF3"/>
      <c r="FJG3"/>
      <c r="FJH3"/>
      <c r="FJI3"/>
      <c r="FJJ3"/>
      <c r="FJK3"/>
      <c r="FJL3"/>
      <c r="FJM3"/>
      <c r="FJN3"/>
      <c r="FJO3"/>
      <c r="FJP3"/>
      <c r="FJQ3"/>
      <c r="FJR3"/>
      <c r="FJS3"/>
      <c r="FJT3"/>
      <c r="FJU3"/>
      <c r="FJV3"/>
      <c r="FJW3"/>
      <c r="FJX3"/>
      <c r="FJY3"/>
      <c r="FJZ3"/>
      <c r="FKA3"/>
      <c r="FKB3"/>
      <c r="FKC3"/>
      <c r="FKD3"/>
      <c r="FKE3"/>
      <c r="FKF3"/>
      <c r="FKG3"/>
      <c r="FKH3"/>
      <c r="FKI3"/>
      <c r="FKJ3"/>
      <c r="FKK3"/>
      <c r="FKL3"/>
      <c r="FKM3"/>
      <c r="FKN3"/>
      <c r="FKO3"/>
      <c r="FKP3"/>
      <c r="FKQ3"/>
      <c r="FKR3"/>
      <c r="FKS3"/>
      <c r="FKT3"/>
      <c r="FKU3"/>
      <c r="FKV3"/>
      <c r="FKW3"/>
      <c r="FKX3"/>
      <c r="FKY3"/>
      <c r="FKZ3"/>
      <c r="FLA3"/>
      <c r="FLB3"/>
      <c r="FLC3"/>
      <c r="FLD3"/>
      <c r="FLE3"/>
      <c r="FLF3"/>
      <c r="FLG3"/>
      <c r="FLH3"/>
      <c r="FLI3"/>
      <c r="FLJ3"/>
      <c r="FLK3"/>
      <c r="FLL3"/>
      <c r="FLM3"/>
      <c r="FLN3"/>
      <c r="FLO3"/>
      <c r="FLP3"/>
      <c r="FLQ3"/>
      <c r="FLR3"/>
      <c r="FLS3"/>
      <c r="FLT3"/>
      <c r="FLU3"/>
      <c r="FLV3"/>
      <c r="FLW3"/>
      <c r="FLX3"/>
      <c r="FLY3"/>
      <c r="FLZ3"/>
      <c r="FMA3"/>
      <c r="FMB3"/>
      <c r="FMC3"/>
      <c r="FMD3"/>
      <c r="FME3"/>
      <c r="FMF3"/>
      <c r="FMG3"/>
      <c r="FMH3"/>
      <c r="FMI3"/>
      <c r="FMJ3"/>
      <c r="FMK3"/>
      <c r="FML3"/>
      <c r="FMM3"/>
      <c r="FMN3"/>
      <c r="FMO3"/>
      <c r="FMP3"/>
      <c r="FMQ3"/>
      <c r="FMR3"/>
      <c r="FMS3"/>
      <c r="FMT3"/>
      <c r="FMU3"/>
      <c r="FMV3"/>
      <c r="FMW3"/>
      <c r="FMX3"/>
      <c r="FMY3"/>
      <c r="FMZ3"/>
      <c r="FNA3"/>
      <c r="FNB3"/>
      <c r="FNC3"/>
      <c r="FND3"/>
      <c r="FNE3"/>
      <c r="FNF3"/>
      <c r="FNG3"/>
      <c r="FNH3"/>
      <c r="FNI3"/>
      <c r="FNJ3"/>
      <c r="FNK3"/>
      <c r="FNL3"/>
      <c r="FNM3"/>
      <c r="FNN3"/>
      <c r="FNO3"/>
      <c r="FNP3"/>
      <c r="FNQ3"/>
      <c r="FNR3"/>
      <c r="FNS3"/>
      <c r="FNT3"/>
      <c r="FNU3"/>
      <c r="FNV3"/>
      <c r="FNW3"/>
      <c r="FNX3"/>
      <c r="FNY3"/>
      <c r="FNZ3"/>
      <c r="FOA3"/>
      <c r="FOB3"/>
      <c r="FOC3"/>
      <c r="FOD3"/>
      <c r="FOE3"/>
      <c r="FOF3"/>
      <c r="FOG3"/>
      <c r="FOH3"/>
      <c r="FOI3"/>
      <c r="FOJ3"/>
      <c r="FOK3"/>
      <c r="FOL3"/>
      <c r="FOM3"/>
      <c r="FON3"/>
      <c r="FOO3"/>
      <c r="FOP3"/>
      <c r="FOQ3"/>
      <c r="FOR3"/>
      <c r="FOS3"/>
      <c r="FOT3"/>
      <c r="FOU3"/>
      <c r="FOV3"/>
      <c r="FOW3"/>
      <c r="FOX3"/>
      <c r="FOY3"/>
      <c r="FOZ3"/>
      <c r="FPA3"/>
      <c r="FPB3"/>
      <c r="FPC3"/>
      <c r="FPD3"/>
      <c r="FPE3"/>
      <c r="FPF3"/>
      <c r="FPG3"/>
      <c r="FPH3"/>
      <c r="FPI3"/>
      <c r="FPJ3"/>
      <c r="FPK3"/>
      <c r="FPL3"/>
      <c r="FPM3"/>
      <c r="FPN3"/>
      <c r="FPO3"/>
      <c r="FPP3"/>
      <c r="FPQ3"/>
      <c r="FPR3"/>
      <c r="FPS3"/>
      <c r="FPT3"/>
      <c r="FPU3"/>
      <c r="FPV3"/>
      <c r="FPW3"/>
      <c r="FPX3"/>
      <c r="FPY3"/>
      <c r="FPZ3"/>
      <c r="FQA3"/>
      <c r="FQB3"/>
      <c r="FQC3"/>
      <c r="FQD3"/>
      <c r="FQE3"/>
      <c r="FQF3"/>
      <c r="FQG3"/>
      <c r="FQH3"/>
      <c r="FQI3"/>
      <c r="FQJ3"/>
      <c r="FQK3"/>
      <c r="FQL3"/>
      <c r="FQM3"/>
      <c r="FQN3"/>
      <c r="FQO3"/>
      <c r="FQP3"/>
      <c r="FQQ3"/>
      <c r="FQR3"/>
      <c r="FQS3"/>
      <c r="FQT3"/>
      <c r="FQU3"/>
      <c r="FQV3"/>
      <c r="FQW3"/>
      <c r="FQX3"/>
      <c r="FQY3"/>
      <c r="FQZ3"/>
      <c r="FRA3"/>
      <c r="FRB3"/>
      <c r="FRC3"/>
      <c r="FRD3"/>
      <c r="FRE3"/>
      <c r="FRF3"/>
      <c r="FRG3"/>
      <c r="FRH3"/>
      <c r="FRI3"/>
      <c r="FRJ3"/>
      <c r="FRK3"/>
      <c r="FRL3"/>
      <c r="FRM3"/>
      <c r="FRN3"/>
      <c r="FRO3"/>
      <c r="FRP3"/>
      <c r="FRQ3"/>
      <c r="FRR3"/>
      <c r="FRS3"/>
      <c r="FRT3"/>
      <c r="FRU3"/>
      <c r="FRV3"/>
      <c r="FRW3"/>
      <c r="FRX3"/>
      <c r="FRY3"/>
      <c r="FRZ3"/>
      <c r="FSA3"/>
      <c r="FSB3"/>
      <c r="FSC3"/>
      <c r="FSD3"/>
      <c r="FSE3"/>
      <c r="FSF3"/>
      <c r="FSG3"/>
      <c r="FSH3"/>
      <c r="FSI3"/>
      <c r="FSJ3"/>
      <c r="FSK3"/>
      <c r="FSL3"/>
      <c r="FSM3"/>
      <c r="FSN3"/>
      <c r="FSO3"/>
      <c r="FSP3"/>
      <c r="FSQ3"/>
      <c r="FSR3"/>
      <c r="FSS3"/>
      <c r="FST3"/>
      <c r="FSU3"/>
      <c r="FSV3"/>
      <c r="FSW3"/>
      <c r="FSX3"/>
      <c r="FSY3"/>
      <c r="FSZ3"/>
      <c r="FTA3"/>
      <c r="FTB3"/>
      <c r="FTC3"/>
      <c r="FTD3"/>
      <c r="FTE3"/>
      <c r="FTF3"/>
      <c r="FTG3"/>
      <c r="FTH3"/>
      <c r="FTI3"/>
      <c r="FTJ3"/>
      <c r="FTK3"/>
      <c r="FTL3"/>
      <c r="FTM3"/>
      <c r="FTN3"/>
      <c r="FTO3"/>
      <c r="FTP3"/>
      <c r="FTQ3"/>
      <c r="FTR3"/>
      <c r="FTS3"/>
      <c r="FTT3"/>
      <c r="FTU3"/>
      <c r="FTV3"/>
      <c r="FTW3"/>
      <c r="FTX3"/>
      <c r="FTY3"/>
      <c r="FTZ3"/>
      <c r="FUA3"/>
      <c r="FUB3"/>
      <c r="FUC3"/>
      <c r="FUD3"/>
      <c r="FUE3"/>
      <c r="FUF3"/>
      <c r="FUG3"/>
      <c r="FUH3"/>
      <c r="FUI3"/>
      <c r="FUJ3"/>
      <c r="FUK3"/>
      <c r="FUL3"/>
      <c r="FUM3"/>
      <c r="FUN3"/>
      <c r="FUO3"/>
      <c r="FUP3"/>
      <c r="FUQ3"/>
      <c r="FUR3"/>
      <c r="FUS3"/>
      <c r="FUT3"/>
      <c r="FUU3"/>
      <c r="FUV3"/>
      <c r="FUW3"/>
      <c r="FUX3"/>
      <c r="FUY3"/>
      <c r="FUZ3"/>
      <c r="FVA3"/>
      <c r="FVB3"/>
      <c r="FVC3"/>
      <c r="FVD3"/>
      <c r="FVE3"/>
      <c r="FVF3"/>
      <c r="FVG3"/>
      <c r="FVH3"/>
      <c r="FVI3"/>
      <c r="FVJ3"/>
      <c r="FVK3"/>
      <c r="FVL3"/>
      <c r="FVM3"/>
      <c r="FVN3"/>
      <c r="FVO3"/>
      <c r="FVP3"/>
      <c r="FVQ3"/>
      <c r="FVR3"/>
      <c r="FVS3"/>
      <c r="FVT3"/>
      <c r="FVU3"/>
      <c r="FVV3"/>
      <c r="FVW3"/>
      <c r="FVX3"/>
      <c r="FVY3"/>
      <c r="FVZ3"/>
      <c r="FWA3"/>
      <c r="FWB3"/>
      <c r="FWC3"/>
      <c r="FWD3"/>
      <c r="FWE3"/>
      <c r="FWF3"/>
      <c r="FWG3"/>
      <c r="FWH3"/>
      <c r="FWI3"/>
      <c r="FWJ3"/>
      <c r="FWK3"/>
      <c r="FWL3"/>
      <c r="FWM3"/>
      <c r="FWN3"/>
      <c r="FWO3"/>
      <c r="FWP3"/>
      <c r="FWQ3"/>
      <c r="FWR3"/>
      <c r="FWS3"/>
      <c r="FWT3"/>
      <c r="FWU3"/>
      <c r="FWV3"/>
      <c r="FWW3"/>
      <c r="FWX3"/>
      <c r="FWY3"/>
      <c r="FWZ3"/>
      <c r="FXA3"/>
      <c r="FXB3"/>
      <c r="FXC3"/>
      <c r="FXD3"/>
      <c r="FXE3"/>
      <c r="FXF3"/>
      <c r="FXG3"/>
      <c r="FXH3"/>
      <c r="FXI3"/>
      <c r="FXJ3"/>
      <c r="FXK3"/>
      <c r="FXL3"/>
      <c r="FXM3"/>
      <c r="FXN3"/>
      <c r="FXO3"/>
      <c r="FXP3"/>
      <c r="FXQ3"/>
      <c r="FXR3"/>
      <c r="FXS3"/>
      <c r="FXT3"/>
      <c r="FXU3"/>
      <c r="FXV3"/>
      <c r="FXW3"/>
      <c r="FXX3"/>
      <c r="FXY3"/>
      <c r="FXZ3"/>
      <c r="FYA3"/>
      <c r="FYB3"/>
      <c r="FYC3"/>
      <c r="FYD3"/>
      <c r="FYE3"/>
      <c r="FYF3"/>
      <c r="FYG3"/>
      <c r="FYH3"/>
      <c r="FYI3"/>
      <c r="FYJ3"/>
      <c r="FYK3"/>
      <c r="FYL3"/>
      <c r="FYM3"/>
      <c r="FYN3"/>
      <c r="FYO3"/>
      <c r="FYP3"/>
      <c r="FYQ3"/>
      <c r="FYR3"/>
      <c r="FYS3"/>
      <c r="FYT3"/>
      <c r="FYU3"/>
      <c r="FYV3"/>
      <c r="FYW3"/>
      <c r="FYX3"/>
      <c r="FYY3"/>
      <c r="FYZ3"/>
      <c r="FZA3"/>
      <c r="FZB3"/>
      <c r="FZC3"/>
      <c r="FZD3"/>
      <c r="FZE3"/>
      <c r="FZF3"/>
      <c r="FZG3"/>
      <c r="FZH3"/>
      <c r="FZI3"/>
      <c r="FZJ3"/>
      <c r="FZK3"/>
      <c r="FZL3"/>
      <c r="FZM3"/>
      <c r="FZN3"/>
      <c r="FZO3"/>
      <c r="FZP3"/>
      <c r="FZQ3"/>
      <c r="FZR3"/>
      <c r="FZS3"/>
      <c r="FZT3"/>
      <c r="FZU3"/>
      <c r="FZV3"/>
      <c r="FZW3"/>
      <c r="FZX3"/>
      <c r="FZY3"/>
      <c r="FZZ3"/>
      <c r="GAA3"/>
      <c r="GAB3"/>
      <c r="GAC3"/>
      <c r="GAD3"/>
      <c r="GAE3"/>
      <c r="GAF3"/>
      <c r="GAG3"/>
      <c r="GAH3"/>
      <c r="GAI3"/>
      <c r="GAJ3"/>
      <c r="GAK3"/>
      <c r="GAL3"/>
      <c r="GAM3"/>
      <c r="GAN3"/>
      <c r="GAO3"/>
      <c r="GAP3"/>
      <c r="GAQ3"/>
      <c r="GAR3"/>
      <c r="GAS3"/>
      <c r="GAT3"/>
      <c r="GAU3"/>
      <c r="GAV3"/>
      <c r="GAW3"/>
      <c r="GAX3"/>
      <c r="GAY3"/>
      <c r="GAZ3"/>
      <c r="GBA3"/>
      <c r="GBB3"/>
      <c r="GBC3"/>
      <c r="GBD3"/>
      <c r="GBE3"/>
      <c r="GBF3"/>
      <c r="GBG3"/>
      <c r="GBH3"/>
      <c r="GBI3"/>
      <c r="GBJ3"/>
      <c r="GBK3"/>
      <c r="GBL3"/>
      <c r="GBM3"/>
      <c r="GBN3"/>
      <c r="GBO3"/>
      <c r="GBP3"/>
      <c r="GBQ3"/>
      <c r="GBR3"/>
      <c r="GBS3"/>
      <c r="GBT3"/>
      <c r="GBU3"/>
      <c r="GBV3"/>
      <c r="GBW3"/>
      <c r="GBX3"/>
      <c r="GBY3"/>
      <c r="GBZ3"/>
      <c r="GCA3"/>
      <c r="GCB3"/>
      <c r="GCC3"/>
      <c r="GCD3"/>
      <c r="GCE3"/>
      <c r="GCF3"/>
      <c r="GCG3"/>
      <c r="GCH3"/>
      <c r="GCI3"/>
      <c r="GCJ3"/>
      <c r="GCK3"/>
      <c r="GCL3"/>
      <c r="GCM3"/>
      <c r="GCN3"/>
      <c r="GCO3"/>
      <c r="GCP3"/>
      <c r="GCQ3"/>
      <c r="GCR3"/>
      <c r="GCS3"/>
      <c r="GCT3"/>
      <c r="GCU3"/>
      <c r="GCV3"/>
      <c r="GCW3"/>
      <c r="GCX3"/>
      <c r="GCY3"/>
      <c r="GCZ3"/>
      <c r="GDA3"/>
      <c r="GDB3"/>
      <c r="GDC3"/>
      <c r="GDD3"/>
      <c r="GDE3"/>
      <c r="GDF3"/>
      <c r="GDG3"/>
      <c r="GDH3"/>
      <c r="GDI3"/>
      <c r="GDJ3"/>
      <c r="GDK3"/>
      <c r="GDL3"/>
      <c r="GDM3"/>
      <c r="GDN3"/>
      <c r="GDO3"/>
      <c r="GDP3"/>
      <c r="GDQ3"/>
      <c r="GDR3"/>
      <c r="GDS3"/>
      <c r="GDT3"/>
      <c r="GDU3"/>
      <c r="GDV3"/>
      <c r="GDW3"/>
      <c r="GDX3"/>
      <c r="GDY3"/>
      <c r="GDZ3"/>
      <c r="GEA3"/>
      <c r="GEB3"/>
      <c r="GEC3"/>
      <c r="GED3"/>
      <c r="GEE3"/>
      <c r="GEF3"/>
      <c r="GEG3"/>
      <c r="GEH3"/>
      <c r="GEI3"/>
      <c r="GEJ3"/>
      <c r="GEK3"/>
      <c r="GEL3"/>
      <c r="GEM3"/>
      <c r="GEN3"/>
      <c r="GEO3"/>
      <c r="GEP3"/>
      <c r="GEQ3"/>
      <c r="GER3"/>
      <c r="GES3"/>
      <c r="GET3"/>
      <c r="GEU3"/>
      <c r="GEV3"/>
      <c r="GEW3"/>
      <c r="GEX3"/>
      <c r="GEY3"/>
      <c r="GEZ3"/>
      <c r="GFA3"/>
      <c r="GFB3"/>
      <c r="GFC3"/>
      <c r="GFD3"/>
      <c r="GFE3"/>
      <c r="GFF3"/>
      <c r="GFG3"/>
      <c r="GFH3"/>
      <c r="GFI3"/>
      <c r="GFJ3"/>
      <c r="GFK3"/>
      <c r="GFL3"/>
      <c r="GFM3"/>
      <c r="GFN3"/>
      <c r="GFO3"/>
      <c r="GFP3"/>
      <c r="GFQ3"/>
      <c r="GFR3"/>
      <c r="GFS3"/>
      <c r="GFT3"/>
      <c r="GFU3"/>
      <c r="GFV3"/>
      <c r="GFW3"/>
      <c r="GFX3"/>
      <c r="GFY3"/>
      <c r="GFZ3"/>
      <c r="GGA3"/>
      <c r="GGB3"/>
      <c r="GGC3"/>
      <c r="GGD3"/>
      <c r="GGE3"/>
      <c r="GGF3"/>
      <c r="GGG3"/>
      <c r="GGH3"/>
      <c r="GGI3"/>
      <c r="GGJ3"/>
      <c r="GGK3"/>
      <c r="GGL3"/>
      <c r="GGM3"/>
      <c r="GGN3"/>
      <c r="GGO3"/>
      <c r="GGP3"/>
      <c r="GGQ3"/>
      <c r="GGR3"/>
      <c r="GGS3"/>
      <c r="GGT3"/>
      <c r="GGU3"/>
      <c r="GGV3"/>
      <c r="GGW3"/>
      <c r="GGX3"/>
      <c r="GGY3"/>
      <c r="GGZ3"/>
      <c r="GHA3"/>
      <c r="GHB3"/>
      <c r="GHC3"/>
      <c r="GHD3"/>
      <c r="GHE3"/>
      <c r="GHF3"/>
      <c r="GHG3"/>
      <c r="GHH3"/>
      <c r="GHI3"/>
      <c r="GHJ3"/>
      <c r="GHK3"/>
      <c r="GHL3"/>
      <c r="GHM3"/>
      <c r="GHN3"/>
      <c r="GHO3"/>
      <c r="GHP3"/>
      <c r="GHQ3"/>
      <c r="GHR3"/>
      <c r="GHS3"/>
      <c r="GHT3"/>
      <c r="GHU3"/>
      <c r="GHV3"/>
      <c r="GHW3"/>
      <c r="GHX3"/>
      <c r="GHY3"/>
      <c r="GHZ3"/>
      <c r="GIA3"/>
      <c r="GIB3"/>
      <c r="GIC3"/>
      <c r="GID3"/>
      <c r="GIE3"/>
      <c r="GIF3"/>
      <c r="GIG3"/>
      <c r="GIH3"/>
      <c r="GII3"/>
      <c r="GIJ3"/>
      <c r="GIK3"/>
      <c r="GIL3"/>
      <c r="GIM3"/>
      <c r="GIN3"/>
      <c r="GIO3"/>
      <c r="GIP3"/>
      <c r="GIQ3"/>
      <c r="GIR3"/>
      <c r="GIS3"/>
      <c r="GIT3"/>
      <c r="GIU3"/>
      <c r="GIV3"/>
      <c r="GIW3"/>
      <c r="GIX3"/>
      <c r="GIY3"/>
      <c r="GIZ3"/>
      <c r="GJA3"/>
      <c r="GJB3"/>
      <c r="GJC3"/>
      <c r="GJD3"/>
      <c r="GJE3"/>
      <c r="GJF3"/>
      <c r="GJG3"/>
      <c r="GJH3"/>
      <c r="GJI3"/>
      <c r="GJJ3"/>
      <c r="GJK3"/>
      <c r="GJL3"/>
      <c r="GJM3"/>
      <c r="GJN3"/>
      <c r="GJO3"/>
      <c r="GJP3"/>
      <c r="GJQ3"/>
      <c r="GJR3"/>
      <c r="GJS3"/>
      <c r="GJT3"/>
      <c r="GJU3"/>
      <c r="GJV3"/>
      <c r="GJW3"/>
      <c r="GJX3"/>
      <c r="GJY3"/>
      <c r="GJZ3"/>
      <c r="GKA3"/>
      <c r="GKB3"/>
      <c r="GKC3"/>
      <c r="GKD3"/>
      <c r="GKE3"/>
      <c r="GKF3"/>
      <c r="GKG3"/>
      <c r="GKH3"/>
      <c r="GKI3"/>
      <c r="GKJ3"/>
      <c r="GKK3"/>
      <c r="GKL3"/>
      <c r="GKM3"/>
      <c r="GKN3"/>
      <c r="GKO3"/>
      <c r="GKP3"/>
      <c r="GKQ3"/>
      <c r="GKR3"/>
      <c r="GKS3"/>
      <c r="GKT3"/>
      <c r="GKU3"/>
      <c r="GKV3"/>
      <c r="GKW3"/>
      <c r="GKX3"/>
      <c r="GKY3"/>
      <c r="GKZ3"/>
      <c r="GLA3"/>
      <c r="GLB3"/>
      <c r="GLC3"/>
      <c r="GLD3"/>
      <c r="GLE3"/>
      <c r="GLF3"/>
      <c r="GLG3"/>
      <c r="GLH3"/>
      <c r="GLI3"/>
      <c r="GLJ3"/>
      <c r="GLK3"/>
      <c r="GLL3"/>
      <c r="GLM3"/>
      <c r="GLN3"/>
      <c r="GLO3"/>
      <c r="GLP3"/>
      <c r="GLQ3"/>
      <c r="GLR3"/>
      <c r="GLS3"/>
      <c r="GLT3"/>
      <c r="GLU3"/>
      <c r="GLV3"/>
      <c r="GLW3"/>
      <c r="GLX3"/>
      <c r="GLY3"/>
      <c r="GLZ3"/>
      <c r="GMA3"/>
      <c r="GMB3"/>
      <c r="GMC3"/>
      <c r="GMD3"/>
      <c r="GME3"/>
      <c r="GMF3"/>
      <c r="GMG3"/>
      <c r="GMH3"/>
      <c r="GMI3"/>
      <c r="GMJ3"/>
      <c r="GMK3"/>
      <c r="GML3"/>
      <c r="GMM3"/>
      <c r="GMN3"/>
      <c r="GMO3"/>
      <c r="GMP3"/>
      <c r="GMQ3"/>
      <c r="GMR3"/>
      <c r="GMS3"/>
      <c r="GMT3"/>
      <c r="GMU3"/>
      <c r="GMV3"/>
      <c r="GMW3"/>
      <c r="GMX3"/>
      <c r="GMY3"/>
      <c r="GMZ3"/>
      <c r="GNA3"/>
      <c r="GNB3"/>
      <c r="GNC3"/>
      <c r="GND3"/>
      <c r="GNE3"/>
      <c r="GNF3"/>
      <c r="GNG3"/>
      <c r="GNH3"/>
      <c r="GNI3"/>
      <c r="GNJ3"/>
      <c r="GNK3"/>
      <c r="GNL3"/>
      <c r="GNM3"/>
      <c r="GNN3"/>
      <c r="GNO3"/>
      <c r="GNP3"/>
      <c r="GNQ3"/>
      <c r="GNR3"/>
      <c r="GNS3"/>
      <c r="GNT3"/>
      <c r="GNU3"/>
      <c r="GNV3"/>
      <c r="GNW3"/>
      <c r="GNX3"/>
      <c r="GNY3"/>
      <c r="GNZ3"/>
      <c r="GOA3"/>
      <c r="GOB3"/>
      <c r="GOC3"/>
      <c r="GOD3"/>
      <c r="GOE3"/>
      <c r="GOF3"/>
      <c r="GOG3"/>
      <c r="GOH3"/>
      <c r="GOI3"/>
      <c r="GOJ3"/>
      <c r="GOK3"/>
      <c r="GOL3"/>
      <c r="GOM3"/>
      <c r="GON3"/>
      <c r="GOO3"/>
      <c r="GOP3"/>
      <c r="GOQ3"/>
      <c r="GOR3"/>
      <c r="GOS3"/>
      <c r="GOT3"/>
      <c r="GOU3"/>
      <c r="GOV3"/>
      <c r="GOW3"/>
      <c r="GOX3"/>
      <c r="GOY3"/>
      <c r="GOZ3"/>
      <c r="GPA3"/>
      <c r="GPB3"/>
      <c r="GPC3"/>
      <c r="GPD3"/>
      <c r="GPE3"/>
      <c r="GPF3"/>
      <c r="GPG3"/>
      <c r="GPH3"/>
      <c r="GPI3"/>
      <c r="GPJ3"/>
      <c r="GPK3"/>
      <c r="GPL3"/>
      <c r="GPM3"/>
      <c r="GPN3"/>
      <c r="GPO3"/>
      <c r="GPP3"/>
      <c r="GPQ3"/>
      <c r="GPR3"/>
      <c r="GPS3"/>
      <c r="GPT3"/>
      <c r="GPU3"/>
      <c r="GPV3"/>
      <c r="GPW3"/>
      <c r="GPX3"/>
      <c r="GPY3"/>
      <c r="GPZ3"/>
      <c r="GQA3"/>
      <c r="GQB3"/>
      <c r="GQC3"/>
      <c r="GQD3"/>
      <c r="GQE3"/>
      <c r="GQF3"/>
      <c r="GQG3"/>
      <c r="GQH3"/>
      <c r="GQI3"/>
      <c r="GQJ3"/>
      <c r="GQK3"/>
      <c r="GQL3"/>
      <c r="GQM3"/>
      <c r="GQN3"/>
      <c r="GQO3"/>
      <c r="GQP3"/>
      <c r="GQQ3"/>
      <c r="GQR3"/>
      <c r="GQS3"/>
      <c r="GQT3"/>
      <c r="GQU3"/>
      <c r="GQV3"/>
      <c r="GQW3"/>
      <c r="GQX3"/>
      <c r="GQY3"/>
      <c r="GQZ3"/>
      <c r="GRA3"/>
      <c r="GRB3"/>
      <c r="GRC3"/>
      <c r="GRD3"/>
      <c r="GRE3"/>
      <c r="GRF3"/>
      <c r="GRG3"/>
      <c r="GRH3"/>
      <c r="GRI3"/>
      <c r="GRJ3"/>
      <c r="GRK3"/>
      <c r="GRL3"/>
      <c r="GRM3"/>
      <c r="GRN3"/>
      <c r="GRO3"/>
      <c r="GRP3"/>
      <c r="GRQ3"/>
      <c r="GRR3"/>
      <c r="GRS3"/>
      <c r="GRT3"/>
      <c r="GRU3"/>
      <c r="GRV3"/>
      <c r="GRW3"/>
      <c r="GRX3"/>
      <c r="GRY3"/>
      <c r="GRZ3"/>
      <c r="GSA3"/>
      <c r="GSB3"/>
      <c r="GSC3"/>
      <c r="GSD3"/>
      <c r="GSE3"/>
      <c r="GSF3"/>
      <c r="GSG3"/>
      <c r="GSH3"/>
      <c r="GSI3"/>
      <c r="GSJ3"/>
      <c r="GSK3"/>
      <c r="GSL3"/>
      <c r="GSM3"/>
      <c r="GSN3"/>
      <c r="GSO3"/>
      <c r="GSP3"/>
      <c r="GSQ3"/>
      <c r="GSR3"/>
      <c r="GSS3"/>
      <c r="GST3"/>
      <c r="GSU3"/>
      <c r="GSV3"/>
      <c r="GSW3"/>
      <c r="GSX3"/>
      <c r="GSY3"/>
      <c r="GSZ3"/>
      <c r="GTA3"/>
      <c r="GTB3"/>
      <c r="GTC3"/>
      <c r="GTD3"/>
      <c r="GTE3"/>
      <c r="GTF3"/>
      <c r="GTG3"/>
      <c r="GTH3"/>
      <c r="GTI3"/>
      <c r="GTJ3"/>
      <c r="GTK3"/>
      <c r="GTL3"/>
      <c r="GTM3"/>
      <c r="GTN3"/>
      <c r="GTO3"/>
      <c r="GTP3"/>
      <c r="GTQ3"/>
      <c r="GTR3"/>
      <c r="GTS3"/>
      <c r="GTT3"/>
      <c r="GTU3"/>
      <c r="GTV3"/>
      <c r="GTW3"/>
      <c r="GTX3"/>
      <c r="GTY3"/>
      <c r="GTZ3"/>
      <c r="GUA3"/>
      <c r="GUB3"/>
      <c r="GUC3"/>
      <c r="GUD3"/>
      <c r="GUE3"/>
      <c r="GUF3"/>
      <c r="GUG3"/>
      <c r="GUH3"/>
      <c r="GUI3"/>
      <c r="GUJ3"/>
      <c r="GUK3"/>
      <c r="GUL3"/>
      <c r="GUM3"/>
      <c r="GUN3"/>
      <c r="GUO3"/>
      <c r="GUP3"/>
      <c r="GUQ3"/>
      <c r="GUR3"/>
      <c r="GUS3"/>
      <c r="GUT3"/>
      <c r="GUU3"/>
      <c r="GUV3"/>
      <c r="GUW3"/>
      <c r="GUX3"/>
      <c r="GUY3"/>
      <c r="GUZ3"/>
      <c r="GVA3"/>
      <c r="GVB3"/>
      <c r="GVC3"/>
      <c r="GVD3"/>
      <c r="GVE3"/>
      <c r="GVF3"/>
      <c r="GVG3"/>
      <c r="GVH3"/>
      <c r="GVI3"/>
      <c r="GVJ3"/>
      <c r="GVK3"/>
      <c r="GVL3"/>
      <c r="GVM3"/>
      <c r="GVN3"/>
      <c r="GVO3"/>
      <c r="GVP3"/>
      <c r="GVQ3"/>
      <c r="GVR3"/>
      <c r="GVS3"/>
      <c r="GVT3"/>
      <c r="GVU3"/>
      <c r="GVV3"/>
      <c r="GVW3"/>
      <c r="GVX3"/>
      <c r="GVY3"/>
      <c r="GVZ3"/>
      <c r="GWA3"/>
      <c r="GWB3"/>
      <c r="GWC3"/>
      <c r="GWD3"/>
      <c r="GWE3"/>
      <c r="GWF3"/>
      <c r="GWG3"/>
      <c r="GWH3"/>
      <c r="GWI3"/>
      <c r="GWJ3"/>
      <c r="GWK3"/>
      <c r="GWL3"/>
      <c r="GWM3"/>
      <c r="GWN3"/>
      <c r="GWO3"/>
      <c r="GWP3"/>
      <c r="GWQ3"/>
      <c r="GWR3"/>
      <c r="GWS3"/>
      <c r="GWT3"/>
      <c r="GWU3"/>
      <c r="GWV3"/>
      <c r="GWW3"/>
      <c r="GWX3"/>
      <c r="GWY3"/>
      <c r="GWZ3"/>
      <c r="GXA3"/>
      <c r="GXB3"/>
      <c r="GXC3"/>
      <c r="GXD3"/>
      <c r="GXE3"/>
      <c r="GXF3"/>
      <c r="GXG3"/>
      <c r="GXH3"/>
      <c r="GXI3"/>
      <c r="GXJ3"/>
      <c r="GXK3"/>
      <c r="GXL3"/>
      <c r="GXM3"/>
      <c r="GXN3"/>
      <c r="GXO3"/>
      <c r="GXP3"/>
      <c r="GXQ3"/>
      <c r="GXR3"/>
      <c r="GXS3"/>
      <c r="GXT3"/>
      <c r="GXU3"/>
      <c r="GXV3"/>
      <c r="GXW3"/>
      <c r="GXX3"/>
      <c r="GXY3"/>
      <c r="GXZ3"/>
      <c r="GYA3"/>
      <c r="GYB3"/>
      <c r="GYC3"/>
      <c r="GYD3"/>
      <c r="GYE3"/>
      <c r="GYF3"/>
      <c r="GYG3"/>
      <c r="GYH3"/>
      <c r="GYI3"/>
      <c r="GYJ3"/>
      <c r="GYK3"/>
      <c r="GYL3"/>
      <c r="GYM3"/>
      <c r="GYN3"/>
      <c r="GYO3"/>
      <c r="GYP3"/>
      <c r="GYQ3"/>
      <c r="GYR3"/>
      <c r="GYS3"/>
      <c r="GYT3"/>
      <c r="GYU3"/>
      <c r="GYV3"/>
      <c r="GYW3"/>
      <c r="GYX3"/>
      <c r="GYY3"/>
      <c r="GYZ3"/>
      <c r="GZA3"/>
      <c r="GZB3"/>
      <c r="GZC3"/>
      <c r="GZD3"/>
      <c r="GZE3"/>
      <c r="GZF3"/>
      <c r="GZG3"/>
      <c r="GZH3"/>
      <c r="GZI3"/>
      <c r="GZJ3"/>
      <c r="GZK3"/>
      <c r="GZL3"/>
      <c r="GZM3"/>
      <c r="GZN3"/>
      <c r="GZO3"/>
      <c r="GZP3"/>
      <c r="GZQ3"/>
      <c r="GZR3"/>
      <c r="GZS3"/>
      <c r="GZT3"/>
      <c r="GZU3"/>
      <c r="GZV3"/>
      <c r="GZW3"/>
      <c r="GZX3"/>
      <c r="GZY3"/>
      <c r="GZZ3"/>
      <c r="HAA3"/>
      <c r="HAB3"/>
      <c r="HAC3"/>
      <c r="HAD3"/>
      <c r="HAE3"/>
      <c r="HAF3"/>
      <c r="HAG3"/>
      <c r="HAH3"/>
      <c r="HAI3"/>
      <c r="HAJ3"/>
      <c r="HAK3"/>
      <c r="HAL3"/>
      <c r="HAM3"/>
      <c r="HAN3"/>
      <c r="HAO3"/>
      <c r="HAP3"/>
      <c r="HAQ3"/>
      <c r="HAR3"/>
      <c r="HAS3"/>
      <c r="HAT3"/>
      <c r="HAU3"/>
      <c r="HAV3"/>
      <c r="HAW3"/>
      <c r="HAX3"/>
      <c r="HAY3"/>
      <c r="HAZ3"/>
      <c r="HBA3"/>
      <c r="HBB3"/>
      <c r="HBC3"/>
      <c r="HBD3"/>
      <c r="HBE3"/>
      <c r="HBF3"/>
      <c r="HBG3"/>
      <c r="HBH3"/>
      <c r="HBI3"/>
      <c r="HBJ3"/>
      <c r="HBK3"/>
      <c r="HBL3"/>
      <c r="HBM3"/>
      <c r="HBN3"/>
      <c r="HBO3"/>
      <c r="HBP3"/>
      <c r="HBQ3"/>
      <c r="HBR3"/>
      <c r="HBS3"/>
      <c r="HBT3"/>
      <c r="HBU3"/>
      <c r="HBV3"/>
      <c r="HBW3"/>
      <c r="HBX3"/>
      <c r="HBY3"/>
      <c r="HBZ3"/>
      <c r="HCA3"/>
      <c r="HCB3"/>
      <c r="HCC3"/>
      <c r="HCD3"/>
      <c r="HCE3"/>
      <c r="HCF3"/>
      <c r="HCG3"/>
      <c r="HCH3"/>
      <c r="HCI3"/>
      <c r="HCJ3"/>
      <c r="HCK3"/>
      <c r="HCL3"/>
      <c r="HCM3"/>
      <c r="HCN3"/>
      <c r="HCO3"/>
      <c r="HCP3"/>
      <c r="HCQ3"/>
      <c r="HCR3"/>
      <c r="HCS3"/>
      <c r="HCT3"/>
      <c r="HCU3"/>
      <c r="HCV3"/>
      <c r="HCW3"/>
      <c r="HCX3"/>
      <c r="HCY3"/>
      <c r="HCZ3"/>
      <c r="HDA3"/>
      <c r="HDB3"/>
      <c r="HDC3"/>
      <c r="HDD3"/>
      <c r="HDE3"/>
      <c r="HDF3"/>
      <c r="HDG3"/>
      <c r="HDH3"/>
      <c r="HDI3"/>
      <c r="HDJ3"/>
      <c r="HDK3"/>
      <c r="HDL3"/>
      <c r="HDM3"/>
      <c r="HDN3"/>
      <c r="HDO3"/>
      <c r="HDP3"/>
      <c r="HDQ3"/>
      <c r="HDR3"/>
      <c r="HDS3"/>
      <c r="HDT3"/>
      <c r="HDU3"/>
      <c r="HDV3"/>
      <c r="HDW3"/>
      <c r="HDX3"/>
      <c r="HDY3"/>
      <c r="HDZ3"/>
      <c r="HEA3"/>
      <c r="HEB3"/>
      <c r="HEC3"/>
      <c r="HED3"/>
      <c r="HEE3"/>
      <c r="HEF3"/>
      <c r="HEG3"/>
      <c r="HEH3"/>
      <c r="HEI3"/>
      <c r="HEJ3"/>
      <c r="HEK3"/>
      <c r="HEL3"/>
      <c r="HEM3"/>
      <c r="HEN3"/>
      <c r="HEO3"/>
      <c r="HEP3"/>
      <c r="HEQ3"/>
      <c r="HER3"/>
      <c r="HES3"/>
      <c r="HET3"/>
      <c r="HEU3"/>
      <c r="HEV3"/>
      <c r="HEW3"/>
      <c r="HEX3"/>
      <c r="HEY3"/>
      <c r="HEZ3"/>
      <c r="HFA3"/>
      <c r="HFB3"/>
      <c r="HFC3"/>
      <c r="HFD3"/>
      <c r="HFE3"/>
      <c r="HFF3"/>
      <c r="HFG3"/>
      <c r="HFH3"/>
      <c r="HFI3"/>
      <c r="HFJ3"/>
      <c r="HFK3"/>
      <c r="HFL3"/>
      <c r="HFM3"/>
      <c r="HFN3"/>
      <c r="HFO3"/>
      <c r="HFP3"/>
      <c r="HFQ3"/>
      <c r="HFR3"/>
      <c r="HFS3"/>
      <c r="HFT3"/>
      <c r="HFU3"/>
      <c r="HFV3"/>
      <c r="HFW3"/>
      <c r="HFX3"/>
      <c r="HFY3"/>
      <c r="HFZ3"/>
      <c r="HGA3"/>
      <c r="HGB3"/>
      <c r="HGC3"/>
      <c r="HGD3"/>
      <c r="HGE3"/>
      <c r="HGF3"/>
      <c r="HGG3"/>
      <c r="HGH3"/>
      <c r="HGI3"/>
      <c r="HGJ3"/>
      <c r="HGK3"/>
      <c r="HGL3"/>
      <c r="HGM3"/>
      <c r="HGN3"/>
      <c r="HGO3"/>
      <c r="HGP3"/>
      <c r="HGQ3"/>
      <c r="HGR3"/>
      <c r="HGS3"/>
      <c r="HGT3"/>
      <c r="HGU3"/>
      <c r="HGV3"/>
      <c r="HGW3"/>
      <c r="HGX3"/>
      <c r="HGY3"/>
      <c r="HGZ3"/>
      <c r="HHA3"/>
      <c r="HHB3"/>
      <c r="HHC3"/>
      <c r="HHD3"/>
      <c r="HHE3"/>
      <c r="HHF3"/>
      <c r="HHG3"/>
      <c r="HHH3"/>
      <c r="HHI3"/>
      <c r="HHJ3"/>
      <c r="HHK3"/>
      <c r="HHL3"/>
      <c r="HHM3"/>
      <c r="HHN3"/>
      <c r="HHO3"/>
      <c r="HHP3"/>
      <c r="HHQ3"/>
      <c r="HHR3"/>
      <c r="HHS3"/>
      <c r="HHT3"/>
      <c r="HHU3"/>
      <c r="HHV3"/>
      <c r="HHW3"/>
      <c r="HHX3"/>
      <c r="HHY3"/>
      <c r="HHZ3"/>
      <c r="HIA3"/>
      <c r="HIB3"/>
      <c r="HIC3"/>
      <c r="HID3"/>
      <c r="HIE3"/>
      <c r="HIF3"/>
      <c r="HIG3"/>
      <c r="HIH3"/>
      <c r="HII3"/>
      <c r="HIJ3"/>
      <c r="HIK3"/>
      <c r="HIL3"/>
      <c r="HIM3"/>
      <c r="HIN3"/>
      <c r="HIO3"/>
      <c r="HIP3"/>
      <c r="HIQ3"/>
      <c r="HIR3"/>
      <c r="HIS3"/>
      <c r="HIT3"/>
      <c r="HIU3"/>
      <c r="HIV3"/>
      <c r="HIW3"/>
      <c r="HIX3"/>
      <c r="HIY3"/>
      <c r="HIZ3"/>
      <c r="HJA3"/>
      <c r="HJB3"/>
      <c r="HJC3"/>
      <c r="HJD3"/>
      <c r="HJE3"/>
      <c r="HJF3"/>
      <c r="HJG3"/>
      <c r="HJH3"/>
      <c r="HJI3"/>
      <c r="HJJ3"/>
      <c r="HJK3"/>
      <c r="HJL3"/>
      <c r="HJM3"/>
      <c r="HJN3"/>
      <c r="HJO3"/>
      <c r="HJP3"/>
      <c r="HJQ3"/>
      <c r="HJR3"/>
      <c r="HJS3"/>
      <c r="HJT3"/>
      <c r="HJU3"/>
      <c r="HJV3"/>
      <c r="HJW3"/>
      <c r="HJX3"/>
      <c r="HJY3"/>
      <c r="HJZ3"/>
      <c r="HKA3"/>
      <c r="HKB3"/>
      <c r="HKC3"/>
      <c r="HKD3"/>
      <c r="HKE3"/>
      <c r="HKF3"/>
      <c r="HKG3"/>
      <c r="HKH3"/>
      <c r="HKI3"/>
      <c r="HKJ3"/>
      <c r="HKK3"/>
      <c r="HKL3"/>
      <c r="HKM3"/>
      <c r="HKN3"/>
      <c r="HKO3"/>
      <c r="HKP3"/>
      <c r="HKQ3"/>
      <c r="HKR3"/>
      <c r="HKS3"/>
      <c r="HKT3"/>
      <c r="HKU3"/>
      <c r="HKV3"/>
      <c r="HKW3"/>
      <c r="HKX3"/>
      <c r="HKY3"/>
      <c r="HKZ3"/>
      <c r="HLA3"/>
      <c r="HLB3"/>
      <c r="HLC3"/>
      <c r="HLD3"/>
      <c r="HLE3"/>
      <c r="HLF3"/>
      <c r="HLG3"/>
      <c r="HLH3"/>
      <c r="HLI3"/>
      <c r="HLJ3"/>
      <c r="HLK3"/>
      <c r="HLL3"/>
      <c r="HLM3"/>
      <c r="HLN3"/>
      <c r="HLO3"/>
      <c r="HLP3"/>
      <c r="HLQ3"/>
      <c r="HLR3"/>
      <c r="HLS3"/>
      <c r="HLT3"/>
      <c r="HLU3"/>
      <c r="HLV3"/>
      <c r="HLW3"/>
      <c r="HLX3"/>
      <c r="HLY3"/>
      <c r="HLZ3"/>
      <c r="HMA3"/>
      <c r="HMB3"/>
      <c r="HMC3"/>
      <c r="HMD3"/>
      <c r="HME3"/>
      <c r="HMF3"/>
      <c r="HMG3"/>
      <c r="HMH3"/>
      <c r="HMI3"/>
      <c r="HMJ3"/>
      <c r="HMK3"/>
      <c r="HML3"/>
      <c r="HMM3"/>
      <c r="HMN3"/>
      <c r="HMO3"/>
      <c r="HMP3"/>
      <c r="HMQ3"/>
      <c r="HMR3"/>
      <c r="HMS3"/>
      <c r="HMT3"/>
      <c r="HMU3"/>
      <c r="HMV3"/>
      <c r="HMW3"/>
      <c r="HMX3"/>
      <c r="HMY3"/>
      <c r="HMZ3"/>
      <c r="HNA3"/>
      <c r="HNB3"/>
      <c r="HNC3"/>
      <c r="HND3"/>
      <c r="HNE3"/>
      <c r="HNF3"/>
      <c r="HNG3"/>
      <c r="HNH3"/>
      <c r="HNI3"/>
      <c r="HNJ3"/>
      <c r="HNK3"/>
      <c r="HNL3"/>
      <c r="HNM3"/>
      <c r="HNN3"/>
      <c r="HNO3"/>
      <c r="HNP3"/>
      <c r="HNQ3"/>
      <c r="HNR3"/>
      <c r="HNS3"/>
      <c r="HNT3"/>
      <c r="HNU3"/>
      <c r="HNV3"/>
      <c r="HNW3"/>
      <c r="HNX3"/>
      <c r="HNY3"/>
      <c r="HNZ3"/>
      <c r="HOA3"/>
      <c r="HOB3"/>
      <c r="HOC3"/>
      <c r="HOD3"/>
      <c r="HOE3"/>
      <c r="HOF3"/>
      <c r="HOG3"/>
      <c r="HOH3"/>
      <c r="HOI3"/>
      <c r="HOJ3"/>
      <c r="HOK3"/>
      <c r="HOL3"/>
      <c r="HOM3"/>
      <c r="HON3"/>
      <c r="HOO3"/>
      <c r="HOP3"/>
      <c r="HOQ3"/>
      <c r="HOR3"/>
      <c r="HOS3"/>
      <c r="HOT3"/>
      <c r="HOU3"/>
      <c r="HOV3"/>
      <c r="HOW3"/>
      <c r="HOX3"/>
      <c r="HOY3"/>
      <c r="HOZ3"/>
      <c r="HPA3"/>
      <c r="HPB3"/>
      <c r="HPC3"/>
      <c r="HPD3"/>
      <c r="HPE3"/>
      <c r="HPF3"/>
      <c r="HPG3"/>
      <c r="HPH3"/>
      <c r="HPI3"/>
      <c r="HPJ3"/>
      <c r="HPK3"/>
      <c r="HPL3"/>
      <c r="HPM3"/>
      <c r="HPN3"/>
      <c r="HPO3"/>
      <c r="HPP3"/>
      <c r="HPQ3"/>
      <c r="HPR3"/>
      <c r="HPS3"/>
      <c r="HPT3"/>
      <c r="HPU3"/>
      <c r="HPV3"/>
      <c r="HPW3"/>
      <c r="HPX3"/>
      <c r="HPY3"/>
      <c r="HPZ3"/>
      <c r="HQA3"/>
      <c r="HQB3"/>
      <c r="HQC3"/>
      <c r="HQD3"/>
      <c r="HQE3"/>
      <c r="HQF3"/>
      <c r="HQG3"/>
      <c r="HQH3"/>
      <c r="HQI3"/>
      <c r="HQJ3"/>
      <c r="HQK3"/>
      <c r="HQL3"/>
      <c r="HQM3"/>
      <c r="HQN3"/>
      <c r="HQO3"/>
      <c r="HQP3"/>
      <c r="HQQ3"/>
      <c r="HQR3"/>
      <c r="HQS3"/>
      <c r="HQT3"/>
      <c r="HQU3"/>
      <c r="HQV3"/>
      <c r="HQW3"/>
      <c r="HQX3"/>
      <c r="HQY3"/>
      <c r="HQZ3"/>
      <c r="HRA3"/>
      <c r="HRB3"/>
      <c r="HRC3"/>
      <c r="HRD3"/>
      <c r="HRE3"/>
      <c r="HRF3"/>
      <c r="HRG3"/>
      <c r="HRH3"/>
      <c r="HRI3"/>
      <c r="HRJ3"/>
      <c r="HRK3"/>
      <c r="HRL3"/>
      <c r="HRM3"/>
      <c r="HRN3"/>
      <c r="HRO3"/>
      <c r="HRP3"/>
      <c r="HRQ3"/>
      <c r="HRR3"/>
      <c r="HRS3"/>
      <c r="HRT3"/>
      <c r="HRU3"/>
      <c r="HRV3"/>
      <c r="HRW3"/>
      <c r="HRX3"/>
      <c r="HRY3"/>
      <c r="HRZ3"/>
      <c r="HSA3"/>
      <c r="HSB3"/>
      <c r="HSC3"/>
      <c r="HSD3"/>
      <c r="HSE3"/>
      <c r="HSF3"/>
      <c r="HSG3"/>
      <c r="HSH3"/>
      <c r="HSI3"/>
      <c r="HSJ3"/>
      <c r="HSK3"/>
      <c r="HSL3"/>
      <c r="HSM3"/>
      <c r="HSN3"/>
      <c r="HSO3"/>
      <c r="HSP3"/>
      <c r="HSQ3"/>
      <c r="HSR3"/>
      <c r="HSS3"/>
      <c r="HST3"/>
      <c r="HSU3"/>
      <c r="HSV3"/>
      <c r="HSW3"/>
      <c r="HSX3"/>
      <c r="HSY3"/>
      <c r="HSZ3"/>
      <c r="HTA3"/>
      <c r="HTB3"/>
      <c r="HTC3"/>
      <c r="HTD3"/>
      <c r="HTE3"/>
      <c r="HTF3"/>
      <c r="HTG3"/>
      <c r="HTH3"/>
      <c r="HTI3"/>
      <c r="HTJ3"/>
      <c r="HTK3"/>
      <c r="HTL3"/>
      <c r="HTM3"/>
      <c r="HTN3"/>
      <c r="HTO3"/>
      <c r="HTP3"/>
      <c r="HTQ3"/>
      <c r="HTR3"/>
      <c r="HTS3"/>
      <c r="HTT3"/>
      <c r="HTU3"/>
      <c r="HTV3"/>
      <c r="HTW3"/>
      <c r="HTX3"/>
      <c r="HTY3"/>
      <c r="HTZ3"/>
      <c r="HUA3"/>
      <c r="HUB3"/>
      <c r="HUC3"/>
      <c r="HUD3"/>
      <c r="HUE3"/>
      <c r="HUF3"/>
      <c r="HUG3"/>
      <c r="HUH3"/>
      <c r="HUI3"/>
      <c r="HUJ3"/>
      <c r="HUK3"/>
      <c r="HUL3"/>
      <c r="HUM3"/>
      <c r="HUN3"/>
      <c r="HUO3"/>
      <c r="HUP3"/>
      <c r="HUQ3"/>
      <c r="HUR3"/>
      <c r="HUS3"/>
      <c r="HUT3"/>
      <c r="HUU3"/>
      <c r="HUV3"/>
      <c r="HUW3"/>
      <c r="HUX3"/>
      <c r="HUY3"/>
      <c r="HUZ3"/>
      <c r="HVA3"/>
      <c r="HVB3"/>
      <c r="HVC3"/>
      <c r="HVD3"/>
      <c r="HVE3"/>
      <c r="HVF3"/>
      <c r="HVG3"/>
      <c r="HVH3"/>
      <c r="HVI3"/>
      <c r="HVJ3"/>
      <c r="HVK3"/>
      <c r="HVL3"/>
      <c r="HVM3"/>
      <c r="HVN3"/>
      <c r="HVO3"/>
      <c r="HVP3"/>
      <c r="HVQ3"/>
      <c r="HVR3"/>
      <c r="HVS3"/>
      <c r="HVT3"/>
      <c r="HVU3"/>
      <c r="HVV3"/>
      <c r="HVW3"/>
      <c r="HVX3"/>
      <c r="HVY3"/>
      <c r="HVZ3"/>
      <c r="HWA3"/>
      <c r="HWB3"/>
      <c r="HWC3"/>
      <c r="HWD3"/>
      <c r="HWE3"/>
      <c r="HWF3"/>
      <c r="HWG3"/>
      <c r="HWH3"/>
      <c r="HWI3"/>
      <c r="HWJ3"/>
      <c r="HWK3"/>
      <c r="HWL3"/>
      <c r="HWM3"/>
      <c r="HWN3"/>
      <c r="HWO3"/>
      <c r="HWP3"/>
      <c r="HWQ3"/>
      <c r="HWR3"/>
      <c r="HWS3"/>
      <c r="HWT3"/>
      <c r="HWU3"/>
      <c r="HWV3"/>
      <c r="HWW3"/>
      <c r="HWX3"/>
      <c r="HWY3"/>
      <c r="HWZ3"/>
      <c r="HXA3"/>
      <c r="HXB3"/>
      <c r="HXC3"/>
      <c r="HXD3"/>
      <c r="HXE3"/>
      <c r="HXF3"/>
      <c r="HXG3"/>
      <c r="HXH3"/>
      <c r="HXI3"/>
      <c r="HXJ3"/>
      <c r="HXK3"/>
      <c r="HXL3"/>
      <c r="HXM3"/>
      <c r="HXN3"/>
      <c r="HXO3"/>
      <c r="HXP3"/>
      <c r="HXQ3"/>
      <c r="HXR3"/>
      <c r="HXS3"/>
      <c r="HXT3"/>
      <c r="HXU3"/>
      <c r="HXV3"/>
      <c r="HXW3"/>
      <c r="HXX3"/>
      <c r="HXY3"/>
      <c r="HXZ3"/>
      <c r="HYA3"/>
      <c r="HYB3"/>
      <c r="HYC3"/>
      <c r="HYD3"/>
      <c r="HYE3"/>
      <c r="HYF3"/>
      <c r="HYG3"/>
      <c r="HYH3"/>
      <c r="HYI3"/>
      <c r="HYJ3"/>
      <c r="HYK3"/>
      <c r="HYL3"/>
      <c r="HYM3"/>
      <c r="HYN3"/>
      <c r="HYO3"/>
      <c r="HYP3"/>
      <c r="HYQ3"/>
      <c r="HYR3"/>
      <c r="HYS3"/>
      <c r="HYT3"/>
      <c r="HYU3"/>
      <c r="HYV3"/>
      <c r="HYW3"/>
      <c r="HYX3"/>
      <c r="HYY3"/>
      <c r="HYZ3"/>
      <c r="HZA3"/>
      <c r="HZB3"/>
      <c r="HZC3"/>
      <c r="HZD3"/>
      <c r="HZE3"/>
      <c r="HZF3"/>
      <c r="HZG3"/>
      <c r="HZH3"/>
      <c r="HZI3"/>
      <c r="HZJ3"/>
      <c r="HZK3"/>
      <c r="HZL3"/>
      <c r="HZM3"/>
      <c r="HZN3"/>
      <c r="HZO3"/>
      <c r="HZP3"/>
      <c r="HZQ3"/>
      <c r="HZR3"/>
      <c r="HZS3"/>
      <c r="HZT3"/>
      <c r="HZU3"/>
      <c r="HZV3"/>
      <c r="HZW3"/>
      <c r="HZX3"/>
      <c r="HZY3"/>
      <c r="HZZ3"/>
      <c r="IAA3"/>
      <c r="IAB3"/>
      <c r="IAC3"/>
      <c r="IAD3"/>
      <c r="IAE3"/>
      <c r="IAF3"/>
      <c r="IAG3"/>
      <c r="IAH3"/>
      <c r="IAI3"/>
      <c r="IAJ3"/>
      <c r="IAK3"/>
      <c r="IAL3"/>
      <c r="IAM3"/>
      <c r="IAN3"/>
      <c r="IAO3"/>
      <c r="IAP3"/>
      <c r="IAQ3"/>
      <c r="IAR3"/>
      <c r="IAS3"/>
      <c r="IAT3"/>
      <c r="IAU3"/>
      <c r="IAV3"/>
      <c r="IAW3"/>
      <c r="IAX3"/>
      <c r="IAY3"/>
      <c r="IAZ3"/>
      <c r="IBA3"/>
      <c r="IBB3"/>
      <c r="IBC3"/>
      <c r="IBD3"/>
      <c r="IBE3"/>
      <c r="IBF3"/>
      <c r="IBG3"/>
      <c r="IBH3"/>
      <c r="IBI3"/>
      <c r="IBJ3"/>
      <c r="IBK3"/>
      <c r="IBL3"/>
      <c r="IBM3"/>
      <c r="IBN3"/>
      <c r="IBO3"/>
      <c r="IBP3"/>
      <c r="IBQ3"/>
      <c r="IBR3"/>
      <c r="IBS3"/>
      <c r="IBT3"/>
      <c r="IBU3"/>
      <c r="IBV3"/>
      <c r="IBW3"/>
      <c r="IBX3"/>
      <c r="IBY3"/>
      <c r="IBZ3"/>
      <c r="ICA3"/>
      <c r="ICB3"/>
      <c r="ICC3"/>
      <c r="ICD3"/>
      <c r="ICE3"/>
      <c r="ICF3"/>
      <c r="ICG3"/>
      <c r="ICH3"/>
      <c r="ICI3"/>
      <c r="ICJ3"/>
      <c r="ICK3"/>
      <c r="ICL3"/>
      <c r="ICM3"/>
      <c r="ICN3"/>
      <c r="ICO3"/>
      <c r="ICP3"/>
      <c r="ICQ3"/>
      <c r="ICR3"/>
      <c r="ICS3"/>
      <c r="ICT3"/>
      <c r="ICU3"/>
      <c r="ICV3"/>
      <c r="ICW3"/>
      <c r="ICX3"/>
      <c r="ICY3"/>
      <c r="ICZ3"/>
      <c r="IDA3"/>
      <c r="IDB3"/>
      <c r="IDC3"/>
      <c r="IDD3"/>
      <c r="IDE3"/>
      <c r="IDF3"/>
      <c r="IDG3"/>
      <c r="IDH3"/>
      <c r="IDI3"/>
      <c r="IDJ3"/>
      <c r="IDK3"/>
      <c r="IDL3"/>
      <c r="IDM3"/>
      <c r="IDN3"/>
      <c r="IDO3"/>
      <c r="IDP3"/>
      <c r="IDQ3"/>
      <c r="IDR3"/>
      <c r="IDS3"/>
      <c r="IDT3"/>
      <c r="IDU3"/>
      <c r="IDV3"/>
      <c r="IDW3"/>
      <c r="IDX3"/>
      <c r="IDY3"/>
      <c r="IDZ3"/>
      <c r="IEA3"/>
      <c r="IEB3"/>
      <c r="IEC3"/>
      <c r="IED3"/>
      <c r="IEE3"/>
      <c r="IEF3"/>
      <c r="IEG3"/>
      <c r="IEH3"/>
      <c r="IEI3"/>
      <c r="IEJ3"/>
      <c r="IEK3"/>
      <c r="IEL3"/>
      <c r="IEM3"/>
      <c r="IEN3"/>
      <c r="IEO3"/>
      <c r="IEP3"/>
      <c r="IEQ3"/>
      <c r="IER3"/>
      <c r="IES3"/>
      <c r="IET3"/>
      <c r="IEU3"/>
      <c r="IEV3"/>
      <c r="IEW3"/>
      <c r="IEX3"/>
      <c r="IEY3"/>
      <c r="IEZ3"/>
      <c r="IFA3"/>
      <c r="IFB3"/>
      <c r="IFC3"/>
      <c r="IFD3"/>
      <c r="IFE3"/>
      <c r="IFF3"/>
      <c r="IFG3"/>
      <c r="IFH3"/>
      <c r="IFI3"/>
      <c r="IFJ3"/>
      <c r="IFK3"/>
      <c r="IFL3"/>
      <c r="IFM3"/>
      <c r="IFN3"/>
      <c r="IFO3"/>
      <c r="IFP3"/>
      <c r="IFQ3"/>
      <c r="IFR3"/>
      <c r="IFS3"/>
      <c r="IFT3"/>
      <c r="IFU3"/>
      <c r="IFV3"/>
      <c r="IFW3"/>
      <c r="IFX3"/>
      <c r="IFY3"/>
      <c r="IFZ3"/>
      <c r="IGA3"/>
      <c r="IGB3"/>
      <c r="IGC3"/>
      <c r="IGD3"/>
      <c r="IGE3"/>
      <c r="IGF3"/>
      <c r="IGG3"/>
      <c r="IGH3"/>
      <c r="IGI3"/>
      <c r="IGJ3"/>
      <c r="IGK3"/>
      <c r="IGL3"/>
      <c r="IGM3"/>
      <c r="IGN3"/>
      <c r="IGO3"/>
      <c r="IGP3"/>
      <c r="IGQ3"/>
      <c r="IGR3"/>
      <c r="IGS3"/>
      <c r="IGT3"/>
      <c r="IGU3"/>
      <c r="IGV3"/>
      <c r="IGW3"/>
      <c r="IGX3"/>
      <c r="IGY3"/>
      <c r="IGZ3"/>
      <c r="IHA3"/>
      <c r="IHB3"/>
      <c r="IHC3"/>
      <c r="IHD3"/>
      <c r="IHE3"/>
      <c r="IHF3"/>
      <c r="IHG3"/>
      <c r="IHH3"/>
      <c r="IHI3"/>
      <c r="IHJ3"/>
      <c r="IHK3"/>
      <c r="IHL3"/>
      <c r="IHM3"/>
      <c r="IHN3"/>
      <c r="IHO3"/>
      <c r="IHP3"/>
      <c r="IHQ3"/>
      <c r="IHR3"/>
      <c r="IHS3"/>
      <c r="IHT3"/>
      <c r="IHU3"/>
      <c r="IHV3"/>
      <c r="IHW3"/>
      <c r="IHX3"/>
      <c r="IHY3"/>
      <c r="IHZ3"/>
      <c r="IIA3"/>
      <c r="IIB3"/>
      <c r="IIC3"/>
      <c r="IID3"/>
      <c r="IIE3"/>
      <c r="IIF3"/>
      <c r="IIG3"/>
      <c r="IIH3"/>
      <c r="III3"/>
      <c r="IIJ3"/>
      <c r="IIK3"/>
      <c r="IIL3"/>
      <c r="IIM3"/>
      <c r="IIN3"/>
      <c r="IIO3"/>
      <c r="IIP3"/>
      <c r="IIQ3"/>
      <c r="IIR3"/>
      <c r="IIS3"/>
      <c r="IIT3"/>
      <c r="IIU3"/>
      <c r="IIV3"/>
      <c r="IIW3"/>
      <c r="IIX3"/>
      <c r="IIY3"/>
      <c r="IIZ3"/>
      <c r="IJA3"/>
      <c r="IJB3"/>
      <c r="IJC3"/>
      <c r="IJD3"/>
      <c r="IJE3"/>
      <c r="IJF3"/>
      <c r="IJG3"/>
      <c r="IJH3"/>
      <c r="IJI3"/>
      <c r="IJJ3"/>
      <c r="IJK3"/>
      <c r="IJL3"/>
      <c r="IJM3"/>
      <c r="IJN3"/>
      <c r="IJO3"/>
      <c r="IJP3"/>
      <c r="IJQ3"/>
      <c r="IJR3"/>
      <c r="IJS3"/>
      <c r="IJT3"/>
      <c r="IJU3"/>
      <c r="IJV3"/>
      <c r="IJW3"/>
      <c r="IJX3"/>
      <c r="IJY3"/>
      <c r="IJZ3"/>
      <c r="IKA3"/>
      <c r="IKB3"/>
      <c r="IKC3"/>
      <c r="IKD3"/>
      <c r="IKE3"/>
      <c r="IKF3"/>
      <c r="IKG3"/>
      <c r="IKH3"/>
      <c r="IKI3"/>
      <c r="IKJ3"/>
      <c r="IKK3"/>
      <c r="IKL3"/>
      <c r="IKM3"/>
      <c r="IKN3"/>
      <c r="IKO3"/>
      <c r="IKP3"/>
      <c r="IKQ3"/>
      <c r="IKR3"/>
      <c r="IKS3"/>
      <c r="IKT3"/>
      <c r="IKU3"/>
      <c r="IKV3"/>
      <c r="IKW3"/>
      <c r="IKX3"/>
      <c r="IKY3"/>
      <c r="IKZ3"/>
      <c r="ILA3"/>
      <c r="ILB3"/>
      <c r="ILC3"/>
      <c r="ILD3"/>
      <c r="ILE3"/>
      <c r="ILF3"/>
      <c r="ILG3"/>
      <c r="ILH3"/>
      <c r="ILI3"/>
      <c r="ILJ3"/>
      <c r="ILK3"/>
      <c r="ILL3"/>
      <c r="ILM3"/>
      <c r="ILN3"/>
      <c r="ILO3"/>
      <c r="ILP3"/>
      <c r="ILQ3"/>
      <c r="ILR3"/>
      <c r="ILS3"/>
      <c r="ILT3"/>
      <c r="ILU3"/>
      <c r="ILV3"/>
      <c r="ILW3"/>
      <c r="ILX3"/>
      <c r="ILY3"/>
      <c r="ILZ3"/>
      <c r="IMA3"/>
      <c r="IMB3"/>
      <c r="IMC3"/>
      <c r="IMD3"/>
      <c r="IME3"/>
      <c r="IMF3"/>
      <c r="IMG3"/>
      <c r="IMH3"/>
      <c r="IMI3"/>
      <c r="IMJ3"/>
      <c r="IMK3"/>
      <c r="IML3"/>
      <c r="IMM3"/>
      <c r="IMN3"/>
      <c r="IMO3"/>
      <c r="IMP3"/>
      <c r="IMQ3"/>
      <c r="IMR3"/>
      <c r="IMS3"/>
      <c r="IMT3"/>
      <c r="IMU3"/>
      <c r="IMV3"/>
      <c r="IMW3"/>
      <c r="IMX3"/>
      <c r="IMY3"/>
      <c r="IMZ3"/>
      <c r="INA3"/>
      <c r="INB3"/>
      <c r="INC3"/>
      <c r="IND3"/>
      <c r="INE3"/>
      <c r="INF3"/>
      <c r="ING3"/>
      <c r="INH3"/>
      <c r="INI3"/>
      <c r="INJ3"/>
      <c r="INK3"/>
      <c r="INL3"/>
      <c r="INM3"/>
      <c r="INN3"/>
      <c r="INO3"/>
      <c r="INP3"/>
      <c r="INQ3"/>
      <c r="INR3"/>
      <c r="INS3"/>
      <c r="INT3"/>
      <c r="INU3"/>
      <c r="INV3"/>
      <c r="INW3"/>
      <c r="INX3"/>
      <c r="INY3"/>
      <c r="INZ3"/>
      <c r="IOA3"/>
      <c r="IOB3"/>
      <c r="IOC3"/>
      <c r="IOD3"/>
      <c r="IOE3"/>
      <c r="IOF3"/>
      <c r="IOG3"/>
      <c r="IOH3"/>
      <c r="IOI3"/>
      <c r="IOJ3"/>
      <c r="IOK3"/>
      <c r="IOL3"/>
      <c r="IOM3"/>
      <c r="ION3"/>
      <c r="IOO3"/>
      <c r="IOP3"/>
      <c r="IOQ3"/>
      <c r="IOR3"/>
      <c r="IOS3"/>
      <c r="IOT3"/>
      <c r="IOU3"/>
      <c r="IOV3"/>
      <c r="IOW3"/>
      <c r="IOX3"/>
      <c r="IOY3"/>
      <c r="IOZ3"/>
      <c r="IPA3"/>
      <c r="IPB3"/>
      <c r="IPC3"/>
      <c r="IPD3"/>
      <c r="IPE3"/>
      <c r="IPF3"/>
      <c r="IPG3"/>
      <c r="IPH3"/>
      <c r="IPI3"/>
      <c r="IPJ3"/>
      <c r="IPK3"/>
      <c r="IPL3"/>
      <c r="IPM3"/>
      <c r="IPN3"/>
      <c r="IPO3"/>
      <c r="IPP3"/>
      <c r="IPQ3"/>
      <c r="IPR3"/>
      <c r="IPS3"/>
      <c r="IPT3"/>
      <c r="IPU3"/>
      <c r="IPV3"/>
      <c r="IPW3"/>
      <c r="IPX3"/>
      <c r="IPY3"/>
      <c r="IPZ3"/>
      <c r="IQA3"/>
      <c r="IQB3"/>
      <c r="IQC3"/>
      <c r="IQD3"/>
      <c r="IQE3"/>
      <c r="IQF3"/>
      <c r="IQG3"/>
      <c r="IQH3"/>
      <c r="IQI3"/>
      <c r="IQJ3"/>
      <c r="IQK3"/>
      <c r="IQL3"/>
      <c r="IQM3"/>
      <c r="IQN3"/>
      <c r="IQO3"/>
      <c r="IQP3"/>
      <c r="IQQ3"/>
      <c r="IQR3"/>
      <c r="IQS3"/>
      <c r="IQT3"/>
      <c r="IQU3"/>
      <c r="IQV3"/>
      <c r="IQW3"/>
      <c r="IQX3"/>
      <c r="IQY3"/>
      <c r="IQZ3"/>
      <c r="IRA3"/>
      <c r="IRB3"/>
      <c r="IRC3"/>
      <c r="IRD3"/>
      <c r="IRE3"/>
      <c r="IRF3"/>
      <c r="IRG3"/>
      <c r="IRH3"/>
      <c r="IRI3"/>
      <c r="IRJ3"/>
      <c r="IRK3"/>
      <c r="IRL3"/>
      <c r="IRM3"/>
      <c r="IRN3"/>
      <c r="IRO3"/>
      <c r="IRP3"/>
      <c r="IRQ3"/>
      <c r="IRR3"/>
      <c r="IRS3"/>
      <c r="IRT3"/>
      <c r="IRU3"/>
      <c r="IRV3"/>
      <c r="IRW3"/>
      <c r="IRX3"/>
      <c r="IRY3"/>
      <c r="IRZ3"/>
      <c r="ISA3"/>
      <c r="ISB3"/>
      <c r="ISC3"/>
      <c r="ISD3"/>
      <c r="ISE3"/>
      <c r="ISF3"/>
      <c r="ISG3"/>
      <c r="ISH3"/>
      <c r="ISI3"/>
      <c r="ISJ3"/>
      <c r="ISK3"/>
      <c r="ISL3"/>
      <c r="ISM3"/>
      <c r="ISN3"/>
      <c r="ISO3"/>
      <c r="ISP3"/>
      <c r="ISQ3"/>
      <c r="ISR3"/>
      <c r="ISS3"/>
      <c r="IST3"/>
      <c r="ISU3"/>
      <c r="ISV3"/>
      <c r="ISW3"/>
      <c r="ISX3"/>
      <c r="ISY3"/>
      <c r="ISZ3"/>
      <c r="ITA3"/>
      <c r="ITB3"/>
      <c r="ITC3"/>
      <c r="ITD3"/>
      <c r="ITE3"/>
      <c r="ITF3"/>
      <c r="ITG3"/>
      <c r="ITH3"/>
      <c r="ITI3"/>
      <c r="ITJ3"/>
      <c r="ITK3"/>
      <c r="ITL3"/>
      <c r="ITM3"/>
      <c r="ITN3"/>
      <c r="ITO3"/>
      <c r="ITP3"/>
      <c r="ITQ3"/>
      <c r="ITR3"/>
      <c r="ITS3"/>
      <c r="ITT3"/>
      <c r="ITU3"/>
      <c r="ITV3"/>
      <c r="ITW3"/>
      <c r="ITX3"/>
      <c r="ITY3"/>
      <c r="ITZ3"/>
      <c r="IUA3"/>
      <c r="IUB3"/>
      <c r="IUC3"/>
      <c r="IUD3"/>
      <c r="IUE3"/>
      <c r="IUF3"/>
      <c r="IUG3"/>
      <c r="IUH3"/>
      <c r="IUI3"/>
      <c r="IUJ3"/>
      <c r="IUK3"/>
      <c r="IUL3"/>
      <c r="IUM3"/>
      <c r="IUN3"/>
      <c r="IUO3"/>
      <c r="IUP3"/>
      <c r="IUQ3"/>
      <c r="IUR3"/>
      <c r="IUS3"/>
      <c r="IUT3"/>
      <c r="IUU3"/>
      <c r="IUV3"/>
      <c r="IUW3"/>
      <c r="IUX3"/>
      <c r="IUY3"/>
      <c r="IUZ3"/>
      <c r="IVA3"/>
      <c r="IVB3"/>
      <c r="IVC3"/>
      <c r="IVD3"/>
      <c r="IVE3"/>
      <c r="IVF3"/>
      <c r="IVG3"/>
      <c r="IVH3"/>
      <c r="IVI3"/>
      <c r="IVJ3"/>
      <c r="IVK3"/>
      <c r="IVL3"/>
      <c r="IVM3"/>
      <c r="IVN3"/>
      <c r="IVO3"/>
      <c r="IVP3"/>
      <c r="IVQ3"/>
      <c r="IVR3"/>
      <c r="IVS3"/>
      <c r="IVT3"/>
      <c r="IVU3"/>
      <c r="IVV3"/>
      <c r="IVW3"/>
      <c r="IVX3"/>
      <c r="IVY3"/>
      <c r="IVZ3"/>
      <c r="IWA3"/>
      <c r="IWB3"/>
      <c r="IWC3"/>
      <c r="IWD3"/>
      <c r="IWE3"/>
      <c r="IWF3"/>
      <c r="IWG3"/>
      <c r="IWH3"/>
      <c r="IWI3"/>
      <c r="IWJ3"/>
      <c r="IWK3"/>
      <c r="IWL3"/>
      <c r="IWM3"/>
      <c r="IWN3"/>
      <c r="IWO3"/>
      <c r="IWP3"/>
      <c r="IWQ3"/>
      <c r="IWR3"/>
      <c r="IWS3"/>
      <c r="IWT3"/>
      <c r="IWU3"/>
      <c r="IWV3"/>
      <c r="IWW3"/>
      <c r="IWX3"/>
      <c r="IWY3"/>
      <c r="IWZ3"/>
      <c r="IXA3"/>
      <c r="IXB3"/>
      <c r="IXC3"/>
      <c r="IXD3"/>
      <c r="IXE3"/>
      <c r="IXF3"/>
      <c r="IXG3"/>
      <c r="IXH3"/>
      <c r="IXI3"/>
      <c r="IXJ3"/>
      <c r="IXK3"/>
      <c r="IXL3"/>
      <c r="IXM3"/>
      <c r="IXN3"/>
      <c r="IXO3"/>
      <c r="IXP3"/>
      <c r="IXQ3"/>
      <c r="IXR3"/>
      <c r="IXS3"/>
      <c r="IXT3"/>
      <c r="IXU3"/>
      <c r="IXV3"/>
      <c r="IXW3"/>
      <c r="IXX3"/>
      <c r="IXY3"/>
      <c r="IXZ3"/>
      <c r="IYA3"/>
      <c r="IYB3"/>
      <c r="IYC3"/>
      <c r="IYD3"/>
      <c r="IYE3"/>
      <c r="IYF3"/>
      <c r="IYG3"/>
      <c r="IYH3"/>
      <c r="IYI3"/>
      <c r="IYJ3"/>
      <c r="IYK3"/>
      <c r="IYL3"/>
      <c r="IYM3"/>
      <c r="IYN3"/>
      <c r="IYO3"/>
      <c r="IYP3"/>
      <c r="IYQ3"/>
      <c r="IYR3"/>
      <c r="IYS3"/>
      <c r="IYT3"/>
      <c r="IYU3"/>
      <c r="IYV3"/>
      <c r="IYW3"/>
      <c r="IYX3"/>
      <c r="IYY3"/>
      <c r="IYZ3"/>
      <c r="IZA3"/>
      <c r="IZB3"/>
      <c r="IZC3"/>
      <c r="IZD3"/>
      <c r="IZE3"/>
      <c r="IZF3"/>
      <c r="IZG3"/>
      <c r="IZH3"/>
      <c r="IZI3"/>
      <c r="IZJ3"/>
      <c r="IZK3"/>
      <c r="IZL3"/>
      <c r="IZM3"/>
      <c r="IZN3"/>
      <c r="IZO3"/>
      <c r="IZP3"/>
      <c r="IZQ3"/>
      <c r="IZR3"/>
      <c r="IZS3"/>
      <c r="IZT3"/>
      <c r="IZU3"/>
      <c r="IZV3"/>
      <c r="IZW3"/>
      <c r="IZX3"/>
      <c r="IZY3"/>
      <c r="IZZ3"/>
      <c r="JAA3"/>
      <c r="JAB3"/>
      <c r="JAC3"/>
      <c r="JAD3"/>
      <c r="JAE3"/>
      <c r="JAF3"/>
      <c r="JAG3"/>
      <c r="JAH3"/>
      <c r="JAI3"/>
      <c r="JAJ3"/>
      <c r="JAK3"/>
      <c r="JAL3"/>
      <c r="JAM3"/>
      <c r="JAN3"/>
      <c r="JAO3"/>
      <c r="JAP3"/>
      <c r="JAQ3"/>
      <c r="JAR3"/>
      <c r="JAS3"/>
      <c r="JAT3"/>
      <c r="JAU3"/>
      <c r="JAV3"/>
      <c r="JAW3"/>
      <c r="JAX3"/>
      <c r="JAY3"/>
      <c r="JAZ3"/>
      <c r="JBA3"/>
      <c r="JBB3"/>
      <c r="JBC3"/>
      <c r="JBD3"/>
      <c r="JBE3"/>
      <c r="JBF3"/>
      <c r="JBG3"/>
      <c r="JBH3"/>
      <c r="JBI3"/>
      <c r="JBJ3"/>
      <c r="JBK3"/>
      <c r="JBL3"/>
      <c r="JBM3"/>
      <c r="JBN3"/>
      <c r="JBO3"/>
      <c r="JBP3"/>
      <c r="JBQ3"/>
      <c r="JBR3"/>
      <c r="JBS3"/>
      <c r="JBT3"/>
      <c r="JBU3"/>
      <c r="JBV3"/>
      <c r="JBW3"/>
      <c r="JBX3"/>
      <c r="JBY3"/>
      <c r="JBZ3"/>
      <c r="JCA3"/>
      <c r="JCB3"/>
      <c r="JCC3"/>
      <c r="JCD3"/>
      <c r="JCE3"/>
      <c r="JCF3"/>
      <c r="JCG3"/>
      <c r="JCH3"/>
      <c r="JCI3"/>
      <c r="JCJ3"/>
      <c r="JCK3"/>
      <c r="JCL3"/>
      <c r="JCM3"/>
      <c r="JCN3"/>
      <c r="JCO3"/>
      <c r="JCP3"/>
      <c r="JCQ3"/>
      <c r="JCR3"/>
      <c r="JCS3"/>
      <c r="JCT3"/>
      <c r="JCU3"/>
      <c r="JCV3"/>
      <c r="JCW3"/>
      <c r="JCX3"/>
      <c r="JCY3"/>
      <c r="JCZ3"/>
      <c r="JDA3"/>
      <c r="JDB3"/>
      <c r="JDC3"/>
      <c r="JDD3"/>
      <c r="JDE3"/>
      <c r="JDF3"/>
      <c r="JDG3"/>
      <c r="JDH3"/>
      <c r="JDI3"/>
      <c r="JDJ3"/>
      <c r="JDK3"/>
      <c r="JDL3"/>
      <c r="JDM3"/>
      <c r="JDN3"/>
      <c r="JDO3"/>
      <c r="JDP3"/>
      <c r="JDQ3"/>
      <c r="JDR3"/>
      <c r="JDS3"/>
      <c r="JDT3"/>
      <c r="JDU3"/>
      <c r="JDV3"/>
      <c r="JDW3"/>
      <c r="JDX3"/>
      <c r="JDY3"/>
      <c r="JDZ3"/>
      <c r="JEA3"/>
      <c r="JEB3"/>
      <c r="JEC3"/>
      <c r="JED3"/>
      <c r="JEE3"/>
      <c r="JEF3"/>
      <c r="JEG3"/>
      <c r="JEH3"/>
      <c r="JEI3"/>
      <c r="JEJ3"/>
      <c r="JEK3"/>
      <c r="JEL3"/>
      <c r="JEM3"/>
      <c r="JEN3"/>
      <c r="JEO3"/>
      <c r="JEP3"/>
      <c r="JEQ3"/>
      <c r="JER3"/>
      <c r="JES3"/>
      <c r="JET3"/>
      <c r="JEU3"/>
      <c r="JEV3"/>
      <c r="JEW3"/>
      <c r="JEX3"/>
      <c r="JEY3"/>
      <c r="JEZ3"/>
      <c r="JFA3"/>
      <c r="JFB3"/>
      <c r="JFC3"/>
      <c r="JFD3"/>
      <c r="JFE3"/>
      <c r="JFF3"/>
      <c r="JFG3"/>
      <c r="JFH3"/>
      <c r="JFI3"/>
      <c r="JFJ3"/>
      <c r="JFK3"/>
      <c r="JFL3"/>
      <c r="JFM3"/>
      <c r="JFN3"/>
      <c r="JFO3"/>
      <c r="JFP3"/>
      <c r="JFQ3"/>
      <c r="JFR3"/>
      <c r="JFS3"/>
      <c r="JFT3"/>
      <c r="JFU3"/>
      <c r="JFV3"/>
      <c r="JFW3"/>
      <c r="JFX3"/>
      <c r="JFY3"/>
      <c r="JFZ3"/>
      <c r="JGA3"/>
      <c r="JGB3"/>
      <c r="JGC3"/>
      <c r="JGD3"/>
      <c r="JGE3"/>
      <c r="JGF3"/>
      <c r="JGG3"/>
      <c r="JGH3"/>
      <c r="JGI3"/>
      <c r="JGJ3"/>
      <c r="JGK3"/>
      <c r="JGL3"/>
      <c r="JGM3"/>
      <c r="JGN3"/>
      <c r="JGO3"/>
      <c r="JGP3"/>
      <c r="JGQ3"/>
      <c r="JGR3"/>
      <c r="JGS3"/>
      <c r="JGT3"/>
      <c r="JGU3"/>
      <c r="JGV3"/>
      <c r="JGW3"/>
      <c r="JGX3"/>
      <c r="JGY3"/>
      <c r="JGZ3"/>
      <c r="JHA3"/>
      <c r="JHB3"/>
      <c r="JHC3"/>
      <c r="JHD3"/>
      <c r="JHE3"/>
      <c r="JHF3"/>
      <c r="JHG3"/>
      <c r="JHH3"/>
      <c r="JHI3"/>
      <c r="JHJ3"/>
      <c r="JHK3"/>
      <c r="JHL3"/>
      <c r="JHM3"/>
      <c r="JHN3"/>
      <c r="JHO3"/>
      <c r="JHP3"/>
      <c r="JHQ3"/>
      <c r="JHR3"/>
      <c r="JHS3"/>
      <c r="JHT3"/>
      <c r="JHU3"/>
      <c r="JHV3"/>
      <c r="JHW3"/>
      <c r="JHX3"/>
      <c r="JHY3"/>
      <c r="JHZ3"/>
      <c r="JIA3"/>
      <c r="JIB3"/>
      <c r="JIC3"/>
      <c r="JID3"/>
      <c r="JIE3"/>
      <c r="JIF3"/>
      <c r="JIG3"/>
      <c r="JIH3"/>
      <c r="JII3"/>
      <c r="JIJ3"/>
      <c r="JIK3"/>
      <c r="JIL3"/>
      <c r="JIM3"/>
      <c r="JIN3"/>
      <c r="JIO3"/>
      <c r="JIP3"/>
      <c r="JIQ3"/>
      <c r="JIR3"/>
      <c r="JIS3"/>
      <c r="JIT3"/>
      <c r="JIU3"/>
      <c r="JIV3"/>
      <c r="JIW3"/>
      <c r="JIX3"/>
      <c r="JIY3"/>
      <c r="JIZ3"/>
      <c r="JJA3"/>
      <c r="JJB3"/>
      <c r="JJC3"/>
      <c r="JJD3"/>
      <c r="JJE3"/>
      <c r="JJF3"/>
      <c r="JJG3"/>
      <c r="JJH3"/>
      <c r="JJI3"/>
      <c r="JJJ3"/>
      <c r="JJK3"/>
      <c r="JJL3"/>
      <c r="JJM3"/>
      <c r="JJN3"/>
      <c r="JJO3"/>
      <c r="JJP3"/>
      <c r="JJQ3"/>
      <c r="JJR3"/>
      <c r="JJS3"/>
      <c r="JJT3"/>
      <c r="JJU3"/>
      <c r="JJV3"/>
      <c r="JJW3"/>
      <c r="JJX3"/>
      <c r="JJY3"/>
      <c r="JJZ3"/>
      <c r="JKA3"/>
      <c r="JKB3"/>
      <c r="JKC3"/>
      <c r="JKD3"/>
      <c r="JKE3"/>
      <c r="JKF3"/>
      <c r="JKG3"/>
      <c r="JKH3"/>
      <c r="JKI3"/>
      <c r="JKJ3"/>
      <c r="JKK3"/>
      <c r="JKL3"/>
      <c r="JKM3"/>
      <c r="JKN3"/>
      <c r="JKO3"/>
      <c r="JKP3"/>
      <c r="JKQ3"/>
      <c r="JKR3"/>
      <c r="JKS3"/>
      <c r="JKT3"/>
      <c r="JKU3"/>
      <c r="JKV3"/>
      <c r="JKW3"/>
      <c r="JKX3"/>
      <c r="JKY3"/>
      <c r="JKZ3"/>
      <c r="JLA3"/>
      <c r="JLB3"/>
      <c r="JLC3"/>
      <c r="JLD3"/>
      <c r="JLE3"/>
      <c r="JLF3"/>
      <c r="JLG3"/>
      <c r="JLH3"/>
      <c r="JLI3"/>
      <c r="JLJ3"/>
      <c r="JLK3"/>
      <c r="JLL3"/>
      <c r="JLM3"/>
      <c r="JLN3"/>
      <c r="JLO3"/>
      <c r="JLP3"/>
      <c r="JLQ3"/>
      <c r="JLR3"/>
      <c r="JLS3"/>
      <c r="JLT3"/>
      <c r="JLU3"/>
      <c r="JLV3"/>
      <c r="JLW3"/>
      <c r="JLX3"/>
      <c r="JLY3"/>
      <c r="JLZ3"/>
      <c r="JMA3"/>
      <c r="JMB3"/>
      <c r="JMC3"/>
      <c r="JMD3"/>
      <c r="JME3"/>
      <c r="JMF3"/>
      <c r="JMG3"/>
      <c r="JMH3"/>
      <c r="JMI3"/>
      <c r="JMJ3"/>
      <c r="JMK3"/>
      <c r="JML3"/>
      <c r="JMM3"/>
      <c r="JMN3"/>
      <c r="JMO3"/>
      <c r="JMP3"/>
      <c r="JMQ3"/>
      <c r="JMR3"/>
      <c r="JMS3"/>
      <c r="JMT3"/>
      <c r="JMU3"/>
      <c r="JMV3"/>
      <c r="JMW3"/>
      <c r="JMX3"/>
      <c r="JMY3"/>
      <c r="JMZ3"/>
      <c r="JNA3"/>
      <c r="JNB3"/>
      <c r="JNC3"/>
      <c r="JND3"/>
      <c r="JNE3"/>
      <c r="JNF3"/>
      <c r="JNG3"/>
      <c r="JNH3"/>
      <c r="JNI3"/>
      <c r="JNJ3"/>
      <c r="JNK3"/>
      <c r="JNL3"/>
      <c r="JNM3"/>
      <c r="JNN3"/>
      <c r="JNO3"/>
      <c r="JNP3"/>
      <c r="JNQ3"/>
      <c r="JNR3"/>
      <c r="JNS3"/>
      <c r="JNT3"/>
      <c r="JNU3"/>
      <c r="JNV3"/>
      <c r="JNW3"/>
      <c r="JNX3"/>
      <c r="JNY3"/>
      <c r="JNZ3"/>
      <c r="JOA3"/>
      <c r="JOB3"/>
      <c r="JOC3"/>
      <c r="JOD3"/>
      <c r="JOE3"/>
      <c r="JOF3"/>
      <c r="JOG3"/>
      <c r="JOH3"/>
      <c r="JOI3"/>
      <c r="JOJ3"/>
      <c r="JOK3"/>
      <c r="JOL3"/>
      <c r="JOM3"/>
      <c r="JON3"/>
      <c r="JOO3"/>
      <c r="JOP3"/>
      <c r="JOQ3"/>
      <c r="JOR3"/>
      <c r="JOS3"/>
      <c r="JOT3"/>
      <c r="JOU3"/>
      <c r="JOV3"/>
      <c r="JOW3"/>
      <c r="JOX3"/>
      <c r="JOY3"/>
      <c r="JOZ3"/>
      <c r="JPA3"/>
      <c r="JPB3"/>
      <c r="JPC3"/>
      <c r="JPD3"/>
      <c r="JPE3"/>
      <c r="JPF3"/>
      <c r="JPG3"/>
      <c r="JPH3"/>
      <c r="JPI3"/>
      <c r="JPJ3"/>
      <c r="JPK3"/>
      <c r="JPL3"/>
      <c r="JPM3"/>
      <c r="JPN3"/>
      <c r="JPO3"/>
      <c r="JPP3"/>
      <c r="JPQ3"/>
      <c r="JPR3"/>
      <c r="JPS3"/>
      <c r="JPT3"/>
      <c r="JPU3"/>
      <c r="JPV3"/>
      <c r="JPW3"/>
      <c r="JPX3"/>
      <c r="JPY3"/>
      <c r="JPZ3"/>
      <c r="JQA3"/>
      <c r="JQB3"/>
      <c r="JQC3"/>
      <c r="JQD3"/>
      <c r="JQE3"/>
      <c r="JQF3"/>
      <c r="JQG3"/>
      <c r="JQH3"/>
      <c r="JQI3"/>
      <c r="JQJ3"/>
      <c r="JQK3"/>
      <c r="JQL3"/>
      <c r="JQM3"/>
      <c r="JQN3"/>
      <c r="JQO3"/>
      <c r="JQP3"/>
      <c r="JQQ3"/>
      <c r="JQR3"/>
      <c r="JQS3"/>
      <c r="JQT3"/>
      <c r="JQU3"/>
      <c r="JQV3"/>
      <c r="JQW3"/>
      <c r="JQX3"/>
      <c r="JQY3"/>
      <c r="JQZ3"/>
      <c r="JRA3"/>
      <c r="JRB3"/>
      <c r="JRC3"/>
      <c r="JRD3"/>
      <c r="JRE3"/>
      <c r="JRF3"/>
      <c r="JRG3"/>
      <c r="JRH3"/>
      <c r="JRI3"/>
      <c r="JRJ3"/>
      <c r="JRK3"/>
      <c r="JRL3"/>
      <c r="JRM3"/>
      <c r="JRN3"/>
      <c r="JRO3"/>
      <c r="JRP3"/>
      <c r="JRQ3"/>
      <c r="JRR3"/>
      <c r="JRS3"/>
      <c r="JRT3"/>
      <c r="JRU3"/>
      <c r="JRV3"/>
      <c r="JRW3"/>
      <c r="JRX3"/>
      <c r="JRY3"/>
      <c r="JRZ3"/>
      <c r="JSA3"/>
      <c r="JSB3"/>
      <c r="JSC3"/>
      <c r="JSD3"/>
      <c r="JSE3"/>
      <c r="JSF3"/>
      <c r="JSG3"/>
      <c r="JSH3"/>
      <c r="JSI3"/>
      <c r="JSJ3"/>
      <c r="JSK3"/>
      <c r="JSL3"/>
      <c r="JSM3"/>
      <c r="JSN3"/>
      <c r="JSO3"/>
      <c r="JSP3"/>
      <c r="JSQ3"/>
      <c r="JSR3"/>
      <c r="JSS3"/>
      <c r="JST3"/>
      <c r="JSU3"/>
      <c r="JSV3"/>
      <c r="JSW3"/>
      <c r="JSX3"/>
      <c r="JSY3"/>
      <c r="JSZ3"/>
      <c r="JTA3"/>
      <c r="JTB3"/>
      <c r="JTC3"/>
      <c r="JTD3"/>
      <c r="JTE3"/>
      <c r="JTF3"/>
      <c r="JTG3"/>
      <c r="JTH3"/>
      <c r="JTI3"/>
      <c r="JTJ3"/>
      <c r="JTK3"/>
      <c r="JTL3"/>
      <c r="JTM3"/>
      <c r="JTN3"/>
      <c r="JTO3"/>
      <c r="JTP3"/>
      <c r="JTQ3"/>
      <c r="JTR3"/>
      <c r="JTS3"/>
      <c r="JTT3"/>
      <c r="JTU3"/>
      <c r="JTV3"/>
      <c r="JTW3"/>
      <c r="JTX3"/>
      <c r="JTY3"/>
      <c r="JTZ3"/>
      <c r="JUA3"/>
      <c r="JUB3"/>
      <c r="JUC3"/>
      <c r="JUD3"/>
      <c r="JUE3"/>
      <c r="JUF3"/>
      <c r="JUG3"/>
      <c r="JUH3"/>
      <c r="JUI3"/>
      <c r="JUJ3"/>
      <c r="JUK3"/>
      <c r="JUL3"/>
      <c r="JUM3"/>
      <c r="JUN3"/>
      <c r="JUO3"/>
      <c r="JUP3"/>
      <c r="JUQ3"/>
      <c r="JUR3"/>
      <c r="JUS3"/>
      <c r="JUT3"/>
      <c r="JUU3"/>
      <c r="JUV3"/>
      <c r="JUW3"/>
      <c r="JUX3"/>
      <c r="JUY3"/>
      <c r="JUZ3"/>
      <c r="JVA3"/>
      <c r="JVB3"/>
      <c r="JVC3"/>
      <c r="JVD3"/>
      <c r="JVE3"/>
      <c r="JVF3"/>
      <c r="JVG3"/>
      <c r="JVH3"/>
      <c r="JVI3"/>
      <c r="JVJ3"/>
      <c r="JVK3"/>
      <c r="JVL3"/>
      <c r="JVM3"/>
      <c r="JVN3"/>
      <c r="JVO3"/>
      <c r="JVP3"/>
      <c r="JVQ3"/>
      <c r="JVR3"/>
      <c r="JVS3"/>
      <c r="JVT3"/>
      <c r="JVU3"/>
      <c r="JVV3"/>
      <c r="JVW3"/>
      <c r="JVX3"/>
      <c r="JVY3"/>
      <c r="JVZ3"/>
      <c r="JWA3"/>
      <c r="JWB3"/>
      <c r="JWC3"/>
      <c r="JWD3"/>
      <c r="JWE3"/>
      <c r="JWF3"/>
      <c r="JWG3"/>
      <c r="JWH3"/>
      <c r="JWI3"/>
      <c r="JWJ3"/>
      <c r="JWK3"/>
      <c r="JWL3"/>
      <c r="JWM3"/>
      <c r="JWN3"/>
      <c r="JWO3"/>
      <c r="JWP3"/>
      <c r="JWQ3"/>
      <c r="JWR3"/>
      <c r="JWS3"/>
      <c r="JWT3"/>
      <c r="JWU3"/>
      <c r="JWV3"/>
      <c r="JWW3"/>
      <c r="JWX3"/>
      <c r="JWY3"/>
      <c r="JWZ3"/>
      <c r="JXA3"/>
      <c r="JXB3"/>
      <c r="JXC3"/>
      <c r="JXD3"/>
      <c r="JXE3"/>
      <c r="JXF3"/>
      <c r="JXG3"/>
      <c r="JXH3"/>
      <c r="JXI3"/>
      <c r="JXJ3"/>
      <c r="JXK3"/>
      <c r="JXL3"/>
      <c r="JXM3"/>
      <c r="JXN3"/>
      <c r="JXO3"/>
      <c r="JXP3"/>
      <c r="JXQ3"/>
      <c r="JXR3"/>
      <c r="JXS3"/>
      <c r="JXT3"/>
      <c r="JXU3"/>
      <c r="JXV3"/>
      <c r="JXW3"/>
      <c r="JXX3"/>
      <c r="JXY3"/>
      <c r="JXZ3"/>
      <c r="JYA3"/>
      <c r="JYB3"/>
      <c r="JYC3"/>
      <c r="JYD3"/>
      <c r="JYE3"/>
      <c r="JYF3"/>
      <c r="JYG3"/>
      <c r="JYH3"/>
      <c r="JYI3"/>
      <c r="JYJ3"/>
      <c r="JYK3"/>
      <c r="JYL3"/>
      <c r="JYM3"/>
      <c r="JYN3"/>
      <c r="JYO3"/>
      <c r="JYP3"/>
      <c r="JYQ3"/>
      <c r="JYR3"/>
      <c r="JYS3"/>
      <c r="JYT3"/>
      <c r="JYU3"/>
      <c r="JYV3"/>
      <c r="JYW3"/>
      <c r="JYX3"/>
      <c r="JYY3"/>
      <c r="JYZ3"/>
      <c r="JZA3"/>
      <c r="JZB3"/>
      <c r="JZC3"/>
      <c r="JZD3"/>
      <c r="JZE3"/>
      <c r="JZF3"/>
      <c r="JZG3"/>
      <c r="JZH3"/>
      <c r="JZI3"/>
      <c r="JZJ3"/>
      <c r="JZK3"/>
      <c r="JZL3"/>
      <c r="JZM3"/>
      <c r="JZN3"/>
      <c r="JZO3"/>
      <c r="JZP3"/>
      <c r="JZQ3"/>
      <c r="JZR3"/>
      <c r="JZS3"/>
      <c r="JZT3"/>
      <c r="JZU3"/>
      <c r="JZV3"/>
      <c r="JZW3"/>
      <c r="JZX3"/>
      <c r="JZY3"/>
      <c r="JZZ3"/>
      <c r="KAA3"/>
      <c r="KAB3"/>
      <c r="KAC3"/>
      <c r="KAD3"/>
      <c r="KAE3"/>
      <c r="KAF3"/>
      <c r="KAG3"/>
      <c r="KAH3"/>
      <c r="KAI3"/>
      <c r="KAJ3"/>
      <c r="KAK3"/>
      <c r="KAL3"/>
      <c r="KAM3"/>
      <c r="KAN3"/>
      <c r="KAO3"/>
      <c r="KAP3"/>
      <c r="KAQ3"/>
      <c r="KAR3"/>
      <c r="KAS3"/>
      <c r="KAT3"/>
      <c r="KAU3"/>
      <c r="KAV3"/>
      <c r="KAW3"/>
      <c r="KAX3"/>
      <c r="KAY3"/>
      <c r="KAZ3"/>
      <c r="KBA3"/>
      <c r="KBB3"/>
      <c r="KBC3"/>
      <c r="KBD3"/>
      <c r="KBE3"/>
      <c r="KBF3"/>
      <c r="KBG3"/>
      <c r="KBH3"/>
      <c r="KBI3"/>
      <c r="KBJ3"/>
      <c r="KBK3"/>
      <c r="KBL3"/>
      <c r="KBM3"/>
      <c r="KBN3"/>
      <c r="KBO3"/>
      <c r="KBP3"/>
      <c r="KBQ3"/>
      <c r="KBR3"/>
      <c r="KBS3"/>
      <c r="KBT3"/>
      <c r="KBU3"/>
      <c r="KBV3"/>
      <c r="KBW3"/>
      <c r="KBX3"/>
      <c r="KBY3"/>
      <c r="KBZ3"/>
      <c r="KCA3"/>
      <c r="KCB3"/>
      <c r="KCC3"/>
      <c r="KCD3"/>
      <c r="KCE3"/>
      <c r="KCF3"/>
      <c r="KCG3"/>
      <c r="KCH3"/>
      <c r="KCI3"/>
      <c r="KCJ3"/>
      <c r="KCK3"/>
      <c r="KCL3"/>
      <c r="KCM3"/>
      <c r="KCN3"/>
      <c r="KCO3"/>
      <c r="KCP3"/>
      <c r="KCQ3"/>
      <c r="KCR3"/>
      <c r="KCS3"/>
      <c r="KCT3"/>
      <c r="KCU3"/>
      <c r="KCV3"/>
      <c r="KCW3"/>
      <c r="KCX3"/>
      <c r="KCY3"/>
      <c r="KCZ3"/>
      <c r="KDA3"/>
      <c r="KDB3"/>
      <c r="KDC3"/>
      <c r="KDD3"/>
      <c r="KDE3"/>
      <c r="KDF3"/>
      <c r="KDG3"/>
      <c r="KDH3"/>
      <c r="KDI3"/>
      <c r="KDJ3"/>
      <c r="KDK3"/>
      <c r="KDL3"/>
      <c r="KDM3"/>
      <c r="KDN3"/>
      <c r="KDO3"/>
      <c r="KDP3"/>
      <c r="KDQ3"/>
      <c r="KDR3"/>
      <c r="KDS3"/>
      <c r="KDT3"/>
      <c r="KDU3"/>
      <c r="KDV3"/>
      <c r="KDW3"/>
      <c r="KDX3"/>
      <c r="KDY3"/>
      <c r="KDZ3"/>
      <c r="KEA3"/>
      <c r="KEB3"/>
      <c r="KEC3"/>
      <c r="KED3"/>
      <c r="KEE3"/>
      <c r="KEF3"/>
      <c r="KEG3"/>
      <c r="KEH3"/>
      <c r="KEI3"/>
      <c r="KEJ3"/>
      <c r="KEK3"/>
      <c r="KEL3"/>
      <c r="KEM3"/>
      <c r="KEN3"/>
      <c r="KEO3"/>
      <c r="KEP3"/>
      <c r="KEQ3"/>
      <c r="KER3"/>
      <c r="KES3"/>
      <c r="KET3"/>
      <c r="KEU3"/>
      <c r="KEV3"/>
      <c r="KEW3"/>
      <c r="KEX3"/>
      <c r="KEY3"/>
      <c r="KEZ3"/>
      <c r="KFA3"/>
      <c r="KFB3"/>
      <c r="KFC3"/>
      <c r="KFD3"/>
      <c r="KFE3"/>
      <c r="KFF3"/>
      <c r="KFG3"/>
      <c r="KFH3"/>
      <c r="KFI3"/>
      <c r="KFJ3"/>
      <c r="KFK3"/>
      <c r="KFL3"/>
      <c r="KFM3"/>
      <c r="KFN3"/>
      <c r="KFO3"/>
      <c r="KFP3"/>
      <c r="KFQ3"/>
      <c r="KFR3"/>
      <c r="KFS3"/>
      <c r="KFT3"/>
      <c r="KFU3"/>
      <c r="KFV3"/>
      <c r="KFW3"/>
      <c r="KFX3"/>
      <c r="KFY3"/>
      <c r="KFZ3"/>
      <c r="KGA3"/>
      <c r="KGB3"/>
      <c r="KGC3"/>
      <c r="KGD3"/>
      <c r="KGE3"/>
      <c r="KGF3"/>
      <c r="KGG3"/>
      <c r="KGH3"/>
      <c r="KGI3"/>
      <c r="KGJ3"/>
      <c r="KGK3"/>
      <c r="KGL3"/>
      <c r="KGM3"/>
      <c r="KGN3"/>
      <c r="KGO3"/>
      <c r="KGP3"/>
      <c r="KGQ3"/>
      <c r="KGR3"/>
      <c r="KGS3"/>
      <c r="KGT3"/>
      <c r="KGU3"/>
      <c r="KGV3"/>
      <c r="KGW3"/>
      <c r="KGX3"/>
      <c r="KGY3"/>
      <c r="KGZ3"/>
      <c r="KHA3"/>
      <c r="KHB3"/>
      <c r="KHC3"/>
      <c r="KHD3"/>
      <c r="KHE3"/>
      <c r="KHF3"/>
      <c r="KHG3"/>
      <c r="KHH3"/>
      <c r="KHI3"/>
      <c r="KHJ3"/>
      <c r="KHK3"/>
      <c r="KHL3"/>
      <c r="KHM3"/>
      <c r="KHN3"/>
      <c r="KHO3"/>
      <c r="KHP3"/>
      <c r="KHQ3"/>
      <c r="KHR3"/>
      <c r="KHS3"/>
      <c r="KHT3"/>
      <c r="KHU3"/>
      <c r="KHV3"/>
      <c r="KHW3"/>
      <c r="KHX3"/>
      <c r="KHY3"/>
      <c r="KHZ3"/>
      <c r="KIA3"/>
      <c r="KIB3"/>
      <c r="KIC3"/>
      <c r="KID3"/>
      <c r="KIE3"/>
      <c r="KIF3"/>
      <c r="KIG3"/>
      <c r="KIH3"/>
      <c r="KII3"/>
      <c r="KIJ3"/>
      <c r="KIK3"/>
      <c r="KIL3"/>
      <c r="KIM3"/>
      <c r="KIN3"/>
      <c r="KIO3"/>
      <c r="KIP3"/>
      <c r="KIQ3"/>
      <c r="KIR3"/>
      <c r="KIS3"/>
      <c r="KIT3"/>
      <c r="KIU3"/>
      <c r="KIV3"/>
      <c r="KIW3"/>
      <c r="KIX3"/>
      <c r="KIY3"/>
      <c r="KIZ3"/>
      <c r="KJA3"/>
      <c r="KJB3"/>
      <c r="KJC3"/>
      <c r="KJD3"/>
      <c r="KJE3"/>
      <c r="KJF3"/>
      <c r="KJG3"/>
      <c r="KJH3"/>
      <c r="KJI3"/>
      <c r="KJJ3"/>
      <c r="KJK3"/>
      <c r="KJL3"/>
      <c r="KJM3"/>
      <c r="KJN3"/>
      <c r="KJO3"/>
      <c r="KJP3"/>
      <c r="KJQ3"/>
      <c r="KJR3"/>
      <c r="KJS3"/>
      <c r="KJT3"/>
      <c r="KJU3"/>
      <c r="KJV3"/>
      <c r="KJW3"/>
      <c r="KJX3"/>
      <c r="KJY3"/>
      <c r="KJZ3"/>
      <c r="KKA3"/>
      <c r="KKB3"/>
      <c r="KKC3"/>
      <c r="KKD3"/>
      <c r="KKE3"/>
      <c r="KKF3"/>
      <c r="KKG3"/>
      <c r="KKH3"/>
      <c r="KKI3"/>
      <c r="KKJ3"/>
      <c r="KKK3"/>
      <c r="KKL3"/>
      <c r="KKM3"/>
      <c r="KKN3"/>
      <c r="KKO3"/>
      <c r="KKP3"/>
      <c r="KKQ3"/>
      <c r="KKR3"/>
      <c r="KKS3"/>
      <c r="KKT3"/>
      <c r="KKU3"/>
      <c r="KKV3"/>
      <c r="KKW3"/>
      <c r="KKX3"/>
      <c r="KKY3"/>
      <c r="KKZ3"/>
      <c r="KLA3"/>
      <c r="KLB3"/>
      <c r="KLC3"/>
      <c r="KLD3"/>
      <c r="KLE3"/>
      <c r="KLF3"/>
      <c r="KLG3"/>
      <c r="KLH3"/>
      <c r="KLI3"/>
      <c r="KLJ3"/>
      <c r="KLK3"/>
      <c r="KLL3"/>
      <c r="KLM3"/>
      <c r="KLN3"/>
      <c r="KLO3"/>
      <c r="KLP3"/>
      <c r="KLQ3"/>
      <c r="KLR3"/>
      <c r="KLS3"/>
      <c r="KLT3"/>
      <c r="KLU3"/>
      <c r="KLV3"/>
      <c r="KLW3"/>
      <c r="KLX3"/>
      <c r="KLY3"/>
      <c r="KLZ3"/>
      <c r="KMA3"/>
      <c r="KMB3"/>
      <c r="KMC3"/>
      <c r="KMD3"/>
      <c r="KME3"/>
      <c r="KMF3"/>
      <c r="KMG3"/>
      <c r="KMH3"/>
      <c r="KMI3"/>
      <c r="KMJ3"/>
      <c r="KMK3"/>
      <c r="KML3"/>
      <c r="KMM3"/>
      <c r="KMN3"/>
      <c r="KMO3"/>
      <c r="KMP3"/>
      <c r="KMQ3"/>
      <c r="KMR3"/>
      <c r="KMS3"/>
      <c r="KMT3"/>
      <c r="KMU3"/>
      <c r="KMV3"/>
      <c r="KMW3"/>
      <c r="KMX3"/>
      <c r="KMY3"/>
      <c r="KMZ3"/>
      <c r="KNA3"/>
      <c r="KNB3"/>
      <c r="KNC3"/>
      <c r="KND3"/>
      <c r="KNE3"/>
      <c r="KNF3"/>
      <c r="KNG3"/>
      <c r="KNH3"/>
      <c r="KNI3"/>
      <c r="KNJ3"/>
      <c r="KNK3"/>
      <c r="KNL3"/>
      <c r="KNM3"/>
      <c r="KNN3"/>
      <c r="KNO3"/>
      <c r="KNP3"/>
      <c r="KNQ3"/>
      <c r="KNR3"/>
      <c r="KNS3"/>
      <c r="KNT3"/>
      <c r="KNU3"/>
      <c r="KNV3"/>
      <c r="KNW3"/>
      <c r="KNX3"/>
      <c r="KNY3"/>
      <c r="KNZ3"/>
      <c r="KOA3"/>
      <c r="KOB3"/>
      <c r="KOC3"/>
      <c r="KOD3"/>
      <c r="KOE3"/>
      <c r="KOF3"/>
      <c r="KOG3"/>
      <c r="KOH3"/>
      <c r="KOI3"/>
      <c r="KOJ3"/>
      <c r="KOK3"/>
      <c r="KOL3"/>
      <c r="KOM3"/>
      <c r="KON3"/>
      <c r="KOO3"/>
      <c r="KOP3"/>
      <c r="KOQ3"/>
      <c r="KOR3"/>
      <c r="KOS3"/>
      <c r="KOT3"/>
      <c r="KOU3"/>
      <c r="KOV3"/>
      <c r="KOW3"/>
      <c r="KOX3"/>
      <c r="KOY3"/>
      <c r="KOZ3"/>
      <c r="KPA3"/>
      <c r="KPB3"/>
      <c r="KPC3"/>
      <c r="KPD3"/>
      <c r="KPE3"/>
      <c r="KPF3"/>
      <c r="KPG3"/>
      <c r="KPH3"/>
      <c r="KPI3"/>
      <c r="KPJ3"/>
      <c r="KPK3"/>
      <c r="KPL3"/>
      <c r="KPM3"/>
      <c r="KPN3"/>
      <c r="KPO3"/>
      <c r="KPP3"/>
      <c r="KPQ3"/>
      <c r="KPR3"/>
      <c r="KPS3"/>
      <c r="KPT3"/>
      <c r="KPU3"/>
      <c r="KPV3"/>
      <c r="KPW3"/>
      <c r="KPX3"/>
      <c r="KPY3"/>
      <c r="KPZ3"/>
      <c r="KQA3"/>
      <c r="KQB3"/>
      <c r="KQC3"/>
      <c r="KQD3"/>
      <c r="KQE3"/>
      <c r="KQF3"/>
      <c r="KQG3"/>
      <c r="KQH3"/>
      <c r="KQI3"/>
      <c r="KQJ3"/>
      <c r="KQK3"/>
      <c r="KQL3"/>
      <c r="KQM3"/>
      <c r="KQN3"/>
      <c r="KQO3"/>
      <c r="KQP3"/>
      <c r="KQQ3"/>
      <c r="KQR3"/>
      <c r="KQS3"/>
      <c r="KQT3"/>
      <c r="KQU3"/>
      <c r="KQV3"/>
      <c r="KQW3"/>
      <c r="KQX3"/>
      <c r="KQY3"/>
      <c r="KQZ3"/>
      <c r="KRA3"/>
      <c r="KRB3"/>
      <c r="KRC3"/>
      <c r="KRD3"/>
      <c r="KRE3"/>
      <c r="KRF3"/>
      <c r="KRG3"/>
      <c r="KRH3"/>
      <c r="KRI3"/>
      <c r="KRJ3"/>
      <c r="KRK3"/>
      <c r="KRL3"/>
      <c r="KRM3"/>
      <c r="KRN3"/>
      <c r="KRO3"/>
      <c r="KRP3"/>
      <c r="KRQ3"/>
      <c r="KRR3"/>
      <c r="KRS3"/>
      <c r="KRT3"/>
      <c r="KRU3"/>
      <c r="KRV3"/>
      <c r="KRW3"/>
      <c r="KRX3"/>
      <c r="KRY3"/>
      <c r="KRZ3"/>
      <c r="KSA3"/>
      <c r="KSB3"/>
      <c r="KSC3"/>
      <c r="KSD3"/>
      <c r="KSE3"/>
      <c r="KSF3"/>
      <c r="KSG3"/>
      <c r="KSH3"/>
      <c r="KSI3"/>
      <c r="KSJ3"/>
      <c r="KSK3"/>
      <c r="KSL3"/>
      <c r="KSM3"/>
      <c r="KSN3"/>
      <c r="KSO3"/>
      <c r="KSP3"/>
      <c r="KSQ3"/>
      <c r="KSR3"/>
      <c r="KSS3"/>
      <c r="KST3"/>
      <c r="KSU3"/>
      <c r="KSV3"/>
      <c r="KSW3"/>
      <c r="KSX3"/>
      <c r="KSY3"/>
      <c r="KSZ3"/>
      <c r="KTA3"/>
      <c r="KTB3"/>
      <c r="KTC3"/>
      <c r="KTD3"/>
      <c r="KTE3"/>
      <c r="KTF3"/>
      <c r="KTG3"/>
      <c r="KTH3"/>
      <c r="KTI3"/>
      <c r="KTJ3"/>
      <c r="KTK3"/>
      <c r="KTL3"/>
      <c r="KTM3"/>
      <c r="KTN3"/>
      <c r="KTO3"/>
      <c r="KTP3"/>
      <c r="KTQ3"/>
      <c r="KTR3"/>
      <c r="KTS3"/>
      <c r="KTT3"/>
      <c r="KTU3"/>
      <c r="KTV3"/>
      <c r="KTW3"/>
      <c r="KTX3"/>
      <c r="KTY3"/>
      <c r="KTZ3"/>
      <c r="KUA3"/>
      <c r="KUB3"/>
      <c r="KUC3"/>
      <c r="KUD3"/>
      <c r="KUE3"/>
      <c r="KUF3"/>
      <c r="KUG3"/>
      <c r="KUH3"/>
      <c r="KUI3"/>
      <c r="KUJ3"/>
      <c r="KUK3"/>
      <c r="KUL3"/>
      <c r="KUM3"/>
      <c r="KUN3"/>
      <c r="KUO3"/>
      <c r="KUP3"/>
      <c r="KUQ3"/>
      <c r="KUR3"/>
      <c r="KUS3"/>
      <c r="KUT3"/>
      <c r="KUU3"/>
      <c r="KUV3"/>
      <c r="KUW3"/>
      <c r="KUX3"/>
      <c r="KUY3"/>
      <c r="KUZ3"/>
      <c r="KVA3"/>
      <c r="KVB3"/>
      <c r="KVC3"/>
      <c r="KVD3"/>
      <c r="KVE3"/>
      <c r="KVF3"/>
      <c r="KVG3"/>
      <c r="KVH3"/>
      <c r="KVI3"/>
      <c r="KVJ3"/>
      <c r="KVK3"/>
      <c r="KVL3"/>
      <c r="KVM3"/>
      <c r="KVN3"/>
      <c r="KVO3"/>
      <c r="KVP3"/>
      <c r="KVQ3"/>
      <c r="KVR3"/>
      <c r="KVS3"/>
      <c r="KVT3"/>
      <c r="KVU3"/>
      <c r="KVV3"/>
      <c r="KVW3"/>
      <c r="KVX3"/>
      <c r="KVY3"/>
      <c r="KVZ3"/>
      <c r="KWA3"/>
      <c r="KWB3"/>
      <c r="KWC3"/>
      <c r="KWD3"/>
      <c r="KWE3"/>
      <c r="KWF3"/>
      <c r="KWG3"/>
      <c r="KWH3"/>
      <c r="KWI3"/>
      <c r="KWJ3"/>
      <c r="KWK3"/>
      <c r="KWL3"/>
      <c r="KWM3"/>
      <c r="KWN3"/>
      <c r="KWO3"/>
      <c r="KWP3"/>
      <c r="KWQ3"/>
      <c r="KWR3"/>
      <c r="KWS3"/>
      <c r="KWT3"/>
      <c r="KWU3"/>
      <c r="KWV3"/>
      <c r="KWW3"/>
      <c r="KWX3"/>
      <c r="KWY3"/>
      <c r="KWZ3"/>
      <c r="KXA3"/>
      <c r="KXB3"/>
      <c r="KXC3"/>
      <c r="KXD3"/>
      <c r="KXE3"/>
      <c r="KXF3"/>
      <c r="KXG3"/>
      <c r="KXH3"/>
      <c r="KXI3"/>
      <c r="KXJ3"/>
      <c r="KXK3"/>
      <c r="KXL3"/>
      <c r="KXM3"/>
      <c r="KXN3"/>
      <c r="KXO3"/>
      <c r="KXP3"/>
      <c r="KXQ3"/>
      <c r="KXR3"/>
      <c r="KXS3"/>
      <c r="KXT3"/>
      <c r="KXU3"/>
      <c r="KXV3"/>
      <c r="KXW3"/>
      <c r="KXX3"/>
      <c r="KXY3"/>
      <c r="KXZ3"/>
      <c r="KYA3"/>
      <c r="KYB3"/>
      <c r="KYC3"/>
      <c r="KYD3"/>
      <c r="KYE3"/>
      <c r="KYF3"/>
      <c r="KYG3"/>
      <c r="KYH3"/>
      <c r="KYI3"/>
      <c r="KYJ3"/>
      <c r="KYK3"/>
      <c r="KYL3"/>
      <c r="KYM3"/>
      <c r="KYN3"/>
      <c r="KYO3"/>
      <c r="KYP3"/>
      <c r="KYQ3"/>
      <c r="KYR3"/>
      <c r="KYS3"/>
      <c r="KYT3"/>
      <c r="KYU3"/>
      <c r="KYV3"/>
      <c r="KYW3"/>
      <c r="KYX3"/>
      <c r="KYY3"/>
      <c r="KYZ3"/>
      <c r="KZA3"/>
      <c r="KZB3"/>
      <c r="KZC3"/>
      <c r="KZD3"/>
      <c r="KZE3"/>
      <c r="KZF3"/>
      <c r="KZG3"/>
      <c r="KZH3"/>
      <c r="KZI3"/>
      <c r="KZJ3"/>
      <c r="KZK3"/>
      <c r="KZL3"/>
      <c r="KZM3"/>
      <c r="KZN3"/>
      <c r="KZO3"/>
      <c r="KZP3"/>
      <c r="KZQ3"/>
      <c r="KZR3"/>
      <c r="KZS3"/>
      <c r="KZT3"/>
      <c r="KZU3"/>
      <c r="KZV3"/>
      <c r="KZW3"/>
      <c r="KZX3"/>
      <c r="KZY3"/>
      <c r="KZZ3"/>
      <c r="LAA3"/>
      <c r="LAB3"/>
      <c r="LAC3"/>
      <c r="LAD3"/>
      <c r="LAE3"/>
      <c r="LAF3"/>
      <c r="LAG3"/>
      <c r="LAH3"/>
      <c r="LAI3"/>
      <c r="LAJ3"/>
      <c r="LAK3"/>
      <c r="LAL3"/>
      <c r="LAM3"/>
      <c r="LAN3"/>
      <c r="LAO3"/>
      <c r="LAP3"/>
      <c r="LAQ3"/>
      <c r="LAR3"/>
      <c r="LAS3"/>
      <c r="LAT3"/>
      <c r="LAU3"/>
      <c r="LAV3"/>
      <c r="LAW3"/>
      <c r="LAX3"/>
      <c r="LAY3"/>
      <c r="LAZ3"/>
      <c r="LBA3"/>
      <c r="LBB3"/>
      <c r="LBC3"/>
      <c r="LBD3"/>
      <c r="LBE3"/>
      <c r="LBF3"/>
      <c r="LBG3"/>
      <c r="LBH3"/>
      <c r="LBI3"/>
      <c r="LBJ3"/>
      <c r="LBK3"/>
      <c r="LBL3"/>
      <c r="LBM3"/>
      <c r="LBN3"/>
      <c r="LBO3"/>
      <c r="LBP3"/>
      <c r="LBQ3"/>
      <c r="LBR3"/>
      <c r="LBS3"/>
      <c r="LBT3"/>
      <c r="LBU3"/>
      <c r="LBV3"/>
      <c r="LBW3"/>
      <c r="LBX3"/>
      <c r="LBY3"/>
      <c r="LBZ3"/>
      <c r="LCA3"/>
      <c r="LCB3"/>
      <c r="LCC3"/>
      <c r="LCD3"/>
      <c r="LCE3"/>
      <c r="LCF3"/>
      <c r="LCG3"/>
      <c r="LCH3"/>
      <c r="LCI3"/>
      <c r="LCJ3"/>
      <c r="LCK3"/>
      <c r="LCL3"/>
      <c r="LCM3"/>
      <c r="LCN3"/>
      <c r="LCO3"/>
      <c r="LCP3"/>
      <c r="LCQ3"/>
      <c r="LCR3"/>
      <c r="LCS3"/>
      <c r="LCT3"/>
      <c r="LCU3"/>
      <c r="LCV3"/>
      <c r="LCW3"/>
      <c r="LCX3"/>
      <c r="LCY3"/>
      <c r="LCZ3"/>
      <c r="LDA3"/>
      <c r="LDB3"/>
      <c r="LDC3"/>
      <c r="LDD3"/>
      <c r="LDE3"/>
      <c r="LDF3"/>
      <c r="LDG3"/>
      <c r="LDH3"/>
      <c r="LDI3"/>
      <c r="LDJ3"/>
      <c r="LDK3"/>
      <c r="LDL3"/>
      <c r="LDM3"/>
      <c r="LDN3"/>
      <c r="LDO3"/>
      <c r="LDP3"/>
      <c r="LDQ3"/>
      <c r="LDR3"/>
      <c r="LDS3"/>
      <c r="LDT3"/>
      <c r="LDU3"/>
      <c r="LDV3"/>
      <c r="LDW3"/>
      <c r="LDX3"/>
      <c r="LDY3"/>
      <c r="LDZ3"/>
      <c r="LEA3"/>
      <c r="LEB3"/>
      <c r="LEC3"/>
      <c r="LED3"/>
      <c r="LEE3"/>
      <c r="LEF3"/>
      <c r="LEG3"/>
      <c r="LEH3"/>
      <c r="LEI3"/>
      <c r="LEJ3"/>
      <c r="LEK3"/>
      <c r="LEL3"/>
      <c r="LEM3"/>
      <c r="LEN3"/>
      <c r="LEO3"/>
      <c r="LEP3"/>
      <c r="LEQ3"/>
      <c r="LER3"/>
      <c r="LES3"/>
      <c r="LET3"/>
      <c r="LEU3"/>
      <c r="LEV3"/>
      <c r="LEW3"/>
      <c r="LEX3"/>
      <c r="LEY3"/>
      <c r="LEZ3"/>
      <c r="LFA3"/>
      <c r="LFB3"/>
      <c r="LFC3"/>
      <c r="LFD3"/>
      <c r="LFE3"/>
      <c r="LFF3"/>
      <c r="LFG3"/>
      <c r="LFH3"/>
      <c r="LFI3"/>
      <c r="LFJ3"/>
      <c r="LFK3"/>
      <c r="LFL3"/>
      <c r="LFM3"/>
      <c r="LFN3"/>
      <c r="LFO3"/>
      <c r="LFP3"/>
      <c r="LFQ3"/>
      <c r="LFR3"/>
      <c r="LFS3"/>
      <c r="LFT3"/>
      <c r="LFU3"/>
      <c r="LFV3"/>
      <c r="LFW3"/>
      <c r="LFX3"/>
      <c r="LFY3"/>
      <c r="LFZ3"/>
      <c r="LGA3"/>
      <c r="LGB3"/>
      <c r="LGC3"/>
      <c r="LGD3"/>
      <c r="LGE3"/>
      <c r="LGF3"/>
      <c r="LGG3"/>
      <c r="LGH3"/>
      <c r="LGI3"/>
      <c r="LGJ3"/>
      <c r="LGK3"/>
      <c r="LGL3"/>
      <c r="LGM3"/>
      <c r="LGN3"/>
      <c r="LGO3"/>
      <c r="LGP3"/>
      <c r="LGQ3"/>
      <c r="LGR3"/>
      <c r="LGS3"/>
      <c r="LGT3"/>
      <c r="LGU3"/>
      <c r="LGV3"/>
      <c r="LGW3"/>
      <c r="LGX3"/>
      <c r="LGY3"/>
      <c r="LGZ3"/>
      <c r="LHA3"/>
      <c r="LHB3"/>
      <c r="LHC3"/>
      <c r="LHD3"/>
      <c r="LHE3"/>
      <c r="LHF3"/>
      <c r="LHG3"/>
      <c r="LHH3"/>
      <c r="LHI3"/>
      <c r="LHJ3"/>
      <c r="LHK3"/>
      <c r="LHL3"/>
      <c r="LHM3"/>
      <c r="LHN3"/>
      <c r="LHO3"/>
      <c r="LHP3"/>
      <c r="LHQ3"/>
      <c r="LHR3"/>
      <c r="LHS3"/>
      <c r="LHT3"/>
      <c r="LHU3"/>
      <c r="LHV3"/>
      <c r="LHW3"/>
      <c r="LHX3"/>
      <c r="LHY3"/>
      <c r="LHZ3"/>
      <c r="LIA3"/>
      <c r="LIB3"/>
      <c r="LIC3"/>
      <c r="LID3"/>
      <c r="LIE3"/>
      <c r="LIF3"/>
      <c r="LIG3"/>
      <c r="LIH3"/>
      <c r="LII3"/>
      <c r="LIJ3"/>
      <c r="LIK3"/>
      <c r="LIL3"/>
      <c r="LIM3"/>
      <c r="LIN3"/>
      <c r="LIO3"/>
      <c r="LIP3"/>
      <c r="LIQ3"/>
      <c r="LIR3"/>
      <c r="LIS3"/>
      <c r="LIT3"/>
      <c r="LIU3"/>
      <c r="LIV3"/>
      <c r="LIW3"/>
      <c r="LIX3"/>
      <c r="LIY3"/>
      <c r="LIZ3"/>
      <c r="LJA3"/>
      <c r="LJB3"/>
      <c r="LJC3"/>
      <c r="LJD3"/>
      <c r="LJE3"/>
      <c r="LJF3"/>
      <c r="LJG3"/>
      <c r="LJH3"/>
      <c r="LJI3"/>
      <c r="LJJ3"/>
      <c r="LJK3"/>
      <c r="LJL3"/>
      <c r="LJM3"/>
      <c r="LJN3"/>
      <c r="LJO3"/>
      <c r="LJP3"/>
      <c r="LJQ3"/>
      <c r="LJR3"/>
      <c r="LJS3"/>
      <c r="LJT3"/>
      <c r="LJU3"/>
      <c r="LJV3"/>
      <c r="LJW3"/>
      <c r="LJX3"/>
      <c r="LJY3"/>
      <c r="LJZ3"/>
      <c r="LKA3"/>
      <c r="LKB3"/>
      <c r="LKC3"/>
      <c r="LKD3"/>
      <c r="LKE3"/>
      <c r="LKF3"/>
      <c r="LKG3"/>
      <c r="LKH3"/>
      <c r="LKI3"/>
      <c r="LKJ3"/>
      <c r="LKK3"/>
      <c r="LKL3"/>
      <c r="LKM3"/>
      <c r="LKN3"/>
      <c r="LKO3"/>
      <c r="LKP3"/>
      <c r="LKQ3"/>
      <c r="LKR3"/>
      <c r="LKS3"/>
      <c r="LKT3"/>
      <c r="LKU3"/>
      <c r="LKV3"/>
      <c r="LKW3"/>
      <c r="LKX3"/>
      <c r="LKY3"/>
      <c r="LKZ3"/>
      <c r="LLA3"/>
      <c r="LLB3"/>
      <c r="LLC3"/>
      <c r="LLD3"/>
      <c r="LLE3"/>
      <c r="LLF3"/>
      <c r="LLG3"/>
      <c r="LLH3"/>
      <c r="LLI3"/>
      <c r="LLJ3"/>
      <c r="LLK3"/>
      <c r="LLL3"/>
      <c r="LLM3"/>
      <c r="LLN3"/>
      <c r="LLO3"/>
      <c r="LLP3"/>
      <c r="LLQ3"/>
      <c r="LLR3"/>
      <c r="LLS3"/>
      <c r="LLT3"/>
      <c r="LLU3"/>
      <c r="LLV3"/>
      <c r="LLW3"/>
      <c r="LLX3"/>
      <c r="LLY3"/>
      <c r="LLZ3"/>
      <c r="LMA3"/>
      <c r="LMB3"/>
      <c r="LMC3"/>
      <c r="LMD3"/>
      <c r="LME3"/>
      <c r="LMF3"/>
      <c r="LMG3"/>
      <c r="LMH3"/>
      <c r="LMI3"/>
      <c r="LMJ3"/>
      <c r="LMK3"/>
      <c r="LML3"/>
      <c r="LMM3"/>
      <c r="LMN3"/>
      <c r="LMO3"/>
      <c r="LMP3"/>
      <c r="LMQ3"/>
      <c r="LMR3"/>
      <c r="LMS3"/>
      <c r="LMT3"/>
      <c r="LMU3"/>
      <c r="LMV3"/>
      <c r="LMW3"/>
      <c r="LMX3"/>
      <c r="LMY3"/>
      <c r="LMZ3"/>
      <c r="LNA3"/>
      <c r="LNB3"/>
      <c r="LNC3"/>
      <c r="LND3"/>
      <c r="LNE3"/>
      <c r="LNF3"/>
      <c r="LNG3"/>
      <c r="LNH3"/>
      <c r="LNI3"/>
      <c r="LNJ3"/>
      <c r="LNK3"/>
      <c r="LNL3"/>
      <c r="LNM3"/>
      <c r="LNN3"/>
      <c r="LNO3"/>
      <c r="LNP3"/>
      <c r="LNQ3"/>
      <c r="LNR3"/>
      <c r="LNS3"/>
      <c r="LNT3"/>
      <c r="LNU3"/>
      <c r="LNV3"/>
      <c r="LNW3"/>
      <c r="LNX3"/>
      <c r="LNY3"/>
      <c r="LNZ3"/>
      <c r="LOA3"/>
      <c r="LOB3"/>
      <c r="LOC3"/>
      <c r="LOD3"/>
      <c r="LOE3"/>
      <c r="LOF3"/>
      <c r="LOG3"/>
      <c r="LOH3"/>
      <c r="LOI3"/>
      <c r="LOJ3"/>
      <c r="LOK3"/>
      <c r="LOL3"/>
      <c r="LOM3"/>
      <c r="LON3"/>
      <c r="LOO3"/>
      <c r="LOP3"/>
      <c r="LOQ3"/>
      <c r="LOR3"/>
      <c r="LOS3"/>
      <c r="LOT3"/>
      <c r="LOU3"/>
      <c r="LOV3"/>
      <c r="LOW3"/>
      <c r="LOX3"/>
      <c r="LOY3"/>
      <c r="LOZ3"/>
      <c r="LPA3"/>
      <c r="LPB3"/>
      <c r="LPC3"/>
      <c r="LPD3"/>
      <c r="LPE3"/>
      <c r="LPF3"/>
      <c r="LPG3"/>
      <c r="LPH3"/>
      <c r="LPI3"/>
      <c r="LPJ3"/>
      <c r="LPK3"/>
      <c r="LPL3"/>
      <c r="LPM3"/>
      <c r="LPN3"/>
      <c r="LPO3"/>
      <c r="LPP3"/>
      <c r="LPQ3"/>
      <c r="LPR3"/>
      <c r="LPS3"/>
      <c r="LPT3"/>
      <c r="LPU3"/>
      <c r="LPV3"/>
      <c r="LPW3"/>
      <c r="LPX3"/>
      <c r="LPY3"/>
      <c r="LPZ3"/>
      <c r="LQA3"/>
      <c r="LQB3"/>
      <c r="LQC3"/>
      <c r="LQD3"/>
      <c r="LQE3"/>
      <c r="LQF3"/>
      <c r="LQG3"/>
      <c r="LQH3"/>
      <c r="LQI3"/>
      <c r="LQJ3"/>
      <c r="LQK3"/>
      <c r="LQL3"/>
      <c r="LQM3"/>
      <c r="LQN3"/>
      <c r="LQO3"/>
      <c r="LQP3"/>
      <c r="LQQ3"/>
      <c r="LQR3"/>
      <c r="LQS3"/>
      <c r="LQT3"/>
      <c r="LQU3"/>
      <c r="LQV3"/>
      <c r="LQW3"/>
      <c r="LQX3"/>
      <c r="LQY3"/>
      <c r="LQZ3"/>
      <c r="LRA3"/>
      <c r="LRB3"/>
      <c r="LRC3"/>
      <c r="LRD3"/>
      <c r="LRE3"/>
      <c r="LRF3"/>
      <c r="LRG3"/>
      <c r="LRH3"/>
      <c r="LRI3"/>
      <c r="LRJ3"/>
      <c r="LRK3"/>
      <c r="LRL3"/>
      <c r="LRM3"/>
      <c r="LRN3"/>
      <c r="LRO3"/>
      <c r="LRP3"/>
      <c r="LRQ3"/>
      <c r="LRR3"/>
      <c r="LRS3"/>
      <c r="LRT3"/>
      <c r="LRU3"/>
      <c r="LRV3"/>
      <c r="LRW3"/>
      <c r="LRX3"/>
      <c r="LRY3"/>
      <c r="LRZ3"/>
      <c r="LSA3"/>
      <c r="LSB3"/>
      <c r="LSC3"/>
      <c r="LSD3"/>
      <c r="LSE3"/>
      <c r="LSF3"/>
      <c r="LSG3"/>
      <c r="LSH3"/>
      <c r="LSI3"/>
      <c r="LSJ3"/>
      <c r="LSK3"/>
      <c r="LSL3"/>
      <c r="LSM3"/>
      <c r="LSN3"/>
      <c r="LSO3"/>
      <c r="LSP3"/>
      <c r="LSQ3"/>
      <c r="LSR3"/>
      <c r="LSS3"/>
      <c r="LST3"/>
      <c r="LSU3"/>
      <c r="LSV3"/>
      <c r="LSW3"/>
      <c r="LSX3"/>
      <c r="LSY3"/>
      <c r="LSZ3"/>
      <c r="LTA3"/>
      <c r="LTB3"/>
      <c r="LTC3"/>
      <c r="LTD3"/>
      <c r="LTE3"/>
      <c r="LTF3"/>
      <c r="LTG3"/>
      <c r="LTH3"/>
      <c r="LTI3"/>
      <c r="LTJ3"/>
      <c r="LTK3"/>
      <c r="LTL3"/>
      <c r="LTM3"/>
      <c r="LTN3"/>
      <c r="LTO3"/>
      <c r="LTP3"/>
      <c r="LTQ3"/>
      <c r="LTR3"/>
      <c r="LTS3"/>
      <c r="LTT3"/>
      <c r="LTU3"/>
      <c r="LTV3"/>
      <c r="LTW3"/>
      <c r="LTX3"/>
      <c r="LTY3"/>
      <c r="LTZ3"/>
      <c r="LUA3"/>
      <c r="LUB3"/>
      <c r="LUC3"/>
      <c r="LUD3"/>
      <c r="LUE3"/>
      <c r="LUF3"/>
      <c r="LUG3"/>
      <c r="LUH3"/>
      <c r="LUI3"/>
      <c r="LUJ3"/>
      <c r="LUK3"/>
      <c r="LUL3"/>
      <c r="LUM3"/>
      <c r="LUN3"/>
      <c r="LUO3"/>
      <c r="LUP3"/>
      <c r="LUQ3"/>
      <c r="LUR3"/>
      <c r="LUS3"/>
      <c r="LUT3"/>
      <c r="LUU3"/>
      <c r="LUV3"/>
      <c r="LUW3"/>
      <c r="LUX3"/>
      <c r="LUY3"/>
      <c r="LUZ3"/>
      <c r="LVA3"/>
      <c r="LVB3"/>
      <c r="LVC3"/>
      <c r="LVD3"/>
      <c r="LVE3"/>
      <c r="LVF3"/>
      <c r="LVG3"/>
      <c r="LVH3"/>
      <c r="LVI3"/>
      <c r="LVJ3"/>
      <c r="LVK3"/>
      <c r="LVL3"/>
      <c r="LVM3"/>
      <c r="LVN3"/>
      <c r="LVO3"/>
      <c r="LVP3"/>
      <c r="LVQ3"/>
      <c r="LVR3"/>
      <c r="LVS3"/>
      <c r="LVT3"/>
      <c r="LVU3"/>
      <c r="LVV3"/>
      <c r="LVW3"/>
      <c r="LVX3"/>
      <c r="LVY3"/>
      <c r="LVZ3"/>
      <c r="LWA3"/>
      <c r="LWB3"/>
      <c r="LWC3"/>
      <c r="LWD3"/>
      <c r="LWE3"/>
      <c r="LWF3"/>
      <c r="LWG3"/>
      <c r="LWH3"/>
      <c r="LWI3"/>
      <c r="LWJ3"/>
      <c r="LWK3"/>
      <c r="LWL3"/>
      <c r="LWM3"/>
      <c r="LWN3"/>
      <c r="LWO3"/>
      <c r="LWP3"/>
      <c r="LWQ3"/>
      <c r="LWR3"/>
      <c r="LWS3"/>
      <c r="LWT3"/>
      <c r="LWU3"/>
      <c r="LWV3"/>
      <c r="LWW3"/>
      <c r="LWX3"/>
      <c r="LWY3"/>
      <c r="LWZ3"/>
      <c r="LXA3"/>
      <c r="LXB3"/>
      <c r="LXC3"/>
      <c r="LXD3"/>
      <c r="LXE3"/>
      <c r="LXF3"/>
      <c r="LXG3"/>
      <c r="LXH3"/>
      <c r="LXI3"/>
      <c r="LXJ3"/>
      <c r="LXK3"/>
      <c r="LXL3"/>
      <c r="LXM3"/>
      <c r="LXN3"/>
      <c r="LXO3"/>
      <c r="LXP3"/>
      <c r="LXQ3"/>
      <c r="LXR3"/>
      <c r="LXS3"/>
      <c r="LXT3"/>
      <c r="LXU3"/>
      <c r="LXV3"/>
      <c r="LXW3"/>
      <c r="LXX3"/>
      <c r="LXY3"/>
      <c r="LXZ3"/>
      <c r="LYA3"/>
      <c r="LYB3"/>
      <c r="LYC3"/>
      <c r="LYD3"/>
      <c r="LYE3"/>
      <c r="LYF3"/>
      <c r="LYG3"/>
      <c r="LYH3"/>
      <c r="LYI3"/>
      <c r="LYJ3"/>
      <c r="LYK3"/>
      <c r="LYL3"/>
      <c r="LYM3"/>
      <c r="LYN3"/>
      <c r="LYO3"/>
      <c r="LYP3"/>
      <c r="LYQ3"/>
      <c r="LYR3"/>
      <c r="LYS3"/>
      <c r="LYT3"/>
      <c r="LYU3"/>
      <c r="LYV3"/>
      <c r="LYW3"/>
      <c r="LYX3"/>
      <c r="LYY3"/>
      <c r="LYZ3"/>
      <c r="LZA3"/>
      <c r="LZB3"/>
      <c r="LZC3"/>
      <c r="LZD3"/>
      <c r="LZE3"/>
      <c r="LZF3"/>
      <c r="LZG3"/>
      <c r="LZH3"/>
      <c r="LZI3"/>
      <c r="LZJ3"/>
      <c r="LZK3"/>
      <c r="LZL3"/>
      <c r="LZM3"/>
      <c r="LZN3"/>
      <c r="LZO3"/>
      <c r="LZP3"/>
      <c r="LZQ3"/>
      <c r="LZR3"/>
      <c r="LZS3"/>
      <c r="LZT3"/>
      <c r="LZU3"/>
      <c r="LZV3"/>
      <c r="LZW3"/>
      <c r="LZX3"/>
      <c r="LZY3"/>
      <c r="LZZ3"/>
      <c r="MAA3"/>
      <c r="MAB3"/>
      <c r="MAC3"/>
      <c r="MAD3"/>
      <c r="MAE3"/>
      <c r="MAF3"/>
      <c r="MAG3"/>
      <c r="MAH3"/>
      <c r="MAI3"/>
      <c r="MAJ3"/>
      <c r="MAK3"/>
      <c r="MAL3"/>
      <c r="MAM3"/>
      <c r="MAN3"/>
      <c r="MAO3"/>
      <c r="MAP3"/>
      <c r="MAQ3"/>
      <c r="MAR3"/>
      <c r="MAS3"/>
      <c r="MAT3"/>
      <c r="MAU3"/>
      <c r="MAV3"/>
      <c r="MAW3"/>
      <c r="MAX3"/>
      <c r="MAY3"/>
      <c r="MAZ3"/>
      <c r="MBA3"/>
      <c r="MBB3"/>
      <c r="MBC3"/>
      <c r="MBD3"/>
      <c r="MBE3"/>
      <c r="MBF3"/>
      <c r="MBG3"/>
      <c r="MBH3"/>
      <c r="MBI3"/>
      <c r="MBJ3"/>
      <c r="MBK3"/>
      <c r="MBL3"/>
      <c r="MBM3"/>
      <c r="MBN3"/>
      <c r="MBO3"/>
      <c r="MBP3"/>
      <c r="MBQ3"/>
      <c r="MBR3"/>
      <c r="MBS3"/>
      <c r="MBT3"/>
      <c r="MBU3"/>
      <c r="MBV3"/>
      <c r="MBW3"/>
      <c r="MBX3"/>
      <c r="MBY3"/>
      <c r="MBZ3"/>
      <c r="MCA3"/>
      <c r="MCB3"/>
      <c r="MCC3"/>
      <c r="MCD3"/>
      <c r="MCE3"/>
      <c r="MCF3"/>
      <c r="MCG3"/>
      <c r="MCH3"/>
      <c r="MCI3"/>
      <c r="MCJ3"/>
      <c r="MCK3"/>
      <c r="MCL3"/>
      <c r="MCM3"/>
      <c r="MCN3"/>
      <c r="MCO3"/>
      <c r="MCP3"/>
      <c r="MCQ3"/>
      <c r="MCR3"/>
      <c r="MCS3"/>
      <c r="MCT3"/>
      <c r="MCU3"/>
      <c r="MCV3"/>
      <c r="MCW3"/>
      <c r="MCX3"/>
      <c r="MCY3"/>
      <c r="MCZ3"/>
      <c r="MDA3"/>
      <c r="MDB3"/>
      <c r="MDC3"/>
      <c r="MDD3"/>
      <c r="MDE3"/>
      <c r="MDF3"/>
      <c r="MDG3"/>
      <c r="MDH3"/>
      <c r="MDI3"/>
      <c r="MDJ3"/>
      <c r="MDK3"/>
      <c r="MDL3"/>
      <c r="MDM3"/>
      <c r="MDN3"/>
      <c r="MDO3"/>
      <c r="MDP3"/>
      <c r="MDQ3"/>
      <c r="MDR3"/>
      <c r="MDS3"/>
      <c r="MDT3"/>
      <c r="MDU3"/>
      <c r="MDV3"/>
      <c r="MDW3"/>
      <c r="MDX3"/>
      <c r="MDY3"/>
      <c r="MDZ3"/>
      <c r="MEA3"/>
      <c r="MEB3"/>
      <c r="MEC3"/>
      <c r="MED3"/>
      <c r="MEE3"/>
      <c r="MEF3"/>
      <c r="MEG3"/>
      <c r="MEH3"/>
      <c r="MEI3"/>
      <c r="MEJ3"/>
      <c r="MEK3"/>
      <c r="MEL3"/>
      <c r="MEM3"/>
      <c r="MEN3"/>
      <c r="MEO3"/>
      <c r="MEP3"/>
      <c r="MEQ3"/>
      <c r="MER3"/>
      <c r="MES3"/>
      <c r="MET3"/>
      <c r="MEU3"/>
      <c r="MEV3"/>
      <c r="MEW3"/>
      <c r="MEX3"/>
      <c r="MEY3"/>
      <c r="MEZ3"/>
      <c r="MFA3"/>
      <c r="MFB3"/>
      <c r="MFC3"/>
      <c r="MFD3"/>
      <c r="MFE3"/>
      <c r="MFF3"/>
      <c r="MFG3"/>
      <c r="MFH3"/>
      <c r="MFI3"/>
      <c r="MFJ3"/>
      <c r="MFK3"/>
      <c r="MFL3"/>
      <c r="MFM3"/>
      <c r="MFN3"/>
      <c r="MFO3"/>
      <c r="MFP3"/>
      <c r="MFQ3"/>
      <c r="MFR3"/>
      <c r="MFS3"/>
      <c r="MFT3"/>
      <c r="MFU3"/>
      <c r="MFV3"/>
      <c r="MFW3"/>
      <c r="MFX3"/>
      <c r="MFY3"/>
      <c r="MFZ3"/>
      <c r="MGA3"/>
      <c r="MGB3"/>
      <c r="MGC3"/>
      <c r="MGD3"/>
      <c r="MGE3"/>
      <c r="MGF3"/>
      <c r="MGG3"/>
      <c r="MGH3"/>
      <c r="MGI3"/>
      <c r="MGJ3"/>
      <c r="MGK3"/>
      <c r="MGL3"/>
      <c r="MGM3"/>
      <c r="MGN3"/>
      <c r="MGO3"/>
      <c r="MGP3"/>
      <c r="MGQ3"/>
      <c r="MGR3"/>
      <c r="MGS3"/>
      <c r="MGT3"/>
      <c r="MGU3"/>
      <c r="MGV3"/>
      <c r="MGW3"/>
      <c r="MGX3"/>
      <c r="MGY3"/>
      <c r="MGZ3"/>
      <c r="MHA3"/>
      <c r="MHB3"/>
      <c r="MHC3"/>
      <c r="MHD3"/>
      <c r="MHE3"/>
      <c r="MHF3"/>
      <c r="MHG3"/>
      <c r="MHH3"/>
      <c r="MHI3"/>
      <c r="MHJ3"/>
      <c r="MHK3"/>
      <c r="MHL3"/>
      <c r="MHM3"/>
      <c r="MHN3"/>
      <c r="MHO3"/>
      <c r="MHP3"/>
      <c r="MHQ3"/>
      <c r="MHR3"/>
      <c r="MHS3"/>
      <c r="MHT3"/>
      <c r="MHU3"/>
      <c r="MHV3"/>
      <c r="MHW3"/>
      <c r="MHX3"/>
      <c r="MHY3"/>
      <c r="MHZ3"/>
      <c r="MIA3"/>
      <c r="MIB3"/>
      <c r="MIC3"/>
      <c r="MID3"/>
      <c r="MIE3"/>
      <c r="MIF3"/>
      <c r="MIG3"/>
      <c r="MIH3"/>
      <c r="MII3"/>
      <c r="MIJ3"/>
      <c r="MIK3"/>
      <c r="MIL3"/>
      <c r="MIM3"/>
      <c r="MIN3"/>
      <c r="MIO3"/>
      <c r="MIP3"/>
      <c r="MIQ3"/>
      <c r="MIR3"/>
      <c r="MIS3"/>
      <c r="MIT3"/>
      <c r="MIU3"/>
      <c r="MIV3"/>
      <c r="MIW3"/>
      <c r="MIX3"/>
      <c r="MIY3"/>
      <c r="MIZ3"/>
      <c r="MJA3"/>
      <c r="MJB3"/>
      <c r="MJC3"/>
      <c r="MJD3"/>
      <c r="MJE3"/>
      <c r="MJF3"/>
      <c r="MJG3"/>
      <c r="MJH3"/>
      <c r="MJI3"/>
      <c r="MJJ3"/>
      <c r="MJK3"/>
      <c r="MJL3"/>
      <c r="MJM3"/>
      <c r="MJN3"/>
      <c r="MJO3"/>
      <c r="MJP3"/>
      <c r="MJQ3"/>
      <c r="MJR3"/>
      <c r="MJS3"/>
      <c r="MJT3"/>
      <c r="MJU3"/>
      <c r="MJV3"/>
      <c r="MJW3"/>
      <c r="MJX3"/>
      <c r="MJY3"/>
      <c r="MJZ3"/>
      <c r="MKA3"/>
      <c r="MKB3"/>
      <c r="MKC3"/>
      <c r="MKD3"/>
      <c r="MKE3"/>
      <c r="MKF3"/>
      <c r="MKG3"/>
      <c r="MKH3"/>
      <c r="MKI3"/>
      <c r="MKJ3"/>
      <c r="MKK3"/>
      <c r="MKL3"/>
      <c r="MKM3"/>
      <c r="MKN3"/>
      <c r="MKO3"/>
      <c r="MKP3"/>
      <c r="MKQ3"/>
      <c r="MKR3"/>
      <c r="MKS3"/>
      <c r="MKT3"/>
      <c r="MKU3"/>
      <c r="MKV3"/>
      <c r="MKW3"/>
      <c r="MKX3"/>
      <c r="MKY3"/>
      <c r="MKZ3"/>
      <c r="MLA3"/>
      <c r="MLB3"/>
      <c r="MLC3"/>
      <c r="MLD3"/>
      <c r="MLE3"/>
      <c r="MLF3"/>
      <c r="MLG3"/>
      <c r="MLH3"/>
      <c r="MLI3"/>
      <c r="MLJ3"/>
      <c r="MLK3"/>
      <c r="MLL3"/>
      <c r="MLM3"/>
      <c r="MLN3"/>
      <c r="MLO3"/>
      <c r="MLP3"/>
      <c r="MLQ3"/>
      <c r="MLR3"/>
      <c r="MLS3"/>
      <c r="MLT3"/>
      <c r="MLU3"/>
      <c r="MLV3"/>
      <c r="MLW3"/>
      <c r="MLX3"/>
      <c r="MLY3"/>
      <c r="MLZ3"/>
      <c r="MMA3"/>
      <c r="MMB3"/>
      <c r="MMC3"/>
      <c r="MMD3"/>
      <c r="MME3"/>
      <c r="MMF3"/>
      <c r="MMG3"/>
      <c r="MMH3"/>
      <c r="MMI3"/>
      <c r="MMJ3"/>
      <c r="MMK3"/>
      <c r="MML3"/>
      <c r="MMM3"/>
      <c r="MMN3"/>
      <c r="MMO3"/>
      <c r="MMP3"/>
      <c r="MMQ3"/>
      <c r="MMR3"/>
      <c r="MMS3"/>
      <c r="MMT3"/>
      <c r="MMU3"/>
      <c r="MMV3"/>
      <c r="MMW3"/>
      <c r="MMX3"/>
      <c r="MMY3"/>
      <c r="MMZ3"/>
      <c r="MNA3"/>
      <c r="MNB3"/>
      <c r="MNC3"/>
      <c r="MND3"/>
      <c r="MNE3"/>
      <c r="MNF3"/>
      <c r="MNG3"/>
      <c r="MNH3"/>
      <c r="MNI3"/>
      <c r="MNJ3"/>
      <c r="MNK3"/>
      <c r="MNL3"/>
      <c r="MNM3"/>
      <c r="MNN3"/>
      <c r="MNO3"/>
      <c r="MNP3"/>
      <c r="MNQ3"/>
      <c r="MNR3"/>
      <c r="MNS3"/>
      <c r="MNT3"/>
      <c r="MNU3"/>
      <c r="MNV3"/>
      <c r="MNW3"/>
      <c r="MNX3"/>
      <c r="MNY3"/>
      <c r="MNZ3"/>
      <c r="MOA3"/>
      <c r="MOB3"/>
      <c r="MOC3"/>
      <c r="MOD3"/>
      <c r="MOE3"/>
      <c r="MOF3"/>
      <c r="MOG3"/>
      <c r="MOH3"/>
      <c r="MOI3"/>
      <c r="MOJ3"/>
      <c r="MOK3"/>
      <c r="MOL3"/>
      <c r="MOM3"/>
      <c r="MON3"/>
      <c r="MOO3"/>
      <c r="MOP3"/>
      <c r="MOQ3"/>
      <c r="MOR3"/>
      <c r="MOS3"/>
      <c r="MOT3"/>
      <c r="MOU3"/>
      <c r="MOV3"/>
      <c r="MOW3"/>
      <c r="MOX3"/>
      <c r="MOY3"/>
      <c r="MOZ3"/>
      <c r="MPA3"/>
      <c r="MPB3"/>
      <c r="MPC3"/>
      <c r="MPD3"/>
      <c r="MPE3"/>
      <c r="MPF3"/>
      <c r="MPG3"/>
      <c r="MPH3"/>
      <c r="MPI3"/>
      <c r="MPJ3"/>
      <c r="MPK3"/>
      <c r="MPL3"/>
      <c r="MPM3"/>
      <c r="MPN3"/>
      <c r="MPO3"/>
      <c r="MPP3"/>
      <c r="MPQ3"/>
      <c r="MPR3"/>
      <c r="MPS3"/>
      <c r="MPT3"/>
      <c r="MPU3"/>
      <c r="MPV3"/>
      <c r="MPW3"/>
      <c r="MPX3"/>
      <c r="MPY3"/>
      <c r="MPZ3"/>
      <c r="MQA3"/>
      <c r="MQB3"/>
      <c r="MQC3"/>
      <c r="MQD3"/>
      <c r="MQE3"/>
      <c r="MQF3"/>
      <c r="MQG3"/>
      <c r="MQH3"/>
      <c r="MQI3"/>
      <c r="MQJ3"/>
      <c r="MQK3"/>
      <c r="MQL3"/>
      <c r="MQM3"/>
      <c r="MQN3"/>
      <c r="MQO3"/>
      <c r="MQP3"/>
      <c r="MQQ3"/>
      <c r="MQR3"/>
      <c r="MQS3"/>
      <c r="MQT3"/>
      <c r="MQU3"/>
      <c r="MQV3"/>
      <c r="MQW3"/>
      <c r="MQX3"/>
      <c r="MQY3"/>
      <c r="MQZ3"/>
      <c r="MRA3"/>
      <c r="MRB3"/>
      <c r="MRC3"/>
      <c r="MRD3"/>
      <c r="MRE3"/>
      <c r="MRF3"/>
      <c r="MRG3"/>
      <c r="MRH3"/>
      <c r="MRI3"/>
      <c r="MRJ3"/>
      <c r="MRK3"/>
      <c r="MRL3"/>
      <c r="MRM3"/>
      <c r="MRN3"/>
      <c r="MRO3"/>
      <c r="MRP3"/>
      <c r="MRQ3"/>
      <c r="MRR3"/>
      <c r="MRS3"/>
      <c r="MRT3"/>
      <c r="MRU3"/>
      <c r="MRV3"/>
      <c r="MRW3"/>
      <c r="MRX3"/>
      <c r="MRY3"/>
      <c r="MRZ3"/>
      <c r="MSA3"/>
      <c r="MSB3"/>
      <c r="MSC3"/>
      <c r="MSD3"/>
      <c r="MSE3"/>
      <c r="MSF3"/>
      <c r="MSG3"/>
      <c r="MSH3"/>
      <c r="MSI3"/>
      <c r="MSJ3"/>
      <c r="MSK3"/>
      <c r="MSL3"/>
      <c r="MSM3"/>
      <c r="MSN3"/>
      <c r="MSO3"/>
      <c r="MSP3"/>
      <c r="MSQ3"/>
      <c r="MSR3"/>
      <c r="MSS3"/>
      <c r="MST3"/>
      <c r="MSU3"/>
      <c r="MSV3"/>
      <c r="MSW3"/>
      <c r="MSX3"/>
      <c r="MSY3"/>
      <c r="MSZ3"/>
      <c r="MTA3"/>
      <c r="MTB3"/>
      <c r="MTC3"/>
      <c r="MTD3"/>
      <c r="MTE3"/>
      <c r="MTF3"/>
      <c r="MTG3"/>
      <c r="MTH3"/>
      <c r="MTI3"/>
      <c r="MTJ3"/>
      <c r="MTK3"/>
      <c r="MTL3"/>
      <c r="MTM3"/>
      <c r="MTN3"/>
      <c r="MTO3"/>
      <c r="MTP3"/>
      <c r="MTQ3"/>
      <c r="MTR3"/>
      <c r="MTS3"/>
      <c r="MTT3"/>
      <c r="MTU3"/>
      <c r="MTV3"/>
      <c r="MTW3"/>
      <c r="MTX3"/>
      <c r="MTY3"/>
      <c r="MTZ3"/>
      <c r="MUA3"/>
      <c r="MUB3"/>
      <c r="MUC3"/>
      <c r="MUD3"/>
      <c r="MUE3"/>
      <c r="MUF3"/>
      <c r="MUG3"/>
      <c r="MUH3"/>
      <c r="MUI3"/>
      <c r="MUJ3"/>
      <c r="MUK3"/>
      <c r="MUL3"/>
      <c r="MUM3"/>
      <c r="MUN3"/>
      <c r="MUO3"/>
      <c r="MUP3"/>
      <c r="MUQ3"/>
      <c r="MUR3"/>
      <c r="MUS3"/>
      <c r="MUT3"/>
      <c r="MUU3"/>
      <c r="MUV3"/>
      <c r="MUW3"/>
      <c r="MUX3"/>
      <c r="MUY3"/>
      <c r="MUZ3"/>
      <c r="MVA3"/>
      <c r="MVB3"/>
      <c r="MVC3"/>
      <c r="MVD3"/>
      <c r="MVE3"/>
      <c r="MVF3"/>
      <c r="MVG3"/>
      <c r="MVH3"/>
      <c r="MVI3"/>
      <c r="MVJ3"/>
      <c r="MVK3"/>
      <c r="MVL3"/>
      <c r="MVM3"/>
      <c r="MVN3"/>
      <c r="MVO3"/>
      <c r="MVP3"/>
      <c r="MVQ3"/>
      <c r="MVR3"/>
      <c r="MVS3"/>
      <c r="MVT3"/>
      <c r="MVU3"/>
      <c r="MVV3"/>
      <c r="MVW3"/>
      <c r="MVX3"/>
      <c r="MVY3"/>
      <c r="MVZ3"/>
      <c r="MWA3"/>
      <c r="MWB3"/>
      <c r="MWC3"/>
      <c r="MWD3"/>
      <c r="MWE3"/>
      <c r="MWF3"/>
      <c r="MWG3"/>
      <c r="MWH3"/>
      <c r="MWI3"/>
      <c r="MWJ3"/>
      <c r="MWK3"/>
      <c r="MWL3"/>
      <c r="MWM3"/>
      <c r="MWN3"/>
      <c r="MWO3"/>
      <c r="MWP3"/>
      <c r="MWQ3"/>
      <c r="MWR3"/>
      <c r="MWS3"/>
      <c r="MWT3"/>
      <c r="MWU3"/>
      <c r="MWV3"/>
      <c r="MWW3"/>
      <c r="MWX3"/>
      <c r="MWY3"/>
      <c r="MWZ3"/>
      <c r="MXA3"/>
      <c r="MXB3"/>
      <c r="MXC3"/>
      <c r="MXD3"/>
      <c r="MXE3"/>
      <c r="MXF3"/>
      <c r="MXG3"/>
      <c r="MXH3"/>
      <c r="MXI3"/>
      <c r="MXJ3"/>
      <c r="MXK3"/>
      <c r="MXL3"/>
      <c r="MXM3"/>
      <c r="MXN3"/>
      <c r="MXO3"/>
      <c r="MXP3"/>
      <c r="MXQ3"/>
      <c r="MXR3"/>
      <c r="MXS3"/>
      <c r="MXT3"/>
      <c r="MXU3"/>
      <c r="MXV3"/>
      <c r="MXW3"/>
      <c r="MXX3"/>
      <c r="MXY3"/>
      <c r="MXZ3"/>
      <c r="MYA3"/>
      <c r="MYB3"/>
      <c r="MYC3"/>
      <c r="MYD3"/>
      <c r="MYE3"/>
      <c r="MYF3"/>
      <c r="MYG3"/>
      <c r="MYH3"/>
      <c r="MYI3"/>
      <c r="MYJ3"/>
      <c r="MYK3"/>
      <c r="MYL3"/>
      <c r="MYM3"/>
      <c r="MYN3"/>
      <c r="MYO3"/>
      <c r="MYP3"/>
      <c r="MYQ3"/>
      <c r="MYR3"/>
      <c r="MYS3"/>
      <c r="MYT3"/>
      <c r="MYU3"/>
      <c r="MYV3"/>
      <c r="MYW3"/>
      <c r="MYX3"/>
      <c r="MYY3"/>
      <c r="MYZ3"/>
      <c r="MZA3"/>
      <c r="MZB3"/>
      <c r="MZC3"/>
      <c r="MZD3"/>
      <c r="MZE3"/>
      <c r="MZF3"/>
      <c r="MZG3"/>
      <c r="MZH3"/>
      <c r="MZI3"/>
      <c r="MZJ3"/>
      <c r="MZK3"/>
      <c r="MZL3"/>
      <c r="MZM3"/>
      <c r="MZN3"/>
      <c r="MZO3"/>
      <c r="MZP3"/>
      <c r="MZQ3"/>
      <c r="MZR3"/>
      <c r="MZS3"/>
      <c r="MZT3"/>
      <c r="MZU3"/>
      <c r="MZV3"/>
      <c r="MZW3"/>
      <c r="MZX3"/>
      <c r="MZY3"/>
      <c r="MZZ3"/>
      <c r="NAA3"/>
      <c r="NAB3"/>
      <c r="NAC3"/>
      <c r="NAD3"/>
      <c r="NAE3"/>
      <c r="NAF3"/>
      <c r="NAG3"/>
      <c r="NAH3"/>
      <c r="NAI3"/>
      <c r="NAJ3"/>
      <c r="NAK3"/>
      <c r="NAL3"/>
      <c r="NAM3"/>
      <c r="NAN3"/>
      <c r="NAO3"/>
      <c r="NAP3"/>
      <c r="NAQ3"/>
      <c r="NAR3"/>
      <c r="NAS3"/>
      <c r="NAT3"/>
      <c r="NAU3"/>
      <c r="NAV3"/>
      <c r="NAW3"/>
      <c r="NAX3"/>
      <c r="NAY3"/>
      <c r="NAZ3"/>
      <c r="NBA3"/>
      <c r="NBB3"/>
      <c r="NBC3"/>
      <c r="NBD3"/>
      <c r="NBE3"/>
      <c r="NBF3"/>
      <c r="NBG3"/>
      <c r="NBH3"/>
      <c r="NBI3"/>
      <c r="NBJ3"/>
      <c r="NBK3"/>
      <c r="NBL3"/>
      <c r="NBM3"/>
      <c r="NBN3"/>
      <c r="NBO3"/>
      <c r="NBP3"/>
      <c r="NBQ3"/>
      <c r="NBR3"/>
      <c r="NBS3"/>
      <c r="NBT3"/>
      <c r="NBU3"/>
      <c r="NBV3"/>
      <c r="NBW3"/>
      <c r="NBX3"/>
      <c r="NBY3"/>
      <c r="NBZ3"/>
      <c r="NCA3"/>
      <c r="NCB3"/>
      <c r="NCC3"/>
      <c r="NCD3"/>
      <c r="NCE3"/>
      <c r="NCF3"/>
      <c r="NCG3"/>
      <c r="NCH3"/>
      <c r="NCI3"/>
      <c r="NCJ3"/>
      <c r="NCK3"/>
      <c r="NCL3"/>
      <c r="NCM3"/>
      <c r="NCN3"/>
      <c r="NCO3"/>
      <c r="NCP3"/>
      <c r="NCQ3"/>
      <c r="NCR3"/>
      <c r="NCS3"/>
      <c r="NCT3"/>
      <c r="NCU3"/>
      <c r="NCV3"/>
      <c r="NCW3"/>
      <c r="NCX3"/>
      <c r="NCY3"/>
      <c r="NCZ3"/>
      <c r="NDA3"/>
      <c r="NDB3"/>
      <c r="NDC3"/>
      <c r="NDD3"/>
      <c r="NDE3"/>
      <c r="NDF3"/>
      <c r="NDG3"/>
      <c r="NDH3"/>
      <c r="NDI3"/>
      <c r="NDJ3"/>
      <c r="NDK3"/>
      <c r="NDL3"/>
      <c r="NDM3"/>
      <c r="NDN3"/>
      <c r="NDO3"/>
      <c r="NDP3"/>
      <c r="NDQ3"/>
      <c r="NDR3"/>
      <c r="NDS3"/>
      <c r="NDT3"/>
      <c r="NDU3"/>
      <c r="NDV3"/>
      <c r="NDW3"/>
      <c r="NDX3"/>
      <c r="NDY3"/>
      <c r="NDZ3"/>
      <c r="NEA3"/>
      <c r="NEB3"/>
      <c r="NEC3"/>
      <c r="NED3"/>
      <c r="NEE3"/>
      <c r="NEF3"/>
      <c r="NEG3"/>
      <c r="NEH3"/>
      <c r="NEI3"/>
      <c r="NEJ3"/>
      <c r="NEK3"/>
      <c r="NEL3"/>
      <c r="NEM3"/>
      <c r="NEN3"/>
      <c r="NEO3"/>
      <c r="NEP3"/>
      <c r="NEQ3"/>
      <c r="NER3"/>
      <c r="NES3"/>
      <c r="NET3"/>
      <c r="NEU3"/>
      <c r="NEV3"/>
      <c r="NEW3"/>
      <c r="NEX3"/>
      <c r="NEY3"/>
      <c r="NEZ3"/>
      <c r="NFA3"/>
      <c r="NFB3"/>
      <c r="NFC3"/>
      <c r="NFD3"/>
      <c r="NFE3"/>
      <c r="NFF3"/>
      <c r="NFG3"/>
      <c r="NFH3"/>
      <c r="NFI3"/>
      <c r="NFJ3"/>
      <c r="NFK3"/>
      <c r="NFL3"/>
      <c r="NFM3"/>
      <c r="NFN3"/>
      <c r="NFO3"/>
      <c r="NFP3"/>
      <c r="NFQ3"/>
      <c r="NFR3"/>
      <c r="NFS3"/>
      <c r="NFT3"/>
      <c r="NFU3"/>
      <c r="NFV3"/>
      <c r="NFW3"/>
      <c r="NFX3"/>
      <c r="NFY3"/>
      <c r="NFZ3"/>
      <c r="NGA3"/>
      <c r="NGB3"/>
      <c r="NGC3"/>
      <c r="NGD3"/>
      <c r="NGE3"/>
      <c r="NGF3"/>
      <c r="NGG3"/>
      <c r="NGH3"/>
      <c r="NGI3"/>
      <c r="NGJ3"/>
      <c r="NGK3"/>
      <c r="NGL3"/>
      <c r="NGM3"/>
      <c r="NGN3"/>
      <c r="NGO3"/>
      <c r="NGP3"/>
      <c r="NGQ3"/>
      <c r="NGR3"/>
      <c r="NGS3"/>
      <c r="NGT3"/>
      <c r="NGU3"/>
      <c r="NGV3"/>
      <c r="NGW3"/>
      <c r="NGX3"/>
      <c r="NGY3"/>
      <c r="NGZ3"/>
      <c r="NHA3"/>
      <c r="NHB3"/>
      <c r="NHC3"/>
      <c r="NHD3"/>
      <c r="NHE3"/>
      <c r="NHF3"/>
      <c r="NHG3"/>
      <c r="NHH3"/>
      <c r="NHI3"/>
      <c r="NHJ3"/>
      <c r="NHK3"/>
      <c r="NHL3"/>
      <c r="NHM3"/>
      <c r="NHN3"/>
      <c r="NHO3"/>
      <c r="NHP3"/>
      <c r="NHQ3"/>
      <c r="NHR3"/>
      <c r="NHS3"/>
      <c r="NHT3"/>
      <c r="NHU3"/>
      <c r="NHV3"/>
      <c r="NHW3"/>
      <c r="NHX3"/>
      <c r="NHY3"/>
      <c r="NHZ3"/>
      <c r="NIA3"/>
      <c r="NIB3"/>
      <c r="NIC3"/>
      <c r="NID3"/>
      <c r="NIE3"/>
      <c r="NIF3"/>
      <c r="NIG3"/>
      <c r="NIH3"/>
      <c r="NII3"/>
      <c r="NIJ3"/>
      <c r="NIK3"/>
      <c r="NIL3"/>
      <c r="NIM3"/>
      <c r="NIN3"/>
      <c r="NIO3"/>
      <c r="NIP3"/>
      <c r="NIQ3"/>
      <c r="NIR3"/>
      <c r="NIS3"/>
      <c r="NIT3"/>
      <c r="NIU3"/>
      <c r="NIV3"/>
      <c r="NIW3"/>
      <c r="NIX3"/>
      <c r="NIY3"/>
      <c r="NIZ3"/>
      <c r="NJA3"/>
      <c r="NJB3"/>
      <c r="NJC3"/>
      <c r="NJD3"/>
      <c r="NJE3"/>
      <c r="NJF3"/>
      <c r="NJG3"/>
      <c r="NJH3"/>
      <c r="NJI3"/>
      <c r="NJJ3"/>
      <c r="NJK3"/>
      <c r="NJL3"/>
      <c r="NJM3"/>
      <c r="NJN3"/>
      <c r="NJO3"/>
      <c r="NJP3"/>
      <c r="NJQ3"/>
      <c r="NJR3"/>
      <c r="NJS3"/>
      <c r="NJT3"/>
      <c r="NJU3"/>
      <c r="NJV3"/>
      <c r="NJW3"/>
      <c r="NJX3"/>
      <c r="NJY3"/>
      <c r="NJZ3"/>
      <c r="NKA3"/>
      <c r="NKB3"/>
      <c r="NKC3"/>
      <c r="NKD3"/>
      <c r="NKE3"/>
      <c r="NKF3"/>
      <c r="NKG3"/>
      <c r="NKH3"/>
      <c r="NKI3"/>
      <c r="NKJ3"/>
      <c r="NKK3"/>
      <c r="NKL3"/>
      <c r="NKM3"/>
      <c r="NKN3"/>
      <c r="NKO3"/>
      <c r="NKP3"/>
      <c r="NKQ3"/>
      <c r="NKR3"/>
      <c r="NKS3"/>
      <c r="NKT3"/>
      <c r="NKU3"/>
      <c r="NKV3"/>
      <c r="NKW3"/>
      <c r="NKX3"/>
      <c r="NKY3"/>
      <c r="NKZ3"/>
      <c r="NLA3"/>
      <c r="NLB3"/>
      <c r="NLC3"/>
      <c r="NLD3"/>
      <c r="NLE3"/>
      <c r="NLF3"/>
      <c r="NLG3"/>
      <c r="NLH3"/>
      <c r="NLI3"/>
      <c r="NLJ3"/>
      <c r="NLK3"/>
      <c r="NLL3"/>
      <c r="NLM3"/>
      <c r="NLN3"/>
      <c r="NLO3"/>
      <c r="NLP3"/>
      <c r="NLQ3"/>
      <c r="NLR3"/>
      <c r="NLS3"/>
      <c r="NLT3"/>
      <c r="NLU3"/>
      <c r="NLV3"/>
      <c r="NLW3"/>
      <c r="NLX3"/>
      <c r="NLY3"/>
      <c r="NLZ3"/>
      <c r="NMA3"/>
      <c r="NMB3"/>
      <c r="NMC3"/>
      <c r="NMD3"/>
      <c r="NME3"/>
      <c r="NMF3"/>
      <c r="NMG3"/>
      <c r="NMH3"/>
      <c r="NMI3"/>
      <c r="NMJ3"/>
      <c r="NMK3"/>
      <c r="NML3"/>
      <c r="NMM3"/>
      <c r="NMN3"/>
      <c r="NMO3"/>
      <c r="NMP3"/>
      <c r="NMQ3"/>
      <c r="NMR3"/>
      <c r="NMS3"/>
      <c r="NMT3"/>
      <c r="NMU3"/>
      <c r="NMV3"/>
      <c r="NMW3"/>
      <c r="NMX3"/>
      <c r="NMY3"/>
      <c r="NMZ3"/>
      <c r="NNA3"/>
      <c r="NNB3"/>
      <c r="NNC3"/>
      <c r="NND3"/>
      <c r="NNE3"/>
      <c r="NNF3"/>
      <c r="NNG3"/>
      <c r="NNH3"/>
      <c r="NNI3"/>
      <c r="NNJ3"/>
      <c r="NNK3"/>
      <c r="NNL3"/>
      <c r="NNM3"/>
      <c r="NNN3"/>
      <c r="NNO3"/>
      <c r="NNP3"/>
      <c r="NNQ3"/>
      <c r="NNR3"/>
      <c r="NNS3"/>
      <c r="NNT3"/>
      <c r="NNU3"/>
      <c r="NNV3"/>
      <c r="NNW3"/>
      <c r="NNX3"/>
      <c r="NNY3"/>
      <c r="NNZ3"/>
      <c r="NOA3"/>
      <c r="NOB3"/>
      <c r="NOC3"/>
      <c r="NOD3"/>
      <c r="NOE3"/>
      <c r="NOF3"/>
      <c r="NOG3"/>
      <c r="NOH3"/>
      <c r="NOI3"/>
      <c r="NOJ3"/>
      <c r="NOK3"/>
      <c r="NOL3"/>
      <c r="NOM3"/>
      <c r="NON3"/>
      <c r="NOO3"/>
      <c r="NOP3"/>
      <c r="NOQ3"/>
      <c r="NOR3"/>
      <c r="NOS3"/>
      <c r="NOT3"/>
      <c r="NOU3"/>
      <c r="NOV3"/>
      <c r="NOW3"/>
      <c r="NOX3"/>
      <c r="NOY3"/>
      <c r="NOZ3"/>
      <c r="NPA3"/>
      <c r="NPB3"/>
      <c r="NPC3"/>
      <c r="NPD3"/>
      <c r="NPE3"/>
      <c r="NPF3"/>
      <c r="NPG3"/>
      <c r="NPH3"/>
      <c r="NPI3"/>
      <c r="NPJ3"/>
      <c r="NPK3"/>
      <c r="NPL3"/>
      <c r="NPM3"/>
      <c r="NPN3"/>
      <c r="NPO3"/>
      <c r="NPP3"/>
      <c r="NPQ3"/>
      <c r="NPR3"/>
      <c r="NPS3"/>
      <c r="NPT3"/>
      <c r="NPU3"/>
      <c r="NPV3"/>
      <c r="NPW3"/>
      <c r="NPX3"/>
      <c r="NPY3"/>
      <c r="NPZ3"/>
      <c r="NQA3"/>
      <c r="NQB3"/>
      <c r="NQC3"/>
      <c r="NQD3"/>
      <c r="NQE3"/>
      <c r="NQF3"/>
      <c r="NQG3"/>
      <c r="NQH3"/>
      <c r="NQI3"/>
      <c r="NQJ3"/>
      <c r="NQK3"/>
      <c r="NQL3"/>
      <c r="NQM3"/>
      <c r="NQN3"/>
      <c r="NQO3"/>
      <c r="NQP3"/>
      <c r="NQQ3"/>
      <c r="NQR3"/>
      <c r="NQS3"/>
      <c r="NQT3"/>
      <c r="NQU3"/>
      <c r="NQV3"/>
      <c r="NQW3"/>
      <c r="NQX3"/>
      <c r="NQY3"/>
      <c r="NQZ3"/>
      <c r="NRA3"/>
      <c r="NRB3"/>
      <c r="NRC3"/>
      <c r="NRD3"/>
      <c r="NRE3"/>
      <c r="NRF3"/>
      <c r="NRG3"/>
      <c r="NRH3"/>
      <c r="NRI3"/>
      <c r="NRJ3"/>
      <c r="NRK3"/>
      <c r="NRL3"/>
      <c r="NRM3"/>
      <c r="NRN3"/>
      <c r="NRO3"/>
      <c r="NRP3"/>
      <c r="NRQ3"/>
      <c r="NRR3"/>
      <c r="NRS3"/>
      <c r="NRT3"/>
      <c r="NRU3"/>
      <c r="NRV3"/>
      <c r="NRW3"/>
      <c r="NRX3"/>
      <c r="NRY3"/>
      <c r="NRZ3"/>
      <c r="NSA3"/>
      <c r="NSB3"/>
      <c r="NSC3"/>
      <c r="NSD3"/>
      <c r="NSE3"/>
      <c r="NSF3"/>
      <c r="NSG3"/>
      <c r="NSH3"/>
      <c r="NSI3"/>
      <c r="NSJ3"/>
      <c r="NSK3"/>
      <c r="NSL3"/>
      <c r="NSM3"/>
      <c r="NSN3"/>
      <c r="NSO3"/>
      <c r="NSP3"/>
      <c r="NSQ3"/>
      <c r="NSR3"/>
      <c r="NSS3"/>
      <c r="NST3"/>
      <c r="NSU3"/>
      <c r="NSV3"/>
      <c r="NSW3"/>
      <c r="NSX3"/>
      <c r="NSY3"/>
      <c r="NSZ3"/>
      <c r="NTA3"/>
      <c r="NTB3"/>
      <c r="NTC3"/>
      <c r="NTD3"/>
      <c r="NTE3"/>
      <c r="NTF3"/>
      <c r="NTG3"/>
      <c r="NTH3"/>
      <c r="NTI3"/>
      <c r="NTJ3"/>
      <c r="NTK3"/>
      <c r="NTL3"/>
      <c r="NTM3"/>
      <c r="NTN3"/>
      <c r="NTO3"/>
      <c r="NTP3"/>
      <c r="NTQ3"/>
      <c r="NTR3"/>
      <c r="NTS3"/>
      <c r="NTT3"/>
      <c r="NTU3"/>
      <c r="NTV3"/>
      <c r="NTW3"/>
      <c r="NTX3"/>
      <c r="NTY3"/>
      <c r="NTZ3"/>
      <c r="NUA3"/>
      <c r="NUB3"/>
      <c r="NUC3"/>
      <c r="NUD3"/>
      <c r="NUE3"/>
      <c r="NUF3"/>
      <c r="NUG3"/>
      <c r="NUH3"/>
      <c r="NUI3"/>
      <c r="NUJ3"/>
      <c r="NUK3"/>
      <c r="NUL3"/>
      <c r="NUM3"/>
      <c r="NUN3"/>
      <c r="NUO3"/>
      <c r="NUP3"/>
      <c r="NUQ3"/>
      <c r="NUR3"/>
      <c r="NUS3"/>
      <c r="NUT3"/>
      <c r="NUU3"/>
      <c r="NUV3"/>
      <c r="NUW3"/>
      <c r="NUX3"/>
      <c r="NUY3"/>
      <c r="NUZ3"/>
      <c r="NVA3"/>
      <c r="NVB3"/>
      <c r="NVC3"/>
      <c r="NVD3"/>
      <c r="NVE3"/>
      <c r="NVF3"/>
      <c r="NVG3"/>
      <c r="NVH3"/>
      <c r="NVI3"/>
      <c r="NVJ3"/>
      <c r="NVK3"/>
      <c r="NVL3"/>
      <c r="NVM3"/>
      <c r="NVN3"/>
      <c r="NVO3"/>
      <c r="NVP3"/>
      <c r="NVQ3"/>
      <c r="NVR3"/>
      <c r="NVS3"/>
      <c r="NVT3"/>
      <c r="NVU3"/>
      <c r="NVV3"/>
      <c r="NVW3"/>
      <c r="NVX3"/>
      <c r="NVY3"/>
      <c r="NVZ3"/>
      <c r="NWA3"/>
      <c r="NWB3"/>
      <c r="NWC3"/>
      <c r="NWD3"/>
      <c r="NWE3"/>
      <c r="NWF3"/>
      <c r="NWG3"/>
      <c r="NWH3"/>
      <c r="NWI3"/>
      <c r="NWJ3"/>
      <c r="NWK3"/>
      <c r="NWL3"/>
      <c r="NWM3"/>
      <c r="NWN3"/>
      <c r="NWO3"/>
      <c r="NWP3"/>
      <c r="NWQ3"/>
      <c r="NWR3"/>
      <c r="NWS3"/>
      <c r="NWT3"/>
      <c r="NWU3"/>
      <c r="NWV3"/>
      <c r="NWW3"/>
      <c r="NWX3"/>
      <c r="NWY3"/>
      <c r="NWZ3"/>
      <c r="NXA3"/>
      <c r="NXB3"/>
      <c r="NXC3"/>
      <c r="NXD3"/>
      <c r="NXE3"/>
      <c r="NXF3"/>
      <c r="NXG3"/>
      <c r="NXH3"/>
      <c r="NXI3"/>
      <c r="NXJ3"/>
      <c r="NXK3"/>
      <c r="NXL3"/>
      <c r="NXM3"/>
      <c r="NXN3"/>
      <c r="NXO3"/>
      <c r="NXP3"/>
      <c r="NXQ3"/>
      <c r="NXR3"/>
      <c r="NXS3"/>
      <c r="NXT3"/>
      <c r="NXU3"/>
      <c r="NXV3"/>
      <c r="NXW3"/>
      <c r="NXX3"/>
      <c r="NXY3"/>
      <c r="NXZ3"/>
      <c r="NYA3"/>
      <c r="NYB3"/>
      <c r="NYC3"/>
      <c r="NYD3"/>
      <c r="NYE3"/>
      <c r="NYF3"/>
      <c r="NYG3"/>
      <c r="NYH3"/>
      <c r="NYI3"/>
      <c r="NYJ3"/>
      <c r="NYK3"/>
      <c r="NYL3"/>
      <c r="NYM3"/>
      <c r="NYN3"/>
      <c r="NYO3"/>
      <c r="NYP3"/>
      <c r="NYQ3"/>
      <c r="NYR3"/>
      <c r="NYS3"/>
      <c r="NYT3"/>
      <c r="NYU3"/>
      <c r="NYV3"/>
      <c r="NYW3"/>
      <c r="NYX3"/>
      <c r="NYY3"/>
      <c r="NYZ3"/>
      <c r="NZA3"/>
      <c r="NZB3"/>
      <c r="NZC3"/>
      <c r="NZD3"/>
      <c r="NZE3"/>
      <c r="NZF3"/>
      <c r="NZG3"/>
      <c r="NZH3"/>
      <c r="NZI3"/>
      <c r="NZJ3"/>
      <c r="NZK3"/>
      <c r="NZL3"/>
      <c r="NZM3"/>
      <c r="NZN3"/>
      <c r="NZO3"/>
      <c r="NZP3"/>
      <c r="NZQ3"/>
      <c r="NZR3"/>
      <c r="NZS3"/>
      <c r="NZT3"/>
      <c r="NZU3"/>
      <c r="NZV3"/>
      <c r="NZW3"/>
      <c r="NZX3"/>
      <c r="NZY3"/>
      <c r="NZZ3"/>
      <c r="OAA3"/>
      <c r="OAB3"/>
      <c r="OAC3"/>
      <c r="OAD3"/>
      <c r="OAE3"/>
      <c r="OAF3"/>
      <c r="OAG3"/>
      <c r="OAH3"/>
      <c r="OAI3"/>
      <c r="OAJ3"/>
      <c r="OAK3"/>
      <c r="OAL3"/>
      <c r="OAM3"/>
      <c r="OAN3"/>
      <c r="OAO3"/>
      <c r="OAP3"/>
      <c r="OAQ3"/>
      <c r="OAR3"/>
      <c r="OAS3"/>
      <c r="OAT3"/>
      <c r="OAU3"/>
      <c r="OAV3"/>
      <c r="OAW3"/>
      <c r="OAX3"/>
      <c r="OAY3"/>
      <c r="OAZ3"/>
      <c r="OBA3"/>
      <c r="OBB3"/>
      <c r="OBC3"/>
      <c r="OBD3"/>
      <c r="OBE3"/>
      <c r="OBF3"/>
      <c r="OBG3"/>
      <c r="OBH3"/>
      <c r="OBI3"/>
      <c r="OBJ3"/>
      <c r="OBK3"/>
      <c r="OBL3"/>
      <c r="OBM3"/>
      <c r="OBN3"/>
      <c r="OBO3"/>
      <c r="OBP3"/>
      <c r="OBQ3"/>
      <c r="OBR3"/>
      <c r="OBS3"/>
      <c r="OBT3"/>
      <c r="OBU3"/>
      <c r="OBV3"/>
      <c r="OBW3"/>
      <c r="OBX3"/>
      <c r="OBY3"/>
      <c r="OBZ3"/>
      <c r="OCA3"/>
      <c r="OCB3"/>
      <c r="OCC3"/>
      <c r="OCD3"/>
      <c r="OCE3"/>
      <c r="OCF3"/>
      <c r="OCG3"/>
      <c r="OCH3"/>
      <c r="OCI3"/>
      <c r="OCJ3"/>
      <c r="OCK3"/>
      <c r="OCL3"/>
      <c r="OCM3"/>
      <c r="OCN3"/>
      <c r="OCO3"/>
      <c r="OCP3"/>
      <c r="OCQ3"/>
      <c r="OCR3"/>
      <c r="OCS3"/>
      <c r="OCT3"/>
      <c r="OCU3"/>
      <c r="OCV3"/>
      <c r="OCW3"/>
      <c r="OCX3"/>
      <c r="OCY3"/>
      <c r="OCZ3"/>
      <c r="ODA3"/>
      <c r="ODB3"/>
      <c r="ODC3"/>
      <c r="ODD3"/>
      <c r="ODE3"/>
      <c r="ODF3"/>
      <c r="ODG3"/>
      <c r="ODH3"/>
      <c r="ODI3"/>
      <c r="ODJ3"/>
      <c r="ODK3"/>
      <c r="ODL3"/>
      <c r="ODM3"/>
      <c r="ODN3"/>
      <c r="ODO3"/>
      <c r="ODP3"/>
      <c r="ODQ3"/>
      <c r="ODR3"/>
      <c r="ODS3"/>
      <c r="ODT3"/>
      <c r="ODU3"/>
      <c r="ODV3"/>
      <c r="ODW3"/>
      <c r="ODX3"/>
      <c r="ODY3"/>
      <c r="ODZ3"/>
      <c r="OEA3"/>
      <c r="OEB3"/>
      <c r="OEC3"/>
      <c r="OED3"/>
      <c r="OEE3"/>
      <c r="OEF3"/>
      <c r="OEG3"/>
      <c r="OEH3"/>
      <c r="OEI3"/>
      <c r="OEJ3"/>
      <c r="OEK3"/>
      <c r="OEL3"/>
      <c r="OEM3"/>
      <c r="OEN3"/>
      <c r="OEO3"/>
      <c r="OEP3"/>
      <c r="OEQ3"/>
      <c r="OER3"/>
      <c r="OES3"/>
      <c r="OET3"/>
      <c r="OEU3"/>
      <c r="OEV3"/>
      <c r="OEW3"/>
      <c r="OEX3"/>
      <c r="OEY3"/>
      <c r="OEZ3"/>
      <c r="OFA3"/>
      <c r="OFB3"/>
      <c r="OFC3"/>
      <c r="OFD3"/>
      <c r="OFE3"/>
      <c r="OFF3"/>
      <c r="OFG3"/>
      <c r="OFH3"/>
      <c r="OFI3"/>
      <c r="OFJ3"/>
      <c r="OFK3"/>
      <c r="OFL3"/>
      <c r="OFM3"/>
      <c r="OFN3"/>
      <c r="OFO3"/>
      <c r="OFP3"/>
      <c r="OFQ3"/>
      <c r="OFR3"/>
      <c r="OFS3"/>
      <c r="OFT3"/>
      <c r="OFU3"/>
      <c r="OFV3"/>
      <c r="OFW3"/>
      <c r="OFX3"/>
      <c r="OFY3"/>
      <c r="OFZ3"/>
      <c r="OGA3"/>
      <c r="OGB3"/>
      <c r="OGC3"/>
      <c r="OGD3"/>
      <c r="OGE3"/>
      <c r="OGF3"/>
      <c r="OGG3"/>
      <c r="OGH3"/>
      <c r="OGI3"/>
      <c r="OGJ3"/>
      <c r="OGK3"/>
      <c r="OGL3"/>
      <c r="OGM3"/>
      <c r="OGN3"/>
      <c r="OGO3"/>
      <c r="OGP3"/>
      <c r="OGQ3"/>
      <c r="OGR3"/>
      <c r="OGS3"/>
      <c r="OGT3"/>
      <c r="OGU3"/>
      <c r="OGV3"/>
      <c r="OGW3"/>
      <c r="OGX3"/>
      <c r="OGY3"/>
      <c r="OGZ3"/>
      <c r="OHA3"/>
      <c r="OHB3"/>
      <c r="OHC3"/>
      <c r="OHD3"/>
      <c r="OHE3"/>
      <c r="OHF3"/>
      <c r="OHG3"/>
      <c r="OHH3"/>
      <c r="OHI3"/>
      <c r="OHJ3"/>
      <c r="OHK3"/>
      <c r="OHL3"/>
      <c r="OHM3"/>
      <c r="OHN3"/>
      <c r="OHO3"/>
      <c r="OHP3"/>
      <c r="OHQ3"/>
      <c r="OHR3"/>
      <c r="OHS3"/>
      <c r="OHT3"/>
      <c r="OHU3"/>
      <c r="OHV3"/>
      <c r="OHW3"/>
      <c r="OHX3"/>
      <c r="OHY3"/>
      <c r="OHZ3"/>
      <c r="OIA3"/>
      <c r="OIB3"/>
      <c r="OIC3"/>
      <c r="OID3"/>
      <c r="OIE3"/>
      <c r="OIF3"/>
      <c r="OIG3"/>
      <c r="OIH3"/>
      <c r="OII3"/>
      <c r="OIJ3"/>
      <c r="OIK3"/>
      <c r="OIL3"/>
      <c r="OIM3"/>
      <c r="OIN3"/>
      <c r="OIO3"/>
      <c r="OIP3"/>
      <c r="OIQ3"/>
      <c r="OIR3"/>
      <c r="OIS3"/>
      <c r="OIT3"/>
      <c r="OIU3"/>
      <c r="OIV3"/>
      <c r="OIW3"/>
      <c r="OIX3"/>
      <c r="OIY3"/>
      <c r="OIZ3"/>
      <c r="OJA3"/>
      <c r="OJB3"/>
      <c r="OJC3"/>
      <c r="OJD3"/>
      <c r="OJE3"/>
      <c r="OJF3"/>
      <c r="OJG3"/>
      <c r="OJH3"/>
      <c r="OJI3"/>
      <c r="OJJ3"/>
      <c r="OJK3"/>
      <c r="OJL3"/>
      <c r="OJM3"/>
      <c r="OJN3"/>
      <c r="OJO3"/>
      <c r="OJP3"/>
      <c r="OJQ3"/>
      <c r="OJR3"/>
      <c r="OJS3"/>
      <c r="OJT3"/>
      <c r="OJU3"/>
      <c r="OJV3"/>
      <c r="OJW3"/>
      <c r="OJX3"/>
      <c r="OJY3"/>
      <c r="OJZ3"/>
      <c r="OKA3"/>
      <c r="OKB3"/>
      <c r="OKC3"/>
      <c r="OKD3"/>
      <c r="OKE3"/>
      <c r="OKF3"/>
      <c r="OKG3"/>
      <c r="OKH3"/>
      <c r="OKI3"/>
      <c r="OKJ3"/>
      <c r="OKK3"/>
      <c r="OKL3"/>
      <c r="OKM3"/>
      <c r="OKN3"/>
      <c r="OKO3"/>
      <c r="OKP3"/>
      <c r="OKQ3"/>
      <c r="OKR3"/>
      <c r="OKS3"/>
      <c r="OKT3"/>
      <c r="OKU3"/>
      <c r="OKV3"/>
      <c r="OKW3"/>
      <c r="OKX3"/>
      <c r="OKY3"/>
      <c r="OKZ3"/>
      <c r="OLA3"/>
      <c r="OLB3"/>
      <c r="OLC3"/>
      <c r="OLD3"/>
      <c r="OLE3"/>
      <c r="OLF3"/>
      <c r="OLG3"/>
      <c r="OLH3"/>
      <c r="OLI3"/>
      <c r="OLJ3"/>
      <c r="OLK3"/>
      <c r="OLL3"/>
      <c r="OLM3"/>
      <c r="OLN3"/>
      <c r="OLO3"/>
      <c r="OLP3"/>
      <c r="OLQ3"/>
      <c r="OLR3"/>
      <c r="OLS3"/>
      <c r="OLT3"/>
      <c r="OLU3"/>
      <c r="OLV3"/>
      <c r="OLW3"/>
      <c r="OLX3"/>
      <c r="OLY3"/>
      <c r="OLZ3"/>
      <c r="OMA3"/>
      <c r="OMB3"/>
      <c r="OMC3"/>
      <c r="OMD3"/>
      <c r="OME3"/>
      <c r="OMF3"/>
      <c r="OMG3"/>
      <c r="OMH3"/>
      <c r="OMI3"/>
      <c r="OMJ3"/>
      <c r="OMK3"/>
      <c r="OML3"/>
      <c r="OMM3"/>
      <c r="OMN3"/>
      <c r="OMO3"/>
      <c r="OMP3"/>
      <c r="OMQ3"/>
      <c r="OMR3"/>
      <c r="OMS3"/>
      <c r="OMT3"/>
      <c r="OMU3"/>
      <c r="OMV3"/>
      <c r="OMW3"/>
      <c r="OMX3"/>
      <c r="OMY3"/>
      <c r="OMZ3"/>
      <c r="ONA3"/>
      <c r="ONB3"/>
      <c r="ONC3"/>
      <c r="OND3"/>
      <c r="ONE3"/>
      <c r="ONF3"/>
      <c r="ONG3"/>
      <c r="ONH3"/>
      <c r="ONI3"/>
      <c r="ONJ3"/>
      <c r="ONK3"/>
      <c r="ONL3"/>
      <c r="ONM3"/>
      <c r="ONN3"/>
      <c r="ONO3"/>
      <c r="ONP3"/>
      <c r="ONQ3"/>
      <c r="ONR3"/>
      <c r="ONS3"/>
      <c r="ONT3"/>
      <c r="ONU3"/>
      <c r="ONV3"/>
      <c r="ONW3"/>
      <c r="ONX3"/>
      <c r="ONY3"/>
      <c r="ONZ3"/>
      <c r="OOA3"/>
      <c r="OOB3"/>
      <c r="OOC3"/>
      <c r="OOD3"/>
      <c r="OOE3"/>
      <c r="OOF3"/>
      <c r="OOG3"/>
      <c r="OOH3"/>
      <c r="OOI3"/>
      <c r="OOJ3"/>
      <c r="OOK3"/>
      <c r="OOL3"/>
      <c r="OOM3"/>
      <c r="OON3"/>
      <c r="OOO3"/>
      <c r="OOP3"/>
      <c r="OOQ3"/>
      <c r="OOR3"/>
      <c r="OOS3"/>
      <c r="OOT3"/>
      <c r="OOU3"/>
      <c r="OOV3"/>
      <c r="OOW3"/>
      <c r="OOX3"/>
      <c r="OOY3"/>
      <c r="OOZ3"/>
      <c r="OPA3"/>
      <c r="OPB3"/>
      <c r="OPC3"/>
      <c r="OPD3"/>
      <c r="OPE3"/>
      <c r="OPF3"/>
      <c r="OPG3"/>
      <c r="OPH3"/>
      <c r="OPI3"/>
      <c r="OPJ3"/>
      <c r="OPK3"/>
      <c r="OPL3"/>
      <c r="OPM3"/>
      <c r="OPN3"/>
      <c r="OPO3"/>
      <c r="OPP3"/>
      <c r="OPQ3"/>
      <c r="OPR3"/>
      <c r="OPS3"/>
      <c r="OPT3"/>
      <c r="OPU3"/>
      <c r="OPV3"/>
      <c r="OPW3"/>
      <c r="OPX3"/>
      <c r="OPY3"/>
      <c r="OPZ3"/>
      <c r="OQA3"/>
      <c r="OQB3"/>
      <c r="OQC3"/>
      <c r="OQD3"/>
      <c r="OQE3"/>
      <c r="OQF3"/>
      <c r="OQG3"/>
      <c r="OQH3"/>
      <c r="OQI3"/>
      <c r="OQJ3"/>
      <c r="OQK3"/>
      <c r="OQL3"/>
      <c r="OQM3"/>
      <c r="OQN3"/>
      <c r="OQO3"/>
      <c r="OQP3"/>
      <c r="OQQ3"/>
      <c r="OQR3"/>
      <c r="OQS3"/>
      <c r="OQT3"/>
      <c r="OQU3"/>
      <c r="OQV3"/>
      <c r="OQW3"/>
      <c r="OQX3"/>
      <c r="OQY3"/>
      <c r="OQZ3"/>
      <c r="ORA3"/>
      <c r="ORB3"/>
      <c r="ORC3"/>
      <c r="ORD3"/>
      <c r="ORE3"/>
      <c r="ORF3"/>
      <c r="ORG3"/>
      <c r="ORH3"/>
      <c r="ORI3"/>
      <c r="ORJ3"/>
      <c r="ORK3"/>
      <c r="ORL3"/>
      <c r="ORM3"/>
      <c r="ORN3"/>
      <c r="ORO3"/>
      <c r="ORP3"/>
      <c r="ORQ3"/>
      <c r="ORR3"/>
      <c r="ORS3"/>
      <c r="ORT3"/>
      <c r="ORU3"/>
      <c r="ORV3"/>
      <c r="ORW3"/>
      <c r="ORX3"/>
      <c r="ORY3"/>
      <c r="ORZ3"/>
      <c r="OSA3"/>
      <c r="OSB3"/>
      <c r="OSC3"/>
      <c r="OSD3"/>
      <c r="OSE3"/>
      <c r="OSF3"/>
      <c r="OSG3"/>
      <c r="OSH3"/>
      <c r="OSI3"/>
      <c r="OSJ3"/>
      <c r="OSK3"/>
      <c r="OSL3"/>
      <c r="OSM3"/>
      <c r="OSN3"/>
      <c r="OSO3"/>
      <c r="OSP3"/>
      <c r="OSQ3"/>
      <c r="OSR3"/>
      <c r="OSS3"/>
      <c r="OST3"/>
      <c r="OSU3"/>
      <c r="OSV3"/>
      <c r="OSW3"/>
      <c r="OSX3"/>
      <c r="OSY3"/>
      <c r="OSZ3"/>
      <c r="OTA3"/>
      <c r="OTB3"/>
      <c r="OTC3"/>
      <c r="OTD3"/>
      <c r="OTE3"/>
      <c r="OTF3"/>
      <c r="OTG3"/>
      <c r="OTH3"/>
      <c r="OTI3"/>
      <c r="OTJ3"/>
      <c r="OTK3"/>
      <c r="OTL3"/>
      <c r="OTM3"/>
      <c r="OTN3"/>
      <c r="OTO3"/>
      <c r="OTP3"/>
      <c r="OTQ3"/>
      <c r="OTR3"/>
      <c r="OTS3"/>
      <c r="OTT3"/>
      <c r="OTU3"/>
      <c r="OTV3"/>
      <c r="OTW3"/>
      <c r="OTX3"/>
      <c r="OTY3"/>
      <c r="OTZ3"/>
      <c r="OUA3"/>
      <c r="OUB3"/>
      <c r="OUC3"/>
      <c r="OUD3"/>
      <c r="OUE3"/>
      <c r="OUF3"/>
      <c r="OUG3"/>
      <c r="OUH3"/>
      <c r="OUI3"/>
      <c r="OUJ3"/>
      <c r="OUK3"/>
      <c r="OUL3"/>
      <c r="OUM3"/>
      <c r="OUN3"/>
      <c r="OUO3"/>
      <c r="OUP3"/>
      <c r="OUQ3"/>
      <c r="OUR3"/>
      <c r="OUS3"/>
      <c r="OUT3"/>
      <c r="OUU3"/>
      <c r="OUV3"/>
      <c r="OUW3"/>
      <c r="OUX3"/>
      <c r="OUY3"/>
      <c r="OUZ3"/>
      <c r="OVA3"/>
      <c r="OVB3"/>
      <c r="OVC3"/>
      <c r="OVD3"/>
      <c r="OVE3"/>
      <c r="OVF3"/>
      <c r="OVG3"/>
      <c r="OVH3"/>
      <c r="OVI3"/>
      <c r="OVJ3"/>
      <c r="OVK3"/>
      <c r="OVL3"/>
      <c r="OVM3"/>
      <c r="OVN3"/>
      <c r="OVO3"/>
      <c r="OVP3"/>
      <c r="OVQ3"/>
      <c r="OVR3"/>
      <c r="OVS3"/>
      <c r="OVT3"/>
      <c r="OVU3"/>
      <c r="OVV3"/>
      <c r="OVW3"/>
      <c r="OVX3"/>
      <c r="OVY3"/>
      <c r="OVZ3"/>
      <c r="OWA3"/>
      <c r="OWB3"/>
      <c r="OWC3"/>
      <c r="OWD3"/>
      <c r="OWE3"/>
      <c r="OWF3"/>
      <c r="OWG3"/>
      <c r="OWH3"/>
      <c r="OWI3"/>
      <c r="OWJ3"/>
      <c r="OWK3"/>
      <c r="OWL3"/>
      <c r="OWM3"/>
      <c r="OWN3"/>
      <c r="OWO3"/>
      <c r="OWP3"/>
      <c r="OWQ3"/>
      <c r="OWR3"/>
      <c r="OWS3"/>
      <c r="OWT3"/>
      <c r="OWU3"/>
      <c r="OWV3"/>
      <c r="OWW3"/>
      <c r="OWX3"/>
      <c r="OWY3"/>
      <c r="OWZ3"/>
      <c r="OXA3"/>
      <c r="OXB3"/>
      <c r="OXC3"/>
      <c r="OXD3"/>
      <c r="OXE3"/>
      <c r="OXF3"/>
      <c r="OXG3"/>
      <c r="OXH3"/>
      <c r="OXI3"/>
      <c r="OXJ3"/>
      <c r="OXK3"/>
      <c r="OXL3"/>
      <c r="OXM3"/>
      <c r="OXN3"/>
      <c r="OXO3"/>
      <c r="OXP3"/>
      <c r="OXQ3"/>
      <c r="OXR3"/>
      <c r="OXS3"/>
      <c r="OXT3"/>
      <c r="OXU3"/>
      <c r="OXV3"/>
      <c r="OXW3"/>
      <c r="OXX3"/>
      <c r="OXY3"/>
      <c r="OXZ3"/>
      <c r="OYA3"/>
      <c r="OYB3"/>
      <c r="OYC3"/>
      <c r="OYD3"/>
      <c r="OYE3"/>
      <c r="OYF3"/>
      <c r="OYG3"/>
      <c r="OYH3"/>
      <c r="OYI3"/>
      <c r="OYJ3"/>
      <c r="OYK3"/>
      <c r="OYL3"/>
      <c r="OYM3"/>
      <c r="OYN3"/>
      <c r="OYO3"/>
      <c r="OYP3"/>
      <c r="OYQ3"/>
      <c r="OYR3"/>
      <c r="OYS3"/>
      <c r="OYT3"/>
      <c r="OYU3"/>
      <c r="OYV3"/>
      <c r="OYW3"/>
      <c r="OYX3"/>
      <c r="OYY3"/>
      <c r="OYZ3"/>
      <c r="OZA3"/>
      <c r="OZB3"/>
      <c r="OZC3"/>
      <c r="OZD3"/>
      <c r="OZE3"/>
      <c r="OZF3"/>
      <c r="OZG3"/>
      <c r="OZH3"/>
      <c r="OZI3"/>
      <c r="OZJ3"/>
      <c r="OZK3"/>
      <c r="OZL3"/>
      <c r="OZM3"/>
      <c r="OZN3"/>
      <c r="OZO3"/>
      <c r="OZP3"/>
      <c r="OZQ3"/>
      <c r="OZR3"/>
      <c r="OZS3"/>
      <c r="OZT3"/>
      <c r="OZU3"/>
      <c r="OZV3"/>
      <c r="OZW3"/>
      <c r="OZX3"/>
      <c r="OZY3"/>
      <c r="OZZ3"/>
      <c r="PAA3"/>
      <c r="PAB3"/>
      <c r="PAC3"/>
      <c r="PAD3"/>
      <c r="PAE3"/>
      <c r="PAF3"/>
      <c r="PAG3"/>
      <c r="PAH3"/>
      <c r="PAI3"/>
      <c r="PAJ3"/>
      <c r="PAK3"/>
      <c r="PAL3"/>
      <c r="PAM3"/>
      <c r="PAN3"/>
      <c r="PAO3"/>
      <c r="PAP3"/>
      <c r="PAQ3"/>
      <c r="PAR3"/>
      <c r="PAS3"/>
      <c r="PAT3"/>
      <c r="PAU3"/>
      <c r="PAV3"/>
      <c r="PAW3"/>
      <c r="PAX3"/>
      <c r="PAY3"/>
      <c r="PAZ3"/>
      <c r="PBA3"/>
      <c r="PBB3"/>
      <c r="PBC3"/>
      <c r="PBD3"/>
      <c r="PBE3"/>
      <c r="PBF3"/>
      <c r="PBG3"/>
      <c r="PBH3"/>
      <c r="PBI3"/>
      <c r="PBJ3"/>
      <c r="PBK3"/>
      <c r="PBL3"/>
      <c r="PBM3"/>
      <c r="PBN3"/>
      <c r="PBO3"/>
      <c r="PBP3"/>
      <c r="PBQ3"/>
      <c r="PBR3"/>
      <c r="PBS3"/>
      <c r="PBT3"/>
      <c r="PBU3"/>
      <c r="PBV3"/>
      <c r="PBW3"/>
      <c r="PBX3"/>
      <c r="PBY3"/>
      <c r="PBZ3"/>
      <c r="PCA3"/>
      <c r="PCB3"/>
      <c r="PCC3"/>
      <c r="PCD3"/>
      <c r="PCE3"/>
      <c r="PCF3"/>
      <c r="PCG3"/>
      <c r="PCH3"/>
      <c r="PCI3"/>
      <c r="PCJ3"/>
      <c r="PCK3"/>
      <c r="PCL3"/>
      <c r="PCM3"/>
      <c r="PCN3"/>
      <c r="PCO3"/>
      <c r="PCP3"/>
      <c r="PCQ3"/>
      <c r="PCR3"/>
      <c r="PCS3"/>
      <c r="PCT3"/>
      <c r="PCU3"/>
      <c r="PCV3"/>
      <c r="PCW3"/>
      <c r="PCX3"/>
      <c r="PCY3"/>
      <c r="PCZ3"/>
      <c r="PDA3"/>
      <c r="PDB3"/>
      <c r="PDC3"/>
      <c r="PDD3"/>
      <c r="PDE3"/>
      <c r="PDF3"/>
      <c r="PDG3"/>
      <c r="PDH3"/>
      <c r="PDI3"/>
      <c r="PDJ3"/>
      <c r="PDK3"/>
      <c r="PDL3"/>
      <c r="PDM3"/>
      <c r="PDN3"/>
      <c r="PDO3"/>
      <c r="PDP3"/>
      <c r="PDQ3"/>
      <c r="PDR3"/>
      <c r="PDS3"/>
      <c r="PDT3"/>
      <c r="PDU3"/>
      <c r="PDV3"/>
      <c r="PDW3"/>
      <c r="PDX3"/>
      <c r="PDY3"/>
      <c r="PDZ3"/>
      <c r="PEA3"/>
      <c r="PEB3"/>
      <c r="PEC3"/>
      <c r="PED3"/>
      <c r="PEE3"/>
      <c r="PEF3"/>
      <c r="PEG3"/>
      <c r="PEH3"/>
      <c r="PEI3"/>
      <c r="PEJ3"/>
      <c r="PEK3"/>
      <c r="PEL3"/>
      <c r="PEM3"/>
      <c r="PEN3"/>
      <c r="PEO3"/>
      <c r="PEP3"/>
      <c r="PEQ3"/>
      <c r="PER3"/>
      <c r="PES3"/>
      <c r="PET3"/>
      <c r="PEU3"/>
      <c r="PEV3"/>
      <c r="PEW3"/>
      <c r="PEX3"/>
      <c r="PEY3"/>
      <c r="PEZ3"/>
      <c r="PFA3"/>
      <c r="PFB3"/>
      <c r="PFC3"/>
      <c r="PFD3"/>
      <c r="PFE3"/>
      <c r="PFF3"/>
      <c r="PFG3"/>
      <c r="PFH3"/>
      <c r="PFI3"/>
      <c r="PFJ3"/>
      <c r="PFK3"/>
      <c r="PFL3"/>
      <c r="PFM3"/>
      <c r="PFN3"/>
      <c r="PFO3"/>
      <c r="PFP3"/>
      <c r="PFQ3"/>
      <c r="PFR3"/>
      <c r="PFS3"/>
      <c r="PFT3"/>
      <c r="PFU3"/>
      <c r="PFV3"/>
      <c r="PFW3"/>
      <c r="PFX3"/>
      <c r="PFY3"/>
      <c r="PFZ3"/>
      <c r="PGA3"/>
      <c r="PGB3"/>
      <c r="PGC3"/>
      <c r="PGD3"/>
      <c r="PGE3"/>
      <c r="PGF3"/>
      <c r="PGG3"/>
      <c r="PGH3"/>
      <c r="PGI3"/>
      <c r="PGJ3"/>
      <c r="PGK3"/>
      <c r="PGL3"/>
      <c r="PGM3"/>
      <c r="PGN3"/>
      <c r="PGO3"/>
      <c r="PGP3"/>
      <c r="PGQ3"/>
      <c r="PGR3"/>
      <c r="PGS3"/>
      <c r="PGT3"/>
      <c r="PGU3"/>
      <c r="PGV3"/>
      <c r="PGW3"/>
      <c r="PGX3"/>
      <c r="PGY3"/>
      <c r="PGZ3"/>
      <c r="PHA3"/>
      <c r="PHB3"/>
      <c r="PHC3"/>
      <c r="PHD3"/>
      <c r="PHE3"/>
      <c r="PHF3"/>
      <c r="PHG3"/>
      <c r="PHH3"/>
      <c r="PHI3"/>
      <c r="PHJ3"/>
      <c r="PHK3"/>
      <c r="PHL3"/>
      <c r="PHM3"/>
      <c r="PHN3"/>
      <c r="PHO3"/>
      <c r="PHP3"/>
      <c r="PHQ3"/>
      <c r="PHR3"/>
      <c r="PHS3"/>
      <c r="PHT3"/>
      <c r="PHU3"/>
      <c r="PHV3"/>
      <c r="PHW3"/>
      <c r="PHX3"/>
      <c r="PHY3"/>
      <c r="PHZ3"/>
      <c r="PIA3"/>
      <c r="PIB3"/>
      <c r="PIC3"/>
      <c r="PID3"/>
      <c r="PIE3"/>
      <c r="PIF3"/>
      <c r="PIG3"/>
      <c r="PIH3"/>
      <c r="PII3"/>
      <c r="PIJ3"/>
      <c r="PIK3"/>
      <c r="PIL3"/>
      <c r="PIM3"/>
      <c r="PIN3"/>
      <c r="PIO3"/>
      <c r="PIP3"/>
      <c r="PIQ3"/>
      <c r="PIR3"/>
      <c r="PIS3"/>
      <c r="PIT3"/>
      <c r="PIU3"/>
      <c r="PIV3"/>
      <c r="PIW3"/>
      <c r="PIX3"/>
      <c r="PIY3"/>
      <c r="PIZ3"/>
      <c r="PJA3"/>
      <c r="PJB3"/>
      <c r="PJC3"/>
      <c r="PJD3"/>
      <c r="PJE3"/>
      <c r="PJF3"/>
      <c r="PJG3"/>
      <c r="PJH3"/>
      <c r="PJI3"/>
      <c r="PJJ3"/>
      <c r="PJK3"/>
      <c r="PJL3"/>
      <c r="PJM3"/>
      <c r="PJN3"/>
      <c r="PJO3"/>
      <c r="PJP3"/>
      <c r="PJQ3"/>
      <c r="PJR3"/>
      <c r="PJS3"/>
      <c r="PJT3"/>
      <c r="PJU3"/>
      <c r="PJV3"/>
      <c r="PJW3"/>
      <c r="PJX3"/>
      <c r="PJY3"/>
      <c r="PJZ3"/>
      <c r="PKA3"/>
      <c r="PKB3"/>
      <c r="PKC3"/>
      <c r="PKD3"/>
      <c r="PKE3"/>
      <c r="PKF3"/>
      <c r="PKG3"/>
      <c r="PKH3"/>
      <c r="PKI3"/>
      <c r="PKJ3"/>
      <c r="PKK3"/>
      <c r="PKL3"/>
      <c r="PKM3"/>
      <c r="PKN3"/>
      <c r="PKO3"/>
      <c r="PKP3"/>
      <c r="PKQ3"/>
      <c r="PKR3"/>
      <c r="PKS3"/>
      <c r="PKT3"/>
      <c r="PKU3"/>
      <c r="PKV3"/>
      <c r="PKW3"/>
      <c r="PKX3"/>
      <c r="PKY3"/>
      <c r="PKZ3"/>
      <c r="PLA3"/>
      <c r="PLB3"/>
      <c r="PLC3"/>
      <c r="PLD3"/>
      <c r="PLE3"/>
      <c r="PLF3"/>
      <c r="PLG3"/>
      <c r="PLH3"/>
      <c r="PLI3"/>
      <c r="PLJ3"/>
      <c r="PLK3"/>
      <c r="PLL3"/>
      <c r="PLM3"/>
      <c r="PLN3"/>
      <c r="PLO3"/>
      <c r="PLP3"/>
      <c r="PLQ3"/>
      <c r="PLR3"/>
      <c r="PLS3"/>
      <c r="PLT3"/>
      <c r="PLU3"/>
      <c r="PLV3"/>
      <c r="PLW3"/>
      <c r="PLX3"/>
      <c r="PLY3"/>
      <c r="PLZ3"/>
      <c r="PMA3"/>
      <c r="PMB3"/>
      <c r="PMC3"/>
      <c r="PMD3"/>
      <c r="PME3"/>
      <c r="PMF3"/>
      <c r="PMG3"/>
      <c r="PMH3"/>
      <c r="PMI3"/>
      <c r="PMJ3"/>
      <c r="PMK3"/>
      <c r="PML3"/>
      <c r="PMM3"/>
      <c r="PMN3"/>
      <c r="PMO3"/>
      <c r="PMP3"/>
      <c r="PMQ3"/>
      <c r="PMR3"/>
      <c r="PMS3"/>
      <c r="PMT3"/>
      <c r="PMU3"/>
      <c r="PMV3"/>
      <c r="PMW3"/>
      <c r="PMX3"/>
      <c r="PMY3"/>
      <c r="PMZ3"/>
      <c r="PNA3"/>
      <c r="PNB3"/>
      <c r="PNC3"/>
      <c r="PND3"/>
      <c r="PNE3"/>
      <c r="PNF3"/>
      <c r="PNG3"/>
      <c r="PNH3"/>
      <c r="PNI3"/>
      <c r="PNJ3"/>
      <c r="PNK3"/>
      <c r="PNL3"/>
      <c r="PNM3"/>
      <c r="PNN3"/>
      <c r="PNO3"/>
      <c r="PNP3"/>
      <c r="PNQ3"/>
      <c r="PNR3"/>
      <c r="PNS3"/>
      <c r="PNT3"/>
      <c r="PNU3"/>
      <c r="PNV3"/>
      <c r="PNW3"/>
      <c r="PNX3"/>
      <c r="PNY3"/>
      <c r="PNZ3"/>
      <c r="POA3"/>
      <c r="POB3"/>
      <c r="POC3"/>
      <c r="POD3"/>
      <c r="POE3"/>
      <c r="POF3"/>
      <c r="POG3"/>
      <c r="POH3"/>
      <c r="POI3"/>
      <c r="POJ3"/>
      <c r="POK3"/>
      <c r="POL3"/>
      <c r="POM3"/>
      <c r="PON3"/>
      <c r="POO3"/>
      <c r="POP3"/>
      <c r="POQ3"/>
      <c r="POR3"/>
      <c r="POS3"/>
      <c r="POT3"/>
      <c r="POU3"/>
      <c r="POV3"/>
      <c r="POW3"/>
      <c r="POX3"/>
      <c r="POY3"/>
      <c r="POZ3"/>
      <c r="PPA3"/>
      <c r="PPB3"/>
      <c r="PPC3"/>
      <c r="PPD3"/>
      <c r="PPE3"/>
      <c r="PPF3"/>
      <c r="PPG3"/>
      <c r="PPH3"/>
      <c r="PPI3"/>
      <c r="PPJ3"/>
      <c r="PPK3"/>
      <c r="PPL3"/>
      <c r="PPM3"/>
      <c r="PPN3"/>
      <c r="PPO3"/>
      <c r="PPP3"/>
      <c r="PPQ3"/>
      <c r="PPR3"/>
      <c r="PPS3"/>
      <c r="PPT3"/>
      <c r="PPU3"/>
      <c r="PPV3"/>
      <c r="PPW3"/>
      <c r="PPX3"/>
      <c r="PPY3"/>
      <c r="PPZ3"/>
      <c r="PQA3"/>
      <c r="PQB3"/>
      <c r="PQC3"/>
      <c r="PQD3"/>
      <c r="PQE3"/>
      <c r="PQF3"/>
      <c r="PQG3"/>
      <c r="PQH3"/>
      <c r="PQI3"/>
      <c r="PQJ3"/>
      <c r="PQK3"/>
      <c r="PQL3"/>
      <c r="PQM3"/>
      <c r="PQN3"/>
      <c r="PQO3"/>
      <c r="PQP3"/>
      <c r="PQQ3"/>
      <c r="PQR3"/>
      <c r="PQS3"/>
      <c r="PQT3"/>
      <c r="PQU3"/>
      <c r="PQV3"/>
      <c r="PQW3"/>
      <c r="PQX3"/>
      <c r="PQY3"/>
      <c r="PQZ3"/>
      <c r="PRA3"/>
      <c r="PRB3"/>
      <c r="PRC3"/>
      <c r="PRD3"/>
      <c r="PRE3"/>
      <c r="PRF3"/>
      <c r="PRG3"/>
      <c r="PRH3"/>
      <c r="PRI3"/>
      <c r="PRJ3"/>
      <c r="PRK3"/>
      <c r="PRL3"/>
      <c r="PRM3"/>
      <c r="PRN3"/>
      <c r="PRO3"/>
      <c r="PRP3"/>
      <c r="PRQ3"/>
      <c r="PRR3"/>
      <c r="PRS3"/>
      <c r="PRT3"/>
      <c r="PRU3"/>
      <c r="PRV3"/>
      <c r="PRW3"/>
      <c r="PRX3"/>
      <c r="PRY3"/>
      <c r="PRZ3"/>
      <c r="PSA3"/>
      <c r="PSB3"/>
      <c r="PSC3"/>
      <c r="PSD3"/>
      <c r="PSE3"/>
      <c r="PSF3"/>
      <c r="PSG3"/>
      <c r="PSH3"/>
      <c r="PSI3"/>
      <c r="PSJ3"/>
      <c r="PSK3"/>
      <c r="PSL3"/>
      <c r="PSM3"/>
      <c r="PSN3"/>
      <c r="PSO3"/>
      <c r="PSP3"/>
      <c r="PSQ3"/>
      <c r="PSR3"/>
      <c r="PSS3"/>
      <c r="PST3"/>
      <c r="PSU3"/>
      <c r="PSV3"/>
      <c r="PSW3"/>
      <c r="PSX3"/>
      <c r="PSY3"/>
      <c r="PSZ3"/>
      <c r="PTA3"/>
      <c r="PTB3"/>
      <c r="PTC3"/>
      <c r="PTD3"/>
      <c r="PTE3"/>
      <c r="PTF3"/>
      <c r="PTG3"/>
      <c r="PTH3"/>
      <c r="PTI3"/>
      <c r="PTJ3"/>
      <c r="PTK3"/>
      <c r="PTL3"/>
      <c r="PTM3"/>
      <c r="PTN3"/>
      <c r="PTO3"/>
      <c r="PTP3"/>
      <c r="PTQ3"/>
      <c r="PTR3"/>
      <c r="PTS3"/>
      <c r="PTT3"/>
      <c r="PTU3"/>
      <c r="PTV3"/>
      <c r="PTW3"/>
      <c r="PTX3"/>
      <c r="PTY3"/>
      <c r="PTZ3"/>
      <c r="PUA3"/>
      <c r="PUB3"/>
      <c r="PUC3"/>
      <c r="PUD3"/>
      <c r="PUE3"/>
      <c r="PUF3"/>
      <c r="PUG3"/>
      <c r="PUH3"/>
      <c r="PUI3"/>
      <c r="PUJ3"/>
      <c r="PUK3"/>
      <c r="PUL3"/>
      <c r="PUM3"/>
      <c r="PUN3"/>
      <c r="PUO3"/>
      <c r="PUP3"/>
      <c r="PUQ3"/>
      <c r="PUR3"/>
      <c r="PUS3"/>
      <c r="PUT3"/>
      <c r="PUU3"/>
      <c r="PUV3"/>
      <c r="PUW3"/>
      <c r="PUX3"/>
      <c r="PUY3"/>
      <c r="PUZ3"/>
      <c r="PVA3"/>
      <c r="PVB3"/>
      <c r="PVC3"/>
      <c r="PVD3"/>
      <c r="PVE3"/>
      <c r="PVF3"/>
      <c r="PVG3"/>
      <c r="PVH3"/>
      <c r="PVI3"/>
      <c r="PVJ3"/>
      <c r="PVK3"/>
      <c r="PVL3"/>
      <c r="PVM3"/>
      <c r="PVN3"/>
      <c r="PVO3"/>
      <c r="PVP3"/>
      <c r="PVQ3"/>
      <c r="PVR3"/>
      <c r="PVS3"/>
      <c r="PVT3"/>
      <c r="PVU3"/>
      <c r="PVV3"/>
      <c r="PVW3"/>
      <c r="PVX3"/>
      <c r="PVY3"/>
      <c r="PVZ3"/>
      <c r="PWA3"/>
      <c r="PWB3"/>
      <c r="PWC3"/>
      <c r="PWD3"/>
      <c r="PWE3"/>
      <c r="PWF3"/>
      <c r="PWG3"/>
      <c r="PWH3"/>
      <c r="PWI3"/>
      <c r="PWJ3"/>
      <c r="PWK3"/>
      <c r="PWL3"/>
      <c r="PWM3"/>
      <c r="PWN3"/>
      <c r="PWO3"/>
      <c r="PWP3"/>
      <c r="PWQ3"/>
      <c r="PWR3"/>
      <c r="PWS3"/>
      <c r="PWT3"/>
      <c r="PWU3"/>
      <c r="PWV3"/>
      <c r="PWW3"/>
      <c r="PWX3"/>
      <c r="PWY3"/>
      <c r="PWZ3"/>
      <c r="PXA3"/>
      <c r="PXB3"/>
      <c r="PXC3"/>
      <c r="PXD3"/>
      <c r="PXE3"/>
      <c r="PXF3"/>
      <c r="PXG3"/>
      <c r="PXH3"/>
      <c r="PXI3"/>
      <c r="PXJ3"/>
      <c r="PXK3"/>
      <c r="PXL3"/>
      <c r="PXM3"/>
      <c r="PXN3"/>
      <c r="PXO3"/>
      <c r="PXP3"/>
      <c r="PXQ3"/>
      <c r="PXR3"/>
      <c r="PXS3"/>
      <c r="PXT3"/>
      <c r="PXU3"/>
      <c r="PXV3"/>
      <c r="PXW3"/>
      <c r="PXX3"/>
      <c r="PXY3"/>
      <c r="PXZ3"/>
      <c r="PYA3"/>
      <c r="PYB3"/>
      <c r="PYC3"/>
      <c r="PYD3"/>
      <c r="PYE3"/>
      <c r="PYF3"/>
      <c r="PYG3"/>
      <c r="PYH3"/>
      <c r="PYI3"/>
      <c r="PYJ3"/>
      <c r="PYK3"/>
      <c r="PYL3"/>
      <c r="PYM3"/>
      <c r="PYN3"/>
      <c r="PYO3"/>
      <c r="PYP3"/>
      <c r="PYQ3"/>
      <c r="PYR3"/>
      <c r="PYS3"/>
      <c r="PYT3"/>
      <c r="PYU3"/>
      <c r="PYV3"/>
      <c r="PYW3"/>
      <c r="PYX3"/>
      <c r="PYY3"/>
      <c r="PYZ3"/>
      <c r="PZA3"/>
      <c r="PZB3"/>
      <c r="PZC3"/>
      <c r="PZD3"/>
      <c r="PZE3"/>
      <c r="PZF3"/>
      <c r="PZG3"/>
      <c r="PZH3"/>
      <c r="PZI3"/>
      <c r="PZJ3"/>
      <c r="PZK3"/>
      <c r="PZL3"/>
      <c r="PZM3"/>
      <c r="PZN3"/>
      <c r="PZO3"/>
      <c r="PZP3"/>
      <c r="PZQ3"/>
      <c r="PZR3"/>
      <c r="PZS3"/>
      <c r="PZT3"/>
      <c r="PZU3"/>
      <c r="PZV3"/>
      <c r="PZW3"/>
      <c r="PZX3"/>
      <c r="PZY3"/>
      <c r="PZZ3"/>
      <c r="QAA3"/>
      <c r="QAB3"/>
      <c r="QAC3"/>
      <c r="QAD3"/>
      <c r="QAE3"/>
      <c r="QAF3"/>
      <c r="QAG3"/>
      <c r="QAH3"/>
      <c r="QAI3"/>
      <c r="QAJ3"/>
      <c r="QAK3"/>
      <c r="QAL3"/>
      <c r="QAM3"/>
      <c r="QAN3"/>
      <c r="QAO3"/>
      <c r="QAP3"/>
      <c r="QAQ3"/>
      <c r="QAR3"/>
      <c r="QAS3"/>
      <c r="QAT3"/>
      <c r="QAU3"/>
      <c r="QAV3"/>
      <c r="QAW3"/>
      <c r="QAX3"/>
      <c r="QAY3"/>
      <c r="QAZ3"/>
      <c r="QBA3"/>
      <c r="QBB3"/>
      <c r="QBC3"/>
      <c r="QBD3"/>
      <c r="QBE3"/>
      <c r="QBF3"/>
      <c r="QBG3"/>
      <c r="QBH3"/>
      <c r="QBI3"/>
      <c r="QBJ3"/>
      <c r="QBK3"/>
      <c r="QBL3"/>
      <c r="QBM3"/>
      <c r="QBN3"/>
      <c r="QBO3"/>
      <c r="QBP3"/>
      <c r="QBQ3"/>
      <c r="QBR3"/>
      <c r="QBS3"/>
      <c r="QBT3"/>
      <c r="QBU3"/>
      <c r="QBV3"/>
      <c r="QBW3"/>
      <c r="QBX3"/>
      <c r="QBY3"/>
      <c r="QBZ3"/>
      <c r="QCA3"/>
      <c r="QCB3"/>
      <c r="QCC3"/>
      <c r="QCD3"/>
      <c r="QCE3"/>
      <c r="QCF3"/>
      <c r="QCG3"/>
      <c r="QCH3"/>
      <c r="QCI3"/>
      <c r="QCJ3"/>
      <c r="QCK3"/>
      <c r="QCL3"/>
      <c r="QCM3"/>
      <c r="QCN3"/>
      <c r="QCO3"/>
      <c r="QCP3"/>
      <c r="QCQ3"/>
      <c r="QCR3"/>
      <c r="QCS3"/>
      <c r="QCT3"/>
      <c r="QCU3"/>
      <c r="QCV3"/>
      <c r="QCW3"/>
      <c r="QCX3"/>
      <c r="QCY3"/>
      <c r="QCZ3"/>
      <c r="QDA3"/>
      <c r="QDB3"/>
      <c r="QDC3"/>
      <c r="QDD3"/>
      <c r="QDE3"/>
      <c r="QDF3"/>
      <c r="QDG3"/>
      <c r="QDH3"/>
      <c r="QDI3"/>
      <c r="QDJ3"/>
      <c r="QDK3"/>
      <c r="QDL3"/>
      <c r="QDM3"/>
      <c r="QDN3"/>
      <c r="QDO3"/>
      <c r="QDP3"/>
      <c r="QDQ3"/>
      <c r="QDR3"/>
      <c r="QDS3"/>
      <c r="QDT3"/>
      <c r="QDU3"/>
      <c r="QDV3"/>
      <c r="QDW3"/>
      <c r="QDX3"/>
      <c r="QDY3"/>
      <c r="QDZ3"/>
      <c r="QEA3"/>
      <c r="QEB3"/>
      <c r="QEC3"/>
      <c r="QED3"/>
      <c r="QEE3"/>
      <c r="QEF3"/>
      <c r="QEG3"/>
      <c r="QEH3"/>
      <c r="QEI3"/>
      <c r="QEJ3"/>
      <c r="QEK3"/>
      <c r="QEL3"/>
      <c r="QEM3"/>
      <c r="QEN3"/>
      <c r="QEO3"/>
      <c r="QEP3"/>
      <c r="QEQ3"/>
      <c r="QER3"/>
      <c r="QES3"/>
      <c r="QET3"/>
      <c r="QEU3"/>
      <c r="QEV3"/>
      <c r="QEW3"/>
      <c r="QEX3"/>
      <c r="QEY3"/>
      <c r="QEZ3"/>
      <c r="QFA3"/>
      <c r="QFB3"/>
      <c r="QFC3"/>
      <c r="QFD3"/>
      <c r="QFE3"/>
      <c r="QFF3"/>
      <c r="QFG3"/>
      <c r="QFH3"/>
      <c r="QFI3"/>
      <c r="QFJ3"/>
      <c r="QFK3"/>
      <c r="QFL3"/>
      <c r="QFM3"/>
      <c r="QFN3"/>
      <c r="QFO3"/>
      <c r="QFP3"/>
      <c r="QFQ3"/>
      <c r="QFR3"/>
      <c r="QFS3"/>
      <c r="QFT3"/>
      <c r="QFU3"/>
      <c r="QFV3"/>
      <c r="QFW3"/>
      <c r="QFX3"/>
      <c r="QFY3"/>
      <c r="QFZ3"/>
      <c r="QGA3"/>
      <c r="QGB3"/>
      <c r="QGC3"/>
      <c r="QGD3"/>
      <c r="QGE3"/>
      <c r="QGF3"/>
      <c r="QGG3"/>
      <c r="QGH3"/>
      <c r="QGI3"/>
      <c r="QGJ3"/>
      <c r="QGK3"/>
      <c r="QGL3"/>
      <c r="QGM3"/>
      <c r="QGN3"/>
      <c r="QGO3"/>
      <c r="QGP3"/>
      <c r="QGQ3"/>
      <c r="QGR3"/>
      <c r="QGS3"/>
      <c r="QGT3"/>
      <c r="QGU3"/>
      <c r="QGV3"/>
      <c r="QGW3"/>
      <c r="QGX3"/>
      <c r="QGY3"/>
      <c r="QGZ3"/>
      <c r="QHA3"/>
      <c r="QHB3"/>
      <c r="QHC3"/>
      <c r="QHD3"/>
      <c r="QHE3"/>
      <c r="QHF3"/>
      <c r="QHG3"/>
      <c r="QHH3"/>
      <c r="QHI3"/>
      <c r="QHJ3"/>
      <c r="QHK3"/>
      <c r="QHL3"/>
      <c r="QHM3"/>
      <c r="QHN3"/>
      <c r="QHO3"/>
      <c r="QHP3"/>
      <c r="QHQ3"/>
      <c r="QHR3"/>
      <c r="QHS3"/>
      <c r="QHT3"/>
      <c r="QHU3"/>
      <c r="QHV3"/>
      <c r="QHW3"/>
      <c r="QHX3"/>
      <c r="QHY3"/>
      <c r="QHZ3"/>
      <c r="QIA3"/>
      <c r="QIB3"/>
      <c r="QIC3"/>
      <c r="QID3"/>
      <c r="QIE3"/>
      <c r="QIF3"/>
      <c r="QIG3"/>
      <c r="QIH3"/>
      <c r="QII3"/>
      <c r="QIJ3"/>
      <c r="QIK3"/>
      <c r="QIL3"/>
      <c r="QIM3"/>
      <c r="QIN3"/>
      <c r="QIO3"/>
      <c r="QIP3"/>
      <c r="QIQ3"/>
      <c r="QIR3"/>
      <c r="QIS3"/>
      <c r="QIT3"/>
      <c r="QIU3"/>
      <c r="QIV3"/>
      <c r="QIW3"/>
      <c r="QIX3"/>
      <c r="QIY3"/>
      <c r="QIZ3"/>
      <c r="QJA3"/>
      <c r="QJB3"/>
      <c r="QJC3"/>
      <c r="QJD3"/>
      <c r="QJE3"/>
      <c r="QJF3"/>
      <c r="QJG3"/>
      <c r="QJH3"/>
      <c r="QJI3"/>
      <c r="QJJ3"/>
      <c r="QJK3"/>
      <c r="QJL3"/>
      <c r="QJM3"/>
      <c r="QJN3"/>
      <c r="QJO3"/>
      <c r="QJP3"/>
      <c r="QJQ3"/>
      <c r="QJR3"/>
      <c r="QJS3"/>
      <c r="QJT3"/>
      <c r="QJU3"/>
      <c r="QJV3"/>
      <c r="QJW3"/>
      <c r="QJX3"/>
      <c r="QJY3"/>
      <c r="QJZ3"/>
      <c r="QKA3"/>
      <c r="QKB3"/>
      <c r="QKC3"/>
      <c r="QKD3"/>
      <c r="QKE3"/>
      <c r="QKF3"/>
      <c r="QKG3"/>
      <c r="QKH3"/>
      <c r="QKI3"/>
      <c r="QKJ3"/>
      <c r="QKK3"/>
      <c r="QKL3"/>
      <c r="QKM3"/>
      <c r="QKN3"/>
      <c r="QKO3"/>
      <c r="QKP3"/>
      <c r="QKQ3"/>
      <c r="QKR3"/>
      <c r="QKS3"/>
      <c r="QKT3"/>
      <c r="QKU3"/>
      <c r="QKV3"/>
      <c r="QKW3"/>
      <c r="QKX3"/>
      <c r="QKY3"/>
      <c r="QKZ3"/>
      <c r="QLA3"/>
      <c r="QLB3"/>
      <c r="QLC3"/>
      <c r="QLD3"/>
      <c r="QLE3"/>
      <c r="QLF3"/>
      <c r="QLG3"/>
      <c r="QLH3"/>
      <c r="QLI3"/>
      <c r="QLJ3"/>
      <c r="QLK3"/>
      <c r="QLL3"/>
      <c r="QLM3"/>
      <c r="QLN3"/>
      <c r="QLO3"/>
      <c r="QLP3"/>
      <c r="QLQ3"/>
      <c r="QLR3"/>
      <c r="QLS3"/>
      <c r="QLT3"/>
      <c r="QLU3"/>
      <c r="QLV3"/>
      <c r="QLW3"/>
      <c r="QLX3"/>
      <c r="QLY3"/>
      <c r="QLZ3"/>
      <c r="QMA3"/>
      <c r="QMB3"/>
      <c r="QMC3"/>
      <c r="QMD3"/>
      <c r="QME3"/>
      <c r="QMF3"/>
      <c r="QMG3"/>
      <c r="QMH3"/>
      <c r="QMI3"/>
      <c r="QMJ3"/>
      <c r="QMK3"/>
      <c r="QML3"/>
      <c r="QMM3"/>
      <c r="QMN3"/>
      <c r="QMO3"/>
      <c r="QMP3"/>
      <c r="QMQ3"/>
      <c r="QMR3"/>
      <c r="QMS3"/>
      <c r="QMT3"/>
      <c r="QMU3"/>
      <c r="QMV3"/>
      <c r="QMW3"/>
      <c r="QMX3"/>
      <c r="QMY3"/>
      <c r="QMZ3"/>
      <c r="QNA3"/>
      <c r="QNB3"/>
      <c r="QNC3"/>
      <c r="QND3"/>
      <c r="QNE3"/>
      <c r="QNF3"/>
      <c r="QNG3"/>
      <c r="QNH3"/>
      <c r="QNI3"/>
      <c r="QNJ3"/>
      <c r="QNK3"/>
      <c r="QNL3"/>
      <c r="QNM3"/>
      <c r="QNN3"/>
      <c r="QNO3"/>
      <c r="QNP3"/>
      <c r="QNQ3"/>
      <c r="QNR3"/>
      <c r="QNS3"/>
      <c r="QNT3"/>
      <c r="QNU3"/>
      <c r="QNV3"/>
      <c r="QNW3"/>
      <c r="QNX3"/>
      <c r="QNY3"/>
      <c r="QNZ3"/>
      <c r="QOA3"/>
      <c r="QOB3"/>
      <c r="QOC3"/>
      <c r="QOD3"/>
      <c r="QOE3"/>
      <c r="QOF3"/>
      <c r="QOG3"/>
      <c r="QOH3"/>
      <c r="QOI3"/>
      <c r="QOJ3"/>
      <c r="QOK3"/>
      <c r="QOL3"/>
      <c r="QOM3"/>
      <c r="QON3"/>
      <c r="QOO3"/>
      <c r="QOP3"/>
      <c r="QOQ3"/>
      <c r="QOR3"/>
      <c r="QOS3"/>
      <c r="QOT3"/>
      <c r="QOU3"/>
      <c r="QOV3"/>
      <c r="QOW3"/>
      <c r="QOX3"/>
      <c r="QOY3"/>
      <c r="QOZ3"/>
      <c r="QPA3"/>
      <c r="QPB3"/>
      <c r="QPC3"/>
      <c r="QPD3"/>
      <c r="QPE3"/>
      <c r="QPF3"/>
      <c r="QPG3"/>
      <c r="QPH3"/>
      <c r="QPI3"/>
      <c r="QPJ3"/>
      <c r="QPK3"/>
      <c r="QPL3"/>
      <c r="QPM3"/>
      <c r="QPN3"/>
      <c r="QPO3"/>
      <c r="QPP3"/>
      <c r="QPQ3"/>
      <c r="QPR3"/>
      <c r="QPS3"/>
      <c r="QPT3"/>
      <c r="QPU3"/>
      <c r="QPV3"/>
      <c r="QPW3"/>
      <c r="QPX3"/>
      <c r="QPY3"/>
      <c r="QPZ3"/>
      <c r="QQA3"/>
      <c r="QQB3"/>
      <c r="QQC3"/>
      <c r="QQD3"/>
      <c r="QQE3"/>
      <c r="QQF3"/>
      <c r="QQG3"/>
      <c r="QQH3"/>
      <c r="QQI3"/>
      <c r="QQJ3"/>
      <c r="QQK3"/>
      <c r="QQL3"/>
      <c r="QQM3"/>
      <c r="QQN3"/>
      <c r="QQO3"/>
      <c r="QQP3"/>
      <c r="QQQ3"/>
      <c r="QQR3"/>
      <c r="QQS3"/>
      <c r="QQT3"/>
      <c r="QQU3"/>
      <c r="QQV3"/>
      <c r="QQW3"/>
      <c r="QQX3"/>
      <c r="QQY3"/>
      <c r="QQZ3"/>
      <c r="QRA3"/>
      <c r="QRB3"/>
      <c r="QRC3"/>
      <c r="QRD3"/>
      <c r="QRE3"/>
      <c r="QRF3"/>
      <c r="QRG3"/>
      <c r="QRH3"/>
      <c r="QRI3"/>
      <c r="QRJ3"/>
      <c r="QRK3"/>
      <c r="QRL3"/>
      <c r="QRM3"/>
      <c r="QRN3"/>
      <c r="QRO3"/>
      <c r="QRP3"/>
      <c r="QRQ3"/>
      <c r="QRR3"/>
      <c r="QRS3"/>
      <c r="QRT3"/>
      <c r="QRU3"/>
      <c r="QRV3"/>
      <c r="QRW3"/>
      <c r="QRX3"/>
      <c r="QRY3"/>
      <c r="QRZ3"/>
      <c r="QSA3"/>
      <c r="QSB3"/>
      <c r="QSC3"/>
      <c r="QSD3"/>
      <c r="QSE3"/>
      <c r="QSF3"/>
      <c r="QSG3"/>
      <c r="QSH3"/>
      <c r="QSI3"/>
      <c r="QSJ3"/>
      <c r="QSK3"/>
      <c r="QSL3"/>
      <c r="QSM3"/>
      <c r="QSN3"/>
      <c r="QSO3"/>
      <c r="QSP3"/>
      <c r="QSQ3"/>
      <c r="QSR3"/>
      <c r="QSS3"/>
      <c r="QST3"/>
      <c r="QSU3"/>
      <c r="QSV3"/>
      <c r="QSW3"/>
      <c r="QSX3"/>
      <c r="QSY3"/>
      <c r="QSZ3"/>
      <c r="QTA3"/>
      <c r="QTB3"/>
      <c r="QTC3"/>
      <c r="QTD3"/>
      <c r="QTE3"/>
      <c r="QTF3"/>
      <c r="QTG3"/>
      <c r="QTH3"/>
      <c r="QTI3"/>
      <c r="QTJ3"/>
      <c r="QTK3"/>
      <c r="QTL3"/>
      <c r="QTM3"/>
      <c r="QTN3"/>
      <c r="QTO3"/>
      <c r="QTP3"/>
      <c r="QTQ3"/>
      <c r="QTR3"/>
      <c r="QTS3"/>
      <c r="QTT3"/>
      <c r="QTU3"/>
      <c r="QTV3"/>
      <c r="QTW3"/>
      <c r="QTX3"/>
      <c r="QTY3"/>
      <c r="QTZ3"/>
      <c r="QUA3"/>
      <c r="QUB3"/>
      <c r="QUC3"/>
      <c r="QUD3"/>
      <c r="QUE3"/>
      <c r="QUF3"/>
      <c r="QUG3"/>
      <c r="QUH3"/>
      <c r="QUI3"/>
      <c r="QUJ3"/>
      <c r="QUK3"/>
      <c r="QUL3"/>
      <c r="QUM3"/>
      <c r="QUN3"/>
      <c r="QUO3"/>
      <c r="QUP3"/>
      <c r="QUQ3"/>
      <c r="QUR3"/>
      <c r="QUS3"/>
      <c r="QUT3"/>
      <c r="QUU3"/>
      <c r="QUV3"/>
      <c r="QUW3"/>
      <c r="QUX3"/>
      <c r="QUY3"/>
      <c r="QUZ3"/>
      <c r="QVA3"/>
      <c r="QVB3"/>
      <c r="QVC3"/>
      <c r="QVD3"/>
      <c r="QVE3"/>
      <c r="QVF3"/>
      <c r="QVG3"/>
      <c r="QVH3"/>
      <c r="QVI3"/>
      <c r="QVJ3"/>
      <c r="QVK3"/>
      <c r="QVL3"/>
      <c r="QVM3"/>
      <c r="QVN3"/>
      <c r="QVO3"/>
      <c r="QVP3"/>
      <c r="QVQ3"/>
      <c r="QVR3"/>
      <c r="QVS3"/>
      <c r="QVT3"/>
      <c r="QVU3"/>
      <c r="QVV3"/>
      <c r="QVW3"/>
      <c r="QVX3"/>
      <c r="QVY3"/>
      <c r="QVZ3"/>
      <c r="QWA3"/>
      <c r="QWB3"/>
      <c r="QWC3"/>
      <c r="QWD3"/>
      <c r="QWE3"/>
      <c r="QWF3"/>
      <c r="QWG3"/>
      <c r="QWH3"/>
      <c r="QWI3"/>
      <c r="QWJ3"/>
      <c r="QWK3"/>
      <c r="QWL3"/>
      <c r="QWM3"/>
      <c r="QWN3"/>
      <c r="QWO3"/>
      <c r="QWP3"/>
      <c r="QWQ3"/>
      <c r="QWR3"/>
      <c r="QWS3"/>
      <c r="QWT3"/>
      <c r="QWU3"/>
      <c r="QWV3"/>
      <c r="QWW3"/>
      <c r="QWX3"/>
      <c r="QWY3"/>
      <c r="QWZ3"/>
      <c r="QXA3"/>
      <c r="QXB3"/>
      <c r="QXC3"/>
      <c r="QXD3"/>
      <c r="QXE3"/>
      <c r="QXF3"/>
      <c r="QXG3"/>
      <c r="QXH3"/>
      <c r="QXI3"/>
      <c r="QXJ3"/>
      <c r="QXK3"/>
      <c r="QXL3"/>
      <c r="QXM3"/>
      <c r="QXN3"/>
      <c r="QXO3"/>
      <c r="QXP3"/>
      <c r="QXQ3"/>
      <c r="QXR3"/>
      <c r="QXS3"/>
      <c r="QXT3"/>
      <c r="QXU3"/>
      <c r="QXV3"/>
      <c r="QXW3"/>
      <c r="QXX3"/>
      <c r="QXY3"/>
      <c r="QXZ3"/>
      <c r="QYA3"/>
      <c r="QYB3"/>
      <c r="QYC3"/>
      <c r="QYD3"/>
      <c r="QYE3"/>
      <c r="QYF3"/>
      <c r="QYG3"/>
      <c r="QYH3"/>
      <c r="QYI3"/>
      <c r="QYJ3"/>
      <c r="QYK3"/>
      <c r="QYL3"/>
      <c r="QYM3"/>
      <c r="QYN3"/>
      <c r="QYO3"/>
      <c r="QYP3"/>
      <c r="QYQ3"/>
      <c r="QYR3"/>
      <c r="QYS3"/>
      <c r="QYT3"/>
      <c r="QYU3"/>
      <c r="QYV3"/>
      <c r="QYW3"/>
      <c r="QYX3"/>
      <c r="QYY3"/>
      <c r="QYZ3"/>
      <c r="QZA3"/>
      <c r="QZB3"/>
      <c r="QZC3"/>
      <c r="QZD3"/>
      <c r="QZE3"/>
      <c r="QZF3"/>
      <c r="QZG3"/>
      <c r="QZH3"/>
      <c r="QZI3"/>
      <c r="QZJ3"/>
      <c r="QZK3"/>
      <c r="QZL3"/>
      <c r="QZM3"/>
      <c r="QZN3"/>
      <c r="QZO3"/>
      <c r="QZP3"/>
      <c r="QZQ3"/>
      <c r="QZR3"/>
      <c r="QZS3"/>
      <c r="QZT3"/>
      <c r="QZU3"/>
      <c r="QZV3"/>
      <c r="QZW3"/>
      <c r="QZX3"/>
      <c r="QZY3"/>
      <c r="QZZ3"/>
      <c r="RAA3"/>
      <c r="RAB3"/>
      <c r="RAC3"/>
      <c r="RAD3"/>
      <c r="RAE3"/>
      <c r="RAF3"/>
      <c r="RAG3"/>
      <c r="RAH3"/>
      <c r="RAI3"/>
      <c r="RAJ3"/>
      <c r="RAK3"/>
      <c r="RAL3"/>
      <c r="RAM3"/>
      <c r="RAN3"/>
      <c r="RAO3"/>
      <c r="RAP3"/>
      <c r="RAQ3"/>
      <c r="RAR3"/>
      <c r="RAS3"/>
      <c r="RAT3"/>
      <c r="RAU3"/>
      <c r="RAV3"/>
      <c r="RAW3"/>
      <c r="RAX3"/>
      <c r="RAY3"/>
      <c r="RAZ3"/>
      <c r="RBA3"/>
      <c r="RBB3"/>
      <c r="RBC3"/>
      <c r="RBD3"/>
      <c r="RBE3"/>
      <c r="RBF3"/>
      <c r="RBG3"/>
      <c r="RBH3"/>
      <c r="RBI3"/>
      <c r="RBJ3"/>
      <c r="RBK3"/>
      <c r="RBL3"/>
      <c r="RBM3"/>
      <c r="RBN3"/>
      <c r="RBO3"/>
      <c r="RBP3"/>
      <c r="RBQ3"/>
      <c r="RBR3"/>
      <c r="RBS3"/>
      <c r="RBT3"/>
      <c r="RBU3"/>
      <c r="RBV3"/>
      <c r="RBW3"/>
      <c r="RBX3"/>
      <c r="RBY3"/>
      <c r="RBZ3"/>
      <c r="RCA3"/>
      <c r="RCB3"/>
      <c r="RCC3"/>
      <c r="RCD3"/>
      <c r="RCE3"/>
      <c r="RCF3"/>
      <c r="RCG3"/>
      <c r="RCH3"/>
      <c r="RCI3"/>
      <c r="RCJ3"/>
      <c r="RCK3"/>
      <c r="RCL3"/>
      <c r="RCM3"/>
      <c r="RCN3"/>
      <c r="RCO3"/>
      <c r="RCP3"/>
      <c r="RCQ3"/>
      <c r="RCR3"/>
      <c r="RCS3"/>
      <c r="RCT3"/>
      <c r="RCU3"/>
      <c r="RCV3"/>
      <c r="RCW3"/>
      <c r="RCX3"/>
      <c r="RCY3"/>
      <c r="RCZ3"/>
      <c r="RDA3"/>
      <c r="RDB3"/>
      <c r="RDC3"/>
      <c r="RDD3"/>
      <c r="RDE3"/>
      <c r="RDF3"/>
      <c r="RDG3"/>
      <c r="RDH3"/>
      <c r="RDI3"/>
      <c r="RDJ3"/>
      <c r="RDK3"/>
      <c r="RDL3"/>
      <c r="RDM3"/>
      <c r="RDN3"/>
      <c r="RDO3"/>
      <c r="RDP3"/>
      <c r="RDQ3"/>
      <c r="RDR3"/>
      <c r="RDS3"/>
      <c r="RDT3"/>
      <c r="RDU3"/>
      <c r="RDV3"/>
      <c r="RDW3"/>
      <c r="RDX3"/>
      <c r="RDY3"/>
      <c r="RDZ3"/>
      <c r="REA3"/>
      <c r="REB3"/>
      <c r="REC3"/>
      <c r="RED3"/>
      <c r="REE3"/>
      <c r="REF3"/>
      <c r="REG3"/>
      <c r="REH3"/>
      <c r="REI3"/>
      <c r="REJ3"/>
      <c r="REK3"/>
      <c r="REL3"/>
      <c r="REM3"/>
      <c r="REN3"/>
      <c r="REO3"/>
      <c r="REP3"/>
      <c r="REQ3"/>
      <c r="RER3"/>
      <c r="RES3"/>
      <c r="RET3"/>
      <c r="REU3"/>
      <c r="REV3"/>
      <c r="REW3"/>
      <c r="REX3"/>
      <c r="REY3"/>
      <c r="REZ3"/>
      <c r="RFA3"/>
      <c r="RFB3"/>
      <c r="RFC3"/>
      <c r="RFD3"/>
      <c r="RFE3"/>
      <c r="RFF3"/>
      <c r="RFG3"/>
      <c r="RFH3"/>
      <c r="RFI3"/>
      <c r="RFJ3"/>
      <c r="RFK3"/>
      <c r="RFL3"/>
      <c r="RFM3"/>
      <c r="RFN3"/>
      <c r="RFO3"/>
      <c r="RFP3"/>
      <c r="RFQ3"/>
      <c r="RFR3"/>
      <c r="RFS3"/>
      <c r="RFT3"/>
      <c r="RFU3"/>
      <c r="RFV3"/>
      <c r="RFW3"/>
      <c r="RFX3"/>
      <c r="RFY3"/>
      <c r="RFZ3"/>
      <c r="RGA3"/>
      <c r="RGB3"/>
      <c r="RGC3"/>
      <c r="RGD3"/>
      <c r="RGE3"/>
      <c r="RGF3"/>
      <c r="RGG3"/>
      <c r="RGH3"/>
      <c r="RGI3"/>
      <c r="RGJ3"/>
      <c r="RGK3"/>
      <c r="RGL3"/>
      <c r="RGM3"/>
      <c r="RGN3"/>
      <c r="RGO3"/>
      <c r="RGP3"/>
      <c r="RGQ3"/>
      <c r="RGR3"/>
      <c r="RGS3"/>
      <c r="RGT3"/>
      <c r="RGU3"/>
      <c r="RGV3"/>
      <c r="RGW3"/>
      <c r="RGX3"/>
      <c r="RGY3"/>
      <c r="RGZ3"/>
      <c r="RHA3"/>
      <c r="RHB3"/>
      <c r="RHC3"/>
      <c r="RHD3"/>
      <c r="RHE3"/>
      <c r="RHF3"/>
      <c r="RHG3"/>
      <c r="RHH3"/>
      <c r="RHI3"/>
      <c r="RHJ3"/>
      <c r="RHK3"/>
      <c r="RHL3"/>
      <c r="RHM3"/>
      <c r="RHN3"/>
      <c r="RHO3"/>
      <c r="RHP3"/>
      <c r="RHQ3"/>
      <c r="RHR3"/>
      <c r="RHS3"/>
      <c r="RHT3"/>
      <c r="RHU3"/>
      <c r="RHV3"/>
      <c r="RHW3"/>
      <c r="RHX3"/>
      <c r="RHY3"/>
      <c r="RHZ3"/>
      <c r="RIA3"/>
      <c r="RIB3"/>
      <c r="RIC3"/>
      <c r="RID3"/>
      <c r="RIE3"/>
      <c r="RIF3"/>
      <c r="RIG3"/>
      <c r="RIH3"/>
      <c r="RII3"/>
      <c r="RIJ3"/>
      <c r="RIK3"/>
      <c r="RIL3"/>
      <c r="RIM3"/>
      <c r="RIN3"/>
      <c r="RIO3"/>
      <c r="RIP3"/>
      <c r="RIQ3"/>
      <c r="RIR3"/>
      <c r="RIS3"/>
      <c r="RIT3"/>
      <c r="RIU3"/>
      <c r="RIV3"/>
      <c r="RIW3"/>
      <c r="RIX3"/>
      <c r="RIY3"/>
      <c r="RIZ3"/>
      <c r="RJA3"/>
      <c r="RJB3"/>
      <c r="RJC3"/>
      <c r="RJD3"/>
      <c r="RJE3"/>
      <c r="RJF3"/>
      <c r="RJG3"/>
      <c r="RJH3"/>
      <c r="RJI3"/>
      <c r="RJJ3"/>
      <c r="RJK3"/>
      <c r="RJL3"/>
      <c r="RJM3"/>
      <c r="RJN3"/>
      <c r="RJO3"/>
      <c r="RJP3"/>
      <c r="RJQ3"/>
      <c r="RJR3"/>
      <c r="RJS3"/>
      <c r="RJT3"/>
      <c r="RJU3"/>
      <c r="RJV3"/>
      <c r="RJW3"/>
      <c r="RJX3"/>
      <c r="RJY3"/>
      <c r="RJZ3"/>
      <c r="RKA3"/>
      <c r="RKB3"/>
      <c r="RKC3"/>
      <c r="RKD3"/>
      <c r="RKE3"/>
      <c r="RKF3"/>
      <c r="RKG3"/>
      <c r="RKH3"/>
      <c r="RKI3"/>
      <c r="RKJ3"/>
      <c r="RKK3"/>
      <c r="RKL3"/>
      <c r="RKM3"/>
      <c r="RKN3"/>
      <c r="RKO3"/>
      <c r="RKP3"/>
      <c r="RKQ3"/>
      <c r="RKR3"/>
      <c r="RKS3"/>
      <c r="RKT3"/>
      <c r="RKU3"/>
      <c r="RKV3"/>
      <c r="RKW3"/>
      <c r="RKX3"/>
      <c r="RKY3"/>
      <c r="RKZ3"/>
      <c r="RLA3"/>
      <c r="RLB3"/>
      <c r="RLC3"/>
      <c r="RLD3"/>
      <c r="RLE3"/>
      <c r="RLF3"/>
      <c r="RLG3"/>
      <c r="RLH3"/>
      <c r="RLI3"/>
      <c r="RLJ3"/>
      <c r="RLK3"/>
      <c r="RLL3"/>
      <c r="RLM3"/>
      <c r="RLN3"/>
      <c r="RLO3"/>
      <c r="RLP3"/>
      <c r="RLQ3"/>
      <c r="RLR3"/>
      <c r="RLS3"/>
      <c r="RLT3"/>
      <c r="RLU3"/>
      <c r="RLV3"/>
      <c r="RLW3"/>
      <c r="RLX3"/>
      <c r="RLY3"/>
      <c r="RLZ3"/>
      <c r="RMA3"/>
      <c r="RMB3"/>
      <c r="RMC3"/>
      <c r="RMD3"/>
      <c r="RME3"/>
      <c r="RMF3"/>
      <c r="RMG3"/>
      <c r="RMH3"/>
      <c r="RMI3"/>
      <c r="RMJ3"/>
      <c r="RMK3"/>
      <c r="RML3"/>
      <c r="RMM3"/>
      <c r="RMN3"/>
      <c r="RMO3"/>
      <c r="RMP3"/>
      <c r="RMQ3"/>
      <c r="RMR3"/>
      <c r="RMS3"/>
      <c r="RMT3"/>
      <c r="RMU3"/>
      <c r="RMV3"/>
      <c r="RMW3"/>
      <c r="RMX3"/>
      <c r="RMY3"/>
      <c r="RMZ3"/>
      <c r="RNA3"/>
      <c r="RNB3"/>
      <c r="RNC3"/>
      <c r="RND3"/>
      <c r="RNE3"/>
      <c r="RNF3"/>
      <c r="RNG3"/>
      <c r="RNH3"/>
      <c r="RNI3"/>
      <c r="RNJ3"/>
      <c r="RNK3"/>
      <c r="RNL3"/>
      <c r="RNM3"/>
      <c r="RNN3"/>
      <c r="RNO3"/>
      <c r="RNP3"/>
      <c r="RNQ3"/>
      <c r="RNR3"/>
      <c r="RNS3"/>
      <c r="RNT3"/>
      <c r="RNU3"/>
      <c r="RNV3"/>
      <c r="RNW3"/>
      <c r="RNX3"/>
      <c r="RNY3"/>
      <c r="RNZ3"/>
      <c r="ROA3"/>
      <c r="ROB3"/>
      <c r="ROC3"/>
      <c r="ROD3"/>
      <c r="ROE3"/>
      <c r="ROF3"/>
      <c r="ROG3"/>
      <c r="ROH3"/>
      <c r="ROI3"/>
      <c r="ROJ3"/>
      <c r="ROK3"/>
      <c r="ROL3"/>
      <c r="ROM3"/>
      <c r="RON3"/>
      <c r="ROO3"/>
      <c r="ROP3"/>
      <c r="ROQ3"/>
      <c r="ROR3"/>
      <c r="ROS3"/>
      <c r="ROT3"/>
      <c r="ROU3"/>
      <c r="ROV3"/>
      <c r="ROW3"/>
      <c r="ROX3"/>
      <c r="ROY3"/>
      <c r="ROZ3"/>
      <c r="RPA3"/>
      <c r="RPB3"/>
      <c r="RPC3"/>
      <c r="RPD3"/>
      <c r="RPE3"/>
      <c r="RPF3"/>
      <c r="RPG3"/>
      <c r="RPH3"/>
      <c r="RPI3"/>
      <c r="RPJ3"/>
      <c r="RPK3"/>
      <c r="RPL3"/>
      <c r="RPM3"/>
      <c r="RPN3"/>
      <c r="RPO3"/>
      <c r="RPP3"/>
      <c r="RPQ3"/>
      <c r="RPR3"/>
      <c r="RPS3"/>
      <c r="RPT3"/>
      <c r="RPU3"/>
      <c r="RPV3"/>
      <c r="RPW3"/>
      <c r="RPX3"/>
      <c r="RPY3"/>
      <c r="RPZ3"/>
      <c r="RQA3"/>
      <c r="RQB3"/>
      <c r="RQC3"/>
      <c r="RQD3"/>
      <c r="RQE3"/>
      <c r="RQF3"/>
      <c r="RQG3"/>
      <c r="RQH3"/>
      <c r="RQI3"/>
      <c r="RQJ3"/>
      <c r="RQK3"/>
      <c r="RQL3"/>
      <c r="RQM3"/>
      <c r="RQN3"/>
      <c r="RQO3"/>
      <c r="RQP3"/>
      <c r="RQQ3"/>
      <c r="RQR3"/>
      <c r="RQS3"/>
      <c r="RQT3"/>
      <c r="RQU3"/>
      <c r="RQV3"/>
      <c r="RQW3"/>
      <c r="RQX3"/>
      <c r="RQY3"/>
      <c r="RQZ3"/>
      <c r="RRA3"/>
      <c r="RRB3"/>
      <c r="RRC3"/>
      <c r="RRD3"/>
      <c r="RRE3"/>
      <c r="RRF3"/>
      <c r="RRG3"/>
      <c r="RRH3"/>
      <c r="RRI3"/>
      <c r="RRJ3"/>
      <c r="RRK3"/>
      <c r="RRL3"/>
      <c r="RRM3"/>
      <c r="RRN3"/>
      <c r="RRO3"/>
      <c r="RRP3"/>
      <c r="RRQ3"/>
      <c r="RRR3"/>
      <c r="RRS3"/>
      <c r="RRT3"/>
      <c r="RRU3"/>
      <c r="RRV3"/>
      <c r="RRW3"/>
      <c r="RRX3"/>
      <c r="RRY3"/>
      <c r="RRZ3"/>
      <c r="RSA3"/>
      <c r="RSB3"/>
      <c r="RSC3"/>
      <c r="RSD3"/>
      <c r="RSE3"/>
      <c r="RSF3"/>
      <c r="RSG3"/>
      <c r="RSH3"/>
      <c r="RSI3"/>
      <c r="RSJ3"/>
      <c r="RSK3"/>
      <c r="RSL3"/>
      <c r="RSM3"/>
      <c r="RSN3"/>
      <c r="RSO3"/>
      <c r="RSP3"/>
      <c r="RSQ3"/>
      <c r="RSR3"/>
      <c r="RSS3"/>
      <c r="RST3"/>
      <c r="RSU3"/>
      <c r="RSV3"/>
      <c r="RSW3"/>
      <c r="RSX3"/>
      <c r="RSY3"/>
      <c r="RSZ3"/>
      <c r="RTA3"/>
      <c r="RTB3"/>
      <c r="RTC3"/>
      <c r="RTD3"/>
      <c r="RTE3"/>
      <c r="RTF3"/>
      <c r="RTG3"/>
      <c r="RTH3"/>
      <c r="RTI3"/>
      <c r="RTJ3"/>
      <c r="RTK3"/>
      <c r="RTL3"/>
      <c r="RTM3"/>
      <c r="RTN3"/>
      <c r="RTO3"/>
      <c r="RTP3"/>
      <c r="RTQ3"/>
      <c r="RTR3"/>
      <c r="RTS3"/>
      <c r="RTT3"/>
      <c r="RTU3"/>
      <c r="RTV3"/>
      <c r="RTW3"/>
      <c r="RTX3"/>
      <c r="RTY3"/>
      <c r="RTZ3"/>
      <c r="RUA3"/>
      <c r="RUB3"/>
      <c r="RUC3"/>
      <c r="RUD3"/>
      <c r="RUE3"/>
      <c r="RUF3"/>
      <c r="RUG3"/>
      <c r="RUH3"/>
      <c r="RUI3"/>
      <c r="RUJ3"/>
      <c r="RUK3"/>
      <c r="RUL3"/>
      <c r="RUM3"/>
      <c r="RUN3"/>
      <c r="RUO3"/>
      <c r="RUP3"/>
      <c r="RUQ3"/>
      <c r="RUR3"/>
      <c r="RUS3"/>
      <c r="RUT3"/>
      <c r="RUU3"/>
      <c r="RUV3"/>
      <c r="RUW3"/>
      <c r="RUX3"/>
      <c r="RUY3"/>
      <c r="RUZ3"/>
      <c r="RVA3"/>
      <c r="RVB3"/>
      <c r="RVC3"/>
      <c r="RVD3"/>
      <c r="RVE3"/>
      <c r="RVF3"/>
      <c r="RVG3"/>
      <c r="RVH3"/>
      <c r="RVI3"/>
      <c r="RVJ3"/>
      <c r="RVK3"/>
      <c r="RVL3"/>
      <c r="RVM3"/>
      <c r="RVN3"/>
      <c r="RVO3"/>
      <c r="RVP3"/>
      <c r="RVQ3"/>
      <c r="RVR3"/>
      <c r="RVS3"/>
      <c r="RVT3"/>
      <c r="RVU3"/>
      <c r="RVV3"/>
      <c r="RVW3"/>
      <c r="RVX3"/>
      <c r="RVY3"/>
      <c r="RVZ3"/>
      <c r="RWA3"/>
      <c r="RWB3"/>
      <c r="RWC3"/>
      <c r="RWD3"/>
      <c r="RWE3"/>
      <c r="RWF3"/>
      <c r="RWG3"/>
      <c r="RWH3"/>
      <c r="RWI3"/>
      <c r="RWJ3"/>
      <c r="RWK3"/>
      <c r="RWL3"/>
      <c r="RWM3"/>
      <c r="RWN3"/>
      <c r="RWO3"/>
      <c r="RWP3"/>
      <c r="RWQ3"/>
      <c r="RWR3"/>
      <c r="RWS3"/>
      <c r="RWT3"/>
      <c r="RWU3"/>
      <c r="RWV3"/>
      <c r="RWW3"/>
      <c r="RWX3"/>
      <c r="RWY3"/>
      <c r="RWZ3"/>
      <c r="RXA3"/>
      <c r="RXB3"/>
      <c r="RXC3"/>
      <c r="RXD3"/>
      <c r="RXE3"/>
      <c r="RXF3"/>
      <c r="RXG3"/>
      <c r="RXH3"/>
      <c r="RXI3"/>
      <c r="RXJ3"/>
      <c r="RXK3"/>
      <c r="RXL3"/>
      <c r="RXM3"/>
      <c r="RXN3"/>
      <c r="RXO3"/>
      <c r="RXP3"/>
      <c r="RXQ3"/>
      <c r="RXR3"/>
      <c r="RXS3"/>
      <c r="RXT3"/>
      <c r="RXU3"/>
      <c r="RXV3"/>
      <c r="RXW3"/>
      <c r="RXX3"/>
      <c r="RXY3"/>
      <c r="RXZ3"/>
      <c r="RYA3"/>
      <c r="RYB3"/>
      <c r="RYC3"/>
      <c r="RYD3"/>
      <c r="RYE3"/>
      <c r="RYF3"/>
      <c r="RYG3"/>
      <c r="RYH3"/>
      <c r="RYI3"/>
      <c r="RYJ3"/>
      <c r="RYK3"/>
      <c r="RYL3"/>
      <c r="RYM3"/>
      <c r="RYN3"/>
      <c r="RYO3"/>
      <c r="RYP3"/>
      <c r="RYQ3"/>
      <c r="RYR3"/>
      <c r="RYS3"/>
      <c r="RYT3"/>
      <c r="RYU3"/>
      <c r="RYV3"/>
      <c r="RYW3"/>
      <c r="RYX3"/>
      <c r="RYY3"/>
      <c r="RYZ3"/>
      <c r="RZA3"/>
      <c r="RZB3"/>
      <c r="RZC3"/>
      <c r="RZD3"/>
      <c r="RZE3"/>
      <c r="RZF3"/>
      <c r="RZG3"/>
      <c r="RZH3"/>
      <c r="RZI3"/>
      <c r="RZJ3"/>
      <c r="RZK3"/>
      <c r="RZL3"/>
      <c r="RZM3"/>
      <c r="RZN3"/>
      <c r="RZO3"/>
      <c r="RZP3"/>
      <c r="RZQ3"/>
      <c r="RZR3"/>
      <c r="RZS3"/>
      <c r="RZT3"/>
      <c r="RZU3"/>
      <c r="RZV3"/>
      <c r="RZW3"/>
      <c r="RZX3"/>
      <c r="RZY3"/>
      <c r="RZZ3"/>
      <c r="SAA3"/>
      <c r="SAB3"/>
      <c r="SAC3"/>
      <c r="SAD3"/>
      <c r="SAE3"/>
      <c r="SAF3"/>
      <c r="SAG3"/>
      <c r="SAH3"/>
      <c r="SAI3"/>
      <c r="SAJ3"/>
      <c r="SAK3"/>
      <c r="SAL3"/>
      <c r="SAM3"/>
      <c r="SAN3"/>
      <c r="SAO3"/>
      <c r="SAP3"/>
      <c r="SAQ3"/>
      <c r="SAR3"/>
      <c r="SAS3"/>
      <c r="SAT3"/>
      <c r="SAU3"/>
      <c r="SAV3"/>
      <c r="SAW3"/>
      <c r="SAX3"/>
      <c r="SAY3"/>
      <c r="SAZ3"/>
      <c r="SBA3"/>
      <c r="SBB3"/>
      <c r="SBC3"/>
      <c r="SBD3"/>
      <c r="SBE3"/>
      <c r="SBF3"/>
      <c r="SBG3"/>
      <c r="SBH3"/>
      <c r="SBI3"/>
      <c r="SBJ3"/>
      <c r="SBK3"/>
      <c r="SBL3"/>
      <c r="SBM3"/>
      <c r="SBN3"/>
      <c r="SBO3"/>
      <c r="SBP3"/>
      <c r="SBQ3"/>
      <c r="SBR3"/>
      <c r="SBS3"/>
      <c r="SBT3"/>
      <c r="SBU3"/>
      <c r="SBV3"/>
      <c r="SBW3"/>
      <c r="SBX3"/>
      <c r="SBY3"/>
      <c r="SBZ3"/>
      <c r="SCA3"/>
      <c r="SCB3"/>
      <c r="SCC3"/>
      <c r="SCD3"/>
      <c r="SCE3"/>
      <c r="SCF3"/>
      <c r="SCG3"/>
      <c r="SCH3"/>
      <c r="SCI3"/>
      <c r="SCJ3"/>
      <c r="SCK3"/>
      <c r="SCL3"/>
      <c r="SCM3"/>
      <c r="SCN3"/>
      <c r="SCO3"/>
      <c r="SCP3"/>
      <c r="SCQ3"/>
      <c r="SCR3"/>
      <c r="SCS3"/>
      <c r="SCT3"/>
      <c r="SCU3"/>
      <c r="SCV3"/>
      <c r="SCW3"/>
      <c r="SCX3"/>
      <c r="SCY3"/>
      <c r="SCZ3"/>
      <c r="SDA3"/>
      <c r="SDB3"/>
      <c r="SDC3"/>
      <c r="SDD3"/>
      <c r="SDE3"/>
      <c r="SDF3"/>
      <c r="SDG3"/>
      <c r="SDH3"/>
      <c r="SDI3"/>
      <c r="SDJ3"/>
      <c r="SDK3"/>
      <c r="SDL3"/>
      <c r="SDM3"/>
      <c r="SDN3"/>
      <c r="SDO3"/>
      <c r="SDP3"/>
      <c r="SDQ3"/>
      <c r="SDR3"/>
      <c r="SDS3"/>
      <c r="SDT3"/>
      <c r="SDU3"/>
      <c r="SDV3"/>
      <c r="SDW3"/>
      <c r="SDX3"/>
      <c r="SDY3"/>
      <c r="SDZ3"/>
      <c r="SEA3"/>
      <c r="SEB3"/>
      <c r="SEC3"/>
      <c r="SED3"/>
      <c r="SEE3"/>
      <c r="SEF3"/>
      <c r="SEG3"/>
      <c r="SEH3"/>
      <c r="SEI3"/>
      <c r="SEJ3"/>
      <c r="SEK3"/>
      <c r="SEL3"/>
      <c r="SEM3"/>
      <c r="SEN3"/>
      <c r="SEO3"/>
      <c r="SEP3"/>
      <c r="SEQ3"/>
      <c r="SER3"/>
      <c r="SES3"/>
      <c r="SET3"/>
      <c r="SEU3"/>
      <c r="SEV3"/>
      <c r="SEW3"/>
      <c r="SEX3"/>
      <c r="SEY3"/>
      <c r="SEZ3"/>
      <c r="SFA3"/>
      <c r="SFB3"/>
      <c r="SFC3"/>
      <c r="SFD3"/>
      <c r="SFE3"/>
      <c r="SFF3"/>
      <c r="SFG3"/>
      <c r="SFH3"/>
      <c r="SFI3"/>
      <c r="SFJ3"/>
      <c r="SFK3"/>
      <c r="SFL3"/>
      <c r="SFM3"/>
      <c r="SFN3"/>
      <c r="SFO3"/>
      <c r="SFP3"/>
      <c r="SFQ3"/>
      <c r="SFR3"/>
      <c r="SFS3"/>
      <c r="SFT3"/>
      <c r="SFU3"/>
      <c r="SFV3"/>
      <c r="SFW3"/>
      <c r="SFX3"/>
      <c r="SFY3"/>
      <c r="SFZ3"/>
      <c r="SGA3"/>
      <c r="SGB3"/>
      <c r="SGC3"/>
      <c r="SGD3"/>
      <c r="SGE3"/>
      <c r="SGF3"/>
      <c r="SGG3"/>
      <c r="SGH3"/>
      <c r="SGI3"/>
      <c r="SGJ3"/>
      <c r="SGK3"/>
      <c r="SGL3"/>
      <c r="SGM3"/>
      <c r="SGN3"/>
      <c r="SGO3"/>
      <c r="SGP3"/>
      <c r="SGQ3"/>
      <c r="SGR3"/>
      <c r="SGS3"/>
      <c r="SGT3"/>
      <c r="SGU3"/>
      <c r="SGV3"/>
      <c r="SGW3"/>
      <c r="SGX3"/>
      <c r="SGY3"/>
      <c r="SGZ3"/>
      <c r="SHA3"/>
      <c r="SHB3"/>
      <c r="SHC3"/>
      <c r="SHD3"/>
      <c r="SHE3"/>
      <c r="SHF3"/>
      <c r="SHG3"/>
      <c r="SHH3"/>
      <c r="SHI3"/>
      <c r="SHJ3"/>
      <c r="SHK3"/>
      <c r="SHL3"/>
      <c r="SHM3"/>
      <c r="SHN3"/>
      <c r="SHO3"/>
      <c r="SHP3"/>
      <c r="SHQ3"/>
      <c r="SHR3"/>
      <c r="SHS3"/>
      <c r="SHT3"/>
      <c r="SHU3"/>
      <c r="SHV3"/>
      <c r="SHW3"/>
      <c r="SHX3"/>
      <c r="SHY3"/>
      <c r="SHZ3"/>
      <c r="SIA3"/>
      <c r="SIB3"/>
      <c r="SIC3"/>
      <c r="SID3"/>
      <c r="SIE3"/>
      <c r="SIF3"/>
      <c r="SIG3"/>
      <c r="SIH3"/>
      <c r="SII3"/>
      <c r="SIJ3"/>
      <c r="SIK3"/>
      <c r="SIL3"/>
      <c r="SIM3"/>
      <c r="SIN3"/>
      <c r="SIO3"/>
      <c r="SIP3"/>
      <c r="SIQ3"/>
      <c r="SIR3"/>
      <c r="SIS3"/>
      <c r="SIT3"/>
      <c r="SIU3"/>
      <c r="SIV3"/>
      <c r="SIW3"/>
      <c r="SIX3"/>
      <c r="SIY3"/>
      <c r="SIZ3"/>
      <c r="SJA3"/>
      <c r="SJB3"/>
      <c r="SJC3"/>
      <c r="SJD3"/>
      <c r="SJE3"/>
      <c r="SJF3"/>
      <c r="SJG3"/>
      <c r="SJH3"/>
      <c r="SJI3"/>
      <c r="SJJ3"/>
      <c r="SJK3"/>
      <c r="SJL3"/>
      <c r="SJM3"/>
      <c r="SJN3"/>
      <c r="SJO3"/>
      <c r="SJP3"/>
      <c r="SJQ3"/>
      <c r="SJR3"/>
      <c r="SJS3"/>
      <c r="SJT3"/>
      <c r="SJU3"/>
      <c r="SJV3"/>
      <c r="SJW3"/>
      <c r="SJX3"/>
      <c r="SJY3"/>
      <c r="SJZ3"/>
      <c r="SKA3"/>
      <c r="SKB3"/>
      <c r="SKC3"/>
      <c r="SKD3"/>
      <c r="SKE3"/>
      <c r="SKF3"/>
      <c r="SKG3"/>
      <c r="SKH3"/>
      <c r="SKI3"/>
      <c r="SKJ3"/>
      <c r="SKK3"/>
      <c r="SKL3"/>
      <c r="SKM3"/>
      <c r="SKN3"/>
      <c r="SKO3"/>
      <c r="SKP3"/>
      <c r="SKQ3"/>
      <c r="SKR3"/>
      <c r="SKS3"/>
      <c r="SKT3"/>
      <c r="SKU3"/>
      <c r="SKV3"/>
      <c r="SKW3"/>
      <c r="SKX3"/>
      <c r="SKY3"/>
      <c r="SKZ3"/>
      <c r="SLA3"/>
      <c r="SLB3"/>
      <c r="SLC3"/>
      <c r="SLD3"/>
      <c r="SLE3"/>
      <c r="SLF3"/>
      <c r="SLG3"/>
      <c r="SLH3"/>
      <c r="SLI3"/>
      <c r="SLJ3"/>
      <c r="SLK3"/>
      <c r="SLL3"/>
      <c r="SLM3"/>
      <c r="SLN3"/>
      <c r="SLO3"/>
      <c r="SLP3"/>
      <c r="SLQ3"/>
      <c r="SLR3"/>
      <c r="SLS3"/>
      <c r="SLT3"/>
      <c r="SLU3"/>
      <c r="SLV3"/>
      <c r="SLW3"/>
      <c r="SLX3"/>
      <c r="SLY3"/>
      <c r="SLZ3"/>
      <c r="SMA3"/>
      <c r="SMB3"/>
      <c r="SMC3"/>
      <c r="SMD3"/>
      <c r="SME3"/>
      <c r="SMF3"/>
      <c r="SMG3"/>
      <c r="SMH3"/>
      <c r="SMI3"/>
      <c r="SMJ3"/>
      <c r="SMK3"/>
      <c r="SML3"/>
      <c r="SMM3"/>
      <c r="SMN3"/>
      <c r="SMO3"/>
      <c r="SMP3"/>
      <c r="SMQ3"/>
      <c r="SMR3"/>
      <c r="SMS3"/>
      <c r="SMT3"/>
      <c r="SMU3"/>
      <c r="SMV3"/>
      <c r="SMW3"/>
      <c r="SMX3"/>
      <c r="SMY3"/>
      <c r="SMZ3"/>
      <c r="SNA3"/>
      <c r="SNB3"/>
      <c r="SNC3"/>
      <c r="SND3"/>
      <c r="SNE3"/>
      <c r="SNF3"/>
      <c r="SNG3"/>
      <c r="SNH3"/>
      <c r="SNI3"/>
      <c r="SNJ3"/>
      <c r="SNK3"/>
      <c r="SNL3"/>
      <c r="SNM3"/>
      <c r="SNN3"/>
      <c r="SNO3"/>
      <c r="SNP3"/>
      <c r="SNQ3"/>
      <c r="SNR3"/>
      <c r="SNS3"/>
      <c r="SNT3"/>
      <c r="SNU3"/>
      <c r="SNV3"/>
      <c r="SNW3"/>
      <c r="SNX3"/>
      <c r="SNY3"/>
      <c r="SNZ3"/>
      <c r="SOA3"/>
      <c r="SOB3"/>
      <c r="SOC3"/>
      <c r="SOD3"/>
      <c r="SOE3"/>
      <c r="SOF3"/>
      <c r="SOG3"/>
      <c r="SOH3"/>
      <c r="SOI3"/>
      <c r="SOJ3"/>
      <c r="SOK3"/>
      <c r="SOL3"/>
      <c r="SOM3"/>
      <c r="SON3"/>
      <c r="SOO3"/>
      <c r="SOP3"/>
      <c r="SOQ3"/>
      <c r="SOR3"/>
      <c r="SOS3"/>
      <c r="SOT3"/>
      <c r="SOU3"/>
      <c r="SOV3"/>
      <c r="SOW3"/>
      <c r="SOX3"/>
      <c r="SOY3"/>
      <c r="SOZ3"/>
      <c r="SPA3"/>
      <c r="SPB3"/>
      <c r="SPC3"/>
      <c r="SPD3"/>
      <c r="SPE3"/>
      <c r="SPF3"/>
      <c r="SPG3"/>
      <c r="SPH3"/>
      <c r="SPI3"/>
      <c r="SPJ3"/>
      <c r="SPK3"/>
      <c r="SPL3"/>
      <c r="SPM3"/>
      <c r="SPN3"/>
      <c r="SPO3"/>
      <c r="SPP3"/>
      <c r="SPQ3"/>
      <c r="SPR3"/>
      <c r="SPS3"/>
      <c r="SPT3"/>
      <c r="SPU3"/>
      <c r="SPV3"/>
      <c r="SPW3"/>
      <c r="SPX3"/>
      <c r="SPY3"/>
      <c r="SPZ3"/>
      <c r="SQA3"/>
      <c r="SQB3"/>
      <c r="SQC3"/>
      <c r="SQD3"/>
      <c r="SQE3"/>
      <c r="SQF3"/>
      <c r="SQG3"/>
      <c r="SQH3"/>
      <c r="SQI3"/>
      <c r="SQJ3"/>
      <c r="SQK3"/>
      <c r="SQL3"/>
      <c r="SQM3"/>
      <c r="SQN3"/>
      <c r="SQO3"/>
      <c r="SQP3"/>
      <c r="SQQ3"/>
      <c r="SQR3"/>
      <c r="SQS3"/>
      <c r="SQT3"/>
      <c r="SQU3"/>
      <c r="SQV3"/>
      <c r="SQW3"/>
      <c r="SQX3"/>
      <c r="SQY3"/>
      <c r="SQZ3"/>
      <c r="SRA3"/>
      <c r="SRB3"/>
      <c r="SRC3"/>
      <c r="SRD3"/>
      <c r="SRE3"/>
      <c r="SRF3"/>
      <c r="SRG3"/>
      <c r="SRH3"/>
      <c r="SRI3"/>
      <c r="SRJ3"/>
      <c r="SRK3"/>
      <c r="SRL3"/>
      <c r="SRM3"/>
      <c r="SRN3"/>
      <c r="SRO3"/>
      <c r="SRP3"/>
      <c r="SRQ3"/>
      <c r="SRR3"/>
      <c r="SRS3"/>
      <c r="SRT3"/>
      <c r="SRU3"/>
      <c r="SRV3"/>
      <c r="SRW3"/>
      <c r="SRX3"/>
      <c r="SRY3"/>
      <c r="SRZ3"/>
      <c r="SSA3"/>
      <c r="SSB3"/>
      <c r="SSC3"/>
      <c r="SSD3"/>
      <c r="SSE3"/>
      <c r="SSF3"/>
      <c r="SSG3"/>
      <c r="SSH3"/>
      <c r="SSI3"/>
      <c r="SSJ3"/>
      <c r="SSK3"/>
      <c r="SSL3"/>
      <c r="SSM3"/>
      <c r="SSN3"/>
      <c r="SSO3"/>
      <c r="SSP3"/>
      <c r="SSQ3"/>
      <c r="SSR3"/>
      <c r="SSS3"/>
      <c r="SST3"/>
      <c r="SSU3"/>
      <c r="SSV3"/>
      <c r="SSW3"/>
      <c r="SSX3"/>
      <c r="SSY3"/>
      <c r="SSZ3"/>
      <c r="STA3"/>
      <c r="STB3"/>
      <c r="STC3"/>
      <c r="STD3"/>
      <c r="STE3"/>
      <c r="STF3"/>
      <c r="STG3"/>
      <c r="STH3"/>
      <c r="STI3"/>
      <c r="STJ3"/>
      <c r="STK3"/>
      <c r="STL3"/>
      <c r="STM3"/>
      <c r="STN3"/>
      <c r="STO3"/>
      <c r="STP3"/>
      <c r="STQ3"/>
      <c r="STR3"/>
      <c r="STS3"/>
      <c r="STT3"/>
      <c r="STU3"/>
      <c r="STV3"/>
      <c r="STW3"/>
      <c r="STX3"/>
      <c r="STY3"/>
      <c r="STZ3"/>
      <c r="SUA3"/>
      <c r="SUB3"/>
      <c r="SUC3"/>
      <c r="SUD3"/>
      <c r="SUE3"/>
      <c r="SUF3"/>
      <c r="SUG3"/>
      <c r="SUH3"/>
      <c r="SUI3"/>
      <c r="SUJ3"/>
      <c r="SUK3"/>
      <c r="SUL3"/>
      <c r="SUM3"/>
      <c r="SUN3"/>
      <c r="SUO3"/>
      <c r="SUP3"/>
      <c r="SUQ3"/>
      <c r="SUR3"/>
      <c r="SUS3"/>
      <c r="SUT3"/>
      <c r="SUU3"/>
      <c r="SUV3"/>
      <c r="SUW3"/>
      <c r="SUX3"/>
      <c r="SUY3"/>
      <c r="SUZ3"/>
      <c r="SVA3"/>
      <c r="SVB3"/>
      <c r="SVC3"/>
      <c r="SVD3"/>
      <c r="SVE3"/>
      <c r="SVF3"/>
      <c r="SVG3"/>
      <c r="SVH3"/>
      <c r="SVI3"/>
      <c r="SVJ3"/>
      <c r="SVK3"/>
      <c r="SVL3"/>
      <c r="SVM3"/>
      <c r="SVN3"/>
      <c r="SVO3"/>
      <c r="SVP3"/>
      <c r="SVQ3"/>
      <c r="SVR3"/>
      <c r="SVS3"/>
      <c r="SVT3"/>
      <c r="SVU3"/>
      <c r="SVV3"/>
      <c r="SVW3"/>
      <c r="SVX3"/>
      <c r="SVY3"/>
      <c r="SVZ3"/>
      <c r="SWA3"/>
      <c r="SWB3"/>
      <c r="SWC3"/>
      <c r="SWD3"/>
      <c r="SWE3"/>
      <c r="SWF3"/>
      <c r="SWG3"/>
      <c r="SWH3"/>
      <c r="SWI3"/>
      <c r="SWJ3"/>
      <c r="SWK3"/>
      <c r="SWL3"/>
      <c r="SWM3"/>
      <c r="SWN3"/>
      <c r="SWO3"/>
      <c r="SWP3"/>
      <c r="SWQ3"/>
      <c r="SWR3"/>
      <c r="SWS3"/>
      <c r="SWT3"/>
      <c r="SWU3"/>
      <c r="SWV3"/>
      <c r="SWW3"/>
      <c r="SWX3"/>
      <c r="SWY3"/>
      <c r="SWZ3"/>
      <c r="SXA3"/>
      <c r="SXB3"/>
      <c r="SXC3"/>
      <c r="SXD3"/>
      <c r="SXE3"/>
      <c r="SXF3"/>
      <c r="SXG3"/>
      <c r="SXH3"/>
      <c r="SXI3"/>
      <c r="SXJ3"/>
      <c r="SXK3"/>
      <c r="SXL3"/>
      <c r="SXM3"/>
      <c r="SXN3"/>
      <c r="SXO3"/>
      <c r="SXP3"/>
      <c r="SXQ3"/>
      <c r="SXR3"/>
      <c r="SXS3"/>
      <c r="SXT3"/>
      <c r="SXU3"/>
      <c r="SXV3"/>
      <c r="SXW3"/>
      <c r="SXX3"/>
      <c r="SXY3"/>
      <c r="SXZ3"/>
      <c r="SYA3"/>
      <c r="SYB3"/>
      <c r="SYC3"/>
      <c r="SYD3"/>
      <c r="SYE3"/>
      <c r="SYF3"/>
      <c r="SYG3"/>
      <c r="SYH3"/>
      <c r="SYI3"/>
      <c r="SYJ3"/>
      <c r="SYK3"/>
      <c r="SYL3"/>
      <c r="SYM3"/>
      <c r="SYN3"/>
      <c r="SYO3"/>
      <c r="SYP3"/>
      <c r="SYQ3"/>
      <c r="SYR3"/>
      <c r="SYS3"/>
      <c r="SYT3"/>
      <c r="SYU3"/>
      <c r="SYV3"/>
      <c r="SYW3"/>
      <c r="SYX3"/>
      <c r="SYY3"/>
      <c r="SYZ3"/>
      <c r="SZA3"/>
      <c r="SZB3"/>
      <c r="SZC3"/>
      <c r="SZD3"/>
      <c r="SZE3"/>
      <c r="SZF3"/>
      <c r="SZG3"/>
      <c r="SZH3"/>
      <c r="SZI3"/>
      <c r="SZJ3"/>
      <c r="SZK3"/>
      <c r="SZL3"/>
      <c r="SZM3"/>
      <c r="SZN3"/>
      <c r="SZO3"/>
      <c r="SZP3"/>
      <c r="SZQ3"/>
      <c r="SZR3"/>
      <c r="SZS3"/>
      <c r="SZT3"/>
      <c r="SZU3"/>
      <c r="SZV3"/>
      <c r="SZW3"/>
      <c r="SZX3"/>
      <c r="SZY3"/>
      <c r="SZZ3"/>
      <c r="TAA3"/>
      <c r="TAB3"/>
      <c r="TAC3"/>
      <c r="TAD3"/>
      <c r="TAE3"/>
      <c r="TAF3"/>
      <c r="TAG3"/>
      <c r="TAH3"/>
      <c r="TAI3"/>
      <c r="TAJ3"/>
      <c r="TAK3"/>
      <c r="TAL3"/>
      <c r="TAM3"/>
      <c r="TAN3"/>
      <c r="TAO3"/>
      <c r="TAP3"/>
      <c r="TAQ3"/>
      <c r="TAR3"/>
      <c r="TAS3"/>
      <c r="TAT3"/>
      <c r="TAU3"/>
      <c r="TAV3"/>
      <c r="TAW3"/>
      <c r="TAX3"/>
      <c r="TAY3"/>
      <c r="TAZ3"/>
      <c r="TBA3"/>
      <c r="TBB3"/>
      <c r="TBC3"/>
      <c r="TBD3"/>
      <c r="TBE3"/>
      <c r="TBF3"/>
      <c r="TBG3"/>
      <c r="TBH3"/>
      <c r="TBI3"/>
      <c r="TBJ3"/>
      <c r="TBK3"/>
      <c r="TBL3"/>
      <c r="TBM3"/>
      <c r="TBN3"/>
      <c r="TBO3"/>
      <c r="TBP3"/>
      <c r="TBQ3"/>
      <c r="TBR3"/>
      <c r="TBS3"/>
      <c r="TBT3"/>
      <c r="TBU3"/>
      <c r="TBV3"/>
      <c r="TBW3"/>
      <c r="TBX3"/>
      <c r="TBY3"/>
      <c r="TBZ3"/>
      <c r="TCA3"/>
      <c r="TCB3"/>
      <c r="TCC3"/>
      <c r="TCD3"/>
      <c r="TCE3"/>
      <c r="TCF3"/>
      <c r="TCG3"/>
      <c r="TCH3"/>
      <c r="TCI3"/>
      <c r="TCJ3"/>
      <c r="TCK3"/>
      <c r="TCL3"/>
      <c r="TCM3"/>
      <c r="TCN3"/>
      <c r="TCO3"/>
      <c r="TCP3"/>
      <c r="TCQ3"/>
      <c r="TCR3"/>
      <c r="TCS3"/>
      <c r="TCT3"/>
      <c r="TCU3"/>
      <c r="TCV3"/>
      <c r="TCW3"/>
      <c r="TCX3"/>
      <c r="TCY3"/>
      <c r="TCZ3"/>
      <c r="TDA3"/>
      <c r="TDB3"/>
      <c r="TDC3"/>
      <c r="TDD3"/>
      <c r="TDE3"/>
      <c r="TDF3"/>
      <c r="TDG3"/>
      <c r="TDH3"/>
      <c r="TDI3"/>
      <c r="TDJ3"/>
      <c r="TDK3"/>
      <c r="TDL3"/>
      <c r="TDM3"/>
      <c r="TDN3"/>
      <c r="TDO3"/>
      <c r="TDP3"/>
      <c r="TDQ3"/>
      <c r="TDR3"/>
      <c r="TDS3"/>
      <c r="TDT3"/>
      <c r="TDU3"/>
      <c r="TDV3"/>
      <c r="TDW3"/>
      <c r="TDX3"/>
      <c r="TDY3"/>
      <c r="TDZ3"/>
      <c r="TEA3"/>
      <c r="TEB3"/>
      <c r="TEC3"/>
      <c r="TED3"/>
      <c r="TEE3"/>
      <c r="TEF3"/>
      <c r="TEG3"/>
      <c r="TEH3"/>
      <c r="TEI3"/>
      <c r="TEJ3"/>
      <c r="TEK3"/>
      <c r="TEL3"/>
      <c r="TEM3"/>
      <c r="TEN3"/>
      <c r="TEO3"/>
      <c r="TEP3"/>
      <c r="TEQ3"/>
      <c r="TER3"/>
      <c r="TES3"/>
      <c r="TET3"/>
      <c r="TEU3"/>
      <c r="TEV3"/>
      <c r="TEW3"/>
      <c r="TEX3"/>
      <c r="TEY3"/>
      <c r="TEZ3"/>
      <c r="TFA3"/>
      <c r="TFB3"/>
      <c r="TFC3"/>
      <c r="TFD3"/>
      <c r="TFE3"/>
      <c r="TFF3"/>
      <c r="TFG3"/>
      <c r="TFH3"/>
      <c r="TFI3"/>
      <c r="TFJ3"/>
      <c r="TFK3"/>
      <c r="TFL3"/>
      <c r="TFM3"/>
      <c r="TFN3"/>
      <c r="TFO3"/>
      <c r="TFP3"/>
      <c r="TFQ3"/>
      <c r="TFR3"/>
      <c r="TFS3"/>
      <c r="TFT3"/>
      <c r="TFU3"/>
      <c r="TFV3"/>
      <c r="TFW3"/>
      <c r="TFX3"/>
      <c r="TFY3"/>
      <c r="TFZ3"/>
      <c r="TGA3"/>
      <c r="TGB3"/>
      <c r="TGC3"/>
      <c r="TGD3"/>
      <c r="TGE3"/>
      <c r="TGF3"/>
      <c r="TGG3"/>
      <c r="TGH3"/>
      <c r="TGI3"/>
      <c r="TGJ3"/>
      <c r="TGK3"/>
      <c r="TGL3"/>
      <c r="TGM3"/>
      <c r="TGN3"/>
      <c r="TGO3"/>
      <c r="TGP3"/>
      <c r="TGQ3"/>
      <c r="TGR3"/>
      <c r="TGS3"/>
      <c r="TGT3"/>
      <c r="TGU3"/>
      <c r="TGV3"/>
      <c r="TGW3"/>
      <c r="TGX3"/>
      <c r="TGY3"/>
      <c r="TGZ3"/>
      <c r="THA3"/>
      <c r="THB3"/>
      <c r="THC3"/>
      <c r="THD3"/>
      <c r="THE3"/>
      <c r="THF3"/>
      <c r="THG3"/>
      <c r="THH3"/>
      <c r="THI3"/>
      <c r="THJ3"/>
      <c r="THK3"/>
      <c r="THL3"/>
      <c r="THM3"/>
      <c r="THN3"/>
      <c r="THO3"/>
      <c r="THP3"/>
      <c r="THQ3"/>
      <c r="THR3"/>
      <c r="THS3"/>
      <c r="THT3"/>
      <c r="THU3"/>
      <c r="THV3"/>
      <c r="THW3"/>
      <c r="THX3"/>
      <c r="THY3"/>
      <c r="THZ3"/>
      <c r="TIA3"/>
      <c r="TIB3"/>
      <c r="TIC3"/>
      <c r="TID3"/>
      <c r="TIE3"/>
      <c r="TIF3"/>
      <c r="TIG3"/>
      <c r="TIH3"/>
      <c r="TII3"/>
      <c r="TIJ3"/>
      <c r="TIK3"/>
      <c r="TIL3"/>
      <c r="TIM3"/>
      <c r="TIN3"/>
      <c r="TIO3"/>
      <c r="TIP3"/>
      <c r="TIQ3"/>
      <c r="TIR3"/>
      <c r="TIS3"/>
      <c r="TIT3"/>
      <c r="TIU3"/>
      <c r="TIV3"/>
      <c r="TIW3"/>
      <c r="TIX3"/>
      <c r="TIY3"/>
      <c r="TIZ3"/>
      <c r="TJA3"/>
      <c r="TJB3"/>
      <c r="TJC3"/>
      <c r="TJD3"/>
      <c r="TJE3"/>
      <c r="TJF3"/>
      <c r="TJG3"/>
      <c r="TJH3"/>
      <c r="TJI3"/>
      <c r="TJJ3"/>
      <c r="TJK3"/>
      <c r="TJL3"/>
      <c r="TJM3"/>
      <c r="TJN3"/>
      <c r="TJO3"/>
      <c r="TJP3"/>
      <c r="TJQ3"/>
      <c r="TJR3"/>
      <c r="TJS3"/>
      <c r="TJT3"/>
      <c r="TJU3"/>
      <c r="TJV3"/>
      <c r="TJW3"/>
      <c r="TJX3"/>
      <c r="TJY3"/>
      <c r="TJZ3"/>
      <c r="TKA3"/>
      <c r="TKB3"/>
      <c r="TKC3"/>
      <c r="TKD3"/>
      <c r="TKE3"/>
      <c r="TKF3"/>
      <c r="TKG3"/>
      <c r="TKH3"/>
      <c r="TKI3"/>
      <c r="TKJ3"/>
      <c r="TKK3"/>
      <c r="TKL3"/>
      <c r="TKM3"/>
      <c r="TKN3"/>
      <c r="TKO3"/>
      <c r="TKP3"/>
      <c r="TKQ3"/>
      <c r="TKR3"/>
      <c r="TKS3"/>
      <c r="TKT3"/>
      <c r="TKU3"/>
      <c r="TKV3"/>
      <c r="TKW3"/>
      <c r="TKX3"/>
      <c r="TKY3"/>
      <c r="TKZ3"/>
      <c r="TLA3"/>
      <c r="TLB3"/>
      <c r="TLC3"/>
      <c r="TLD3"/>
      <c r="TLE3"/>
      <c r="TLF3"/>
      <c r="TLG3"/>
      <c r="TLH3"/>
      <c r="TLI3"/>
      <c r="TLJ3"/>
      <c r="TLK3"/>
      <c r="TLL3"/>
      <c r="TLM3"/>
      <c r="TLN3"/>
      <c r="TLO3"/>
      <c r="TLP3"/>
      <c r="TLQ3"/>
      <c r="TLR3"/>
      <c r="TLS3"/>
      <c r="TLT3"/>
      <c r="TLU3"/>
      <c r="TLV3"/>
      <c r="TLW3"/>
      <c r="TLX3"/>
      <c r="TLY3"/>
      <c r="TLZ3"/>
      <c r="TMA3"/>
      <c r="TMB3"/>
      <c r="TMC3"/>
      <c r="TMD3"/>
      <c r="TME3"/>
      <c r="TMF3"/>
      <c r="TMG3"/>
      <c r="TMH3"/>
      <c r="TMI3"/>
      <c r="TMJ3"/>
      <c r="TMK3"/>
      <c r="TML3"/>
      <c r="TMM3"/>
      <c r="TMN3"/>
      <c r="TMO3"/>
      <c r="TMP3"/>
      <c r="TMQ3"/>
      <c r="TMR3"/>
      <c r="TMS3"/>
      <c r="TMT3"/>
      <c r="TMU3"/>
      <c r="TMV3"/>
      <c r="TMW3"/>
      <c r="TMX3"/>
      <c r="TMY3"/>
      <c r="TMZ3"/>
      <c r="TNA3"/>
      <c r="TNB3"/>
      <c r="TNC3"/>
      <c r="TND3"/>
      <c r="TNE3"/>
      <c r="TNF3"/>
      <c r="TNG3"/>
      <c r="TNH3"/>
      <c r="TNI3"/>
      <c r="TNJ3"/>
      <c r="TNK3"/>
      <c r="TNL3"/>
      <c r="TNM3"/>
      <c r="TNN3"/>
      <c r="TNO3"/>
      <c r="TNP3"/>
      <c r="TNQ3"/>
      <c r="TNR3"/>
      <c r="TNS3"/>
      <c r="TNT3"/>
      <c r="TNU3"/>
      <c r="TNV3"/>
      <c r="TNW3"/>
      <c r="TNX3"/>
      <c r="TNY3"/>
      <c r="TNZ3"/>
      <c r="TOA3"/>
      <c r="TOB3"/>
      <c r="TOC3"/>
      <c r="TOD3"/>
      <c r="TOE3"/>
      <c r="TOF3"/>
      <c r="TOG3"/>
      <c r="TOH3"/>
      <c r="TOI3"/>
      <c r="TOJ3"/>
      <c r="TOK3"/>
      <c r="TOL3"/>
      <c r="TOM3"/>
      <c r="TON3"/>
      <c r="TOO3"/>
      <c r="TOP3"/>
      <c r="TOQ3"/>
      <c r="TOR3"/>
      <c r="TOS3"/>
      <c r="TOT3"/>
      <c r="TOU3"/>
      <c r="TOV3"/>
      <c r="TOW3"/>
      <c r="TOX3"/>
      <c r="TOY3"/>
      <c r="TOZ3"/>
      <c r="TPA3"/>
      <c r="TPB3"/>
      <c r="TPC3"/>
      <c r="TPD3"/>
      <c r="TPE3"/>
      <c r="TPF3"/>
      <c r="TPG3"/>
      <c r="TPH3"/>
      <c r="TPI3"/>
      <c r="TPJ3"/>
      <c r="TPK3"/>
      <c r="TPL3"/>
      <c r="TPM3"/>
      <c r="TPN3"/>
      <c r="TPO3"/>
      <c r="TPP3"/>
      <c r="TPQ3"/>
      <c r="TPR3"/>
      <c r="TPS3"/>
      <c r="TPT3"/>
      <c r="TPU3"/>
      <c r="TPV3"/>
      <c r="TPW3"/>
      <c r="TPX3"/>
      <c r="TPY3"/>
      <c r="TPZ3"/>
      <c r="TQA3"/>
      <c r="TQB3"/>
      <c r="TQC3"/>
      <c r="TQD3"/>
      <c r="TQE3"/>
      <c r="TQF3"/>
      <c r="TQG3"/>
      <c r="TQH3"/>
      <c r="TQI3"/>
      <c r="TQJ3"/>
      <c r="TQK3"/>
      <c r="TQL3"/>
      <c r="TQM3"/>
      <c r="TQN3"/>
      <c r="TQO3"/>
      <c r="TQP3"/>
      <c r="TQQ3"/>
      <c r="TQR3"/>
      <c r="TQS3"/>
      <c r="TQT3"/>
      <c r="TQU3"/>
      <c r="TQV3"/>
      <c r="TQW3"/>
      <c r="TQX3"/>
      <c r="TQY3"/>
      <c r="TQZ3"/>
      <c r="TRA3"/>
      <c r="TRB3"/>
      <c r="TRC3"/>
      <c r="TRD3"/>
      <c r="TRE3"/>
      <c r="TRF3"/>
      <c r="TRG3"/>
      <c r="TRH3"/>
      <c r="TRI3"/>
      <c r="TRJ3"/>
      <c r="TRK3"/>
      <c r="TRL3"/>
      <c r="TRM3"/>
      <c r="TRN3"/>
      <c r="TRO3"/>
      <c r="TRP3"/>
      <c r="TRQ3"/>
      <c r="TRR3"/>
      <c r="TRS3"/>
      <c r="TRT3"/>
      <c r="TRU3"/>
      <c r="TRV3"/>
      <c r="TRW3"/>
      <c r="TRX3"/>
      <c r="TRY3"/>
      <c r="TRZ3"/>
      <c r="TSA3"/>
      <c r="TSB3"/>
      <c r="TSC3"/>
      <c r="TSD3"/>
      <c r="TSE3"/>
      <c r="TSF3"/>
      <c r="TSG3"/>
      <c r="TSH3"/>
      <c r="TSI3"/>
      <c r="TSJ3"/>
      <c r="TSK3"/>
      <c r="TSL3"/>
      <c r="TSM3"/>
      <c r="TSN3"/>
      <c r="TSO3"/>
      <c r="TSP3"/>
      <c r="TSQ3"/>
      <c r="TSR3"/>
      <c r="TSS3"/>
      <c r="TST3"/>
      <c r="TSU3"/>
      <c r="TSV3"/>
      <c r="TSW3"/>
      <c r="TSX3"/>
      <c r="TSY3"/>
      <c r="TSZ3"/>
      <c r="TTA3"/>
      <c r="TTB3"/>
      <c r="TTC3"/>
      <c r="TTD3"/>
      <c r="TTE3"/>
      <c r="TTF3"/>
      <c r="TTG3"/>
      <c r="TTH3"/>
      <c r="TTI3"/>
      <c r="TTJ3"/>
      <c r="TTK3"/>
      <c r="TTL3"/>
      <c r="TTM3"/>
      <c r="TTN3"/>
      <c r="TTO3"/>
      <c r="TTP3"/>
      <c r="TTQ3"/>
      <c r="TTR3"/>
      <c r="TTS3"/>
      <c r="TTT3"/>
      <c r="TTU3"/>
      <c r="TTV3"/>
      <c r="TTW3"/>
      <c r="TTX3"/>
      <c r="TTY3"/>
      <c r="TTZ3"/>
      <c r="TUA3"/>
      <c r="TUB3"/>
      <c r="TUC3"/>
      <c r="TUD3"/>
      <c r="TUE3"/>
      <c r="TUF3"/>
      <c r="TUG3"/>
      <c r="TUH3"/>
      <c r="TUI3"/>
      <c r="TUJ3"/>
      <c r="TUK3"/>
      <c r="TUL3"/>
      <c r="TUM3"/>
      <c r="TUN3"/>
      <c r="TUO3"/>
      <c r="TUP3"/>
      <c r="TUQ3"/>
      <c r="TUR3"/>
      <c r="TUS3"/>
      <c r="TUT3"/>
      <c r="TUU3"/>
      <c r="TUV3"/>
      <c r="TUW3"/>
      <c r="TUX3"/>
      <c r="TUY3"/>
      <c r="TUZ3"/>
      <c r="TVA3"/>
      <c r="TVB3"/>
      <c r="TVC3"/>
      <c r="TVD3"/>
      <c r="TVE3"/>
      <c r="TVF3"/>
      <c r="TVG3"/>
      <c r="TVH3"/>
      <c r="TVI3"/>
      <c r="TVJ3"/>
      <c r="TVK3"/>
      <c r="TVL3"/>
      <c r="TVM3"/>
      <c r="TVN3"/>
      <c r="TVO3"/>
      <c r="TVP3"/>
      <c r="TVQ3"/>
      <c r="TVR3"/>
      <c r="TVS3"/>
      <c r="TVT3"/>
      <c r="TVU3"/>
      <c r="TVV3"/>
      <c r="TVW3"/>
      <c r="TVX3"/>
      <c r="TVY3"/>
      <c r="TVZ3"/>
      <c r="TWA3"/>
      <c r="TWB3"/>
      <c r="TWC3"/>
      <c r="TWD3"/>
      <c r="TWE3"/>
      <c r="TWF3"/>
      <c r="TWG3"/>
      <c r="TWH3"/>
      <c r="TWI3"/>
      <c r="TWJ3"/>
      <c r="TWK3"/>
      <c r="TWL3"/>
      <c r="TWM3"/>
      <c r="TWN3"/>
      <c r="TWO3"/>
      <c r="TWP3"/>
      <c r="TWQ3"/>
      <c r="TWR3"/>
      <c r="TWS3"/>
      <c r="TWT3"/>
      <c r="TWU3"/>
      <c r="TWV3"/>
      <c r="TWW3"/>
      <c r="TWX3"/>
      <c r="TWY3"/>
      <c r="TWZ3"/>
      <c r="TXA3"/>
      <c r="TXB3"/>
      <c r="TXC3"/>
      <c r="TXD3"/>
      <c r="TXE3"/>
      <c r="TXF3"/>
      <c r="TXG3"/>
      <c r="TXH3"/>
      <c r="TXI3"/>
      <c r="TXJ3"/>
      <c r="TXK3"/>
      <c r="TXL3"/>
      <c r="TXM3"/>
      <c r="TXN3"/>
      <c r="TXO3"/>
      <c r="TXP3"/>
      <c r="TXQ3"/>
      <c r="TXR3"/>
      <c r="TXS3"/>
      <c r="TXT3"/>
      <c r="TXU3"/>
      <c r="TXV3"/>
      <c r="TXW3"/>
      <c r="TXX3"/>
      <c r="TXY3"/>
      <c r="TXZ3"/>
      <c r="TYA3"/>
      <c r="TYB3"/>
      <c r="TYC3"/>
      <c r="TYD3"/>
      <c r="TYE3"/>
      <c r="TYF3"/>
      <c r="TYG3"/>
      <c r="TYH3"/>
      <c r="TYI3"/>
      <c r="TYJ3"/>
      <c r="TYK3"/>
      <c r="TYL3"/>
      <c r="TYM3"/>
      <c r="TYN3"/>
      <c r="TYO3"/>
      <c r="TYP3"/>
      <c r="TYQ3"/>
      <c r="TYR3"/>
      <c r="TYS3"/>
      <c r="TYT3"/>
      <c r="TYU3"/>
      <c r="TYV3"/>
      <c r="TYW3"/>
      <c r="TYX3"/>
      <c r="TYY3"/>
      <c r="TYZ3"/>
      <c r="TZA3"/>
      <c r="TZB3"/>
      <c r="TZC3"/>
      <c r="TZD3"/>
      <c r="TZE3"/>
      <c r="TZF3"/>
      <c r="TZG3"/>
      <c r="TZH3"/>
      <c r="TZI3"/>
      <c r="TZJ3"/>
      <c r="TZK3"/>
      <c r="TZL3"/>
      <c r="TZM3"/>
      <c r="TZN3"/>
      <c r="TZO3"/>
      <c r="TZP3"/>
      <c r="TZQ3"/>
      <c r="TZR3"/>
      <c r="TZS3"/>
      <c r="TZT3"/>
      <c r="TZU3"/>
      <c r="TZV3"/>
      <c r="TZW3"/>
      <c r="TZX3"/>
      <c r="TZY3"/>
      <c r="TZZ3"/>
      <c r="UAA3"/>
      <c r="UAB3"/>
      <c r="UAC3"/>
      <c r="UAD3"/>
      <c r="UAE3"/>
      <c r="UAF3"/>
      <c r="UAG3"/>
      <c r="UAH3"/>
      <c r="UAI3"/>
      <c r="UAJ3"/>
      <c r="UAK3"/>
      <c r="UAL3"/>
      <c r="UAM3"/>
      <c r="UAN3"/>
      <c r="UAO3"/>
      <c r="UAP3"/>
      <c r="UAQ3"/>
      <c r="UAR3"/>
      <c r="UAS3"/>
      <c r="UAT3"/>
      <c r="UAU3"/>
      <c r="UAV3"/>
      <c r="UAW3"/>
      <c r="UAX3"/>
      <c r="UAY3"/>
      <c r="UAZ3"/>
      <c r="UBA3"/>
      <c r="UBB3"/>
      <c r="UBC3"/>
      <c r="UBD3"/>
      <c r="UBE3"/>
      <c r="UBF3"/>
      <c r="UBG3"/>
      <c r="UBH3"/>
      <c r="UBI3"/>
      <c r="UBJ3"/>
      <c r="UBK3"/>
      <c r="UBL3"/>
      <c r="UBM3"/>
      <c r="UBN3"/>
      <c r="UBO3"/>
      <c r="UBP3"/>
      <c r="UBQ3"/>
      <c r="UBR3"/>
      <c r="UBS3"/>
      <c r="UBT3"/>
      <c r="UBU3"/>
      <c r="UBV3"/>
      <c r="UBW3"/>
      <c r="UBX3"/>
      <c r="UBY3"/>
      <c r="UBZ3"/>
      <c r="UCA3"/>
      <c r="UCB3"/>
      <c r="UCC3"/>
      <c r="UCD3"/>
      <c r="UCE3"/>
      <c r="UCF3"/>
      <c r="UCG3"/>
      <c r="UCH3"/>
      <c r="UCI3"/>
      <c r="UCJ3"/>
      <c r="UCK3"/>
      <c r="UCL3"/>
      <c r="UCM3"/>
      <c r="UCN3"/>
      <c r="UCO3"/>
      <c r="UCP3"/>
      <c r="UCQ3"/>
      <c r="UCR3"/>
      <c r="UCS3"/>
      <c r="UCT3"/>
      <c r="UCU3"/>
      <c r="UCV3"/>
      <c r="UCW3"/>
      <c r="UCX3"/>
      <c r="UCY3"/>
      <c r="UCZ3"/>
      <c r="UDA3"/>
      <c r="UDB3"/>
      <c r="UDC3"/>
      <c r="UDD3"/>
      <c r="UDE3"/>
      <c r="UDF3"/>
      <c r="UDG3"/>
      <c r="UDH3"/>
      <c r="UDI3"/>
      <c r="UDJ3"/>
      <c r="UDK3"/>
      <c r="UDL3"/>
      <c r="UDM3"/>
      <c r="UDN3"/>
      <c r="UDO3"/>
      <c r="UDP3"/>
      <c r="UDQ3"/>
      <c r="UDR3"/>
      <c r="UDS3"/>
      <c r="UDT3"/>
      <c r="UDU3"/>
      <c r="UDV3"/>
      <c r="UDW3"/>
      <c r="UDX3"/>
      <c r="UDY3"/>
      <c r="UDZ3"/>
      <c r="UEA3"/>
      <c r="UEB3"/>
      <c r="UEC3"/>
      <c r="UED3"/>
      <c r="UEE3"/>
      <c r="UEF3"/>
      <c r="UEG3"/>
      <c r="UEH3"/>
      <c r="UEI3"/>
      <c r="UEJ3"/>
      <c r="UEK3"/>
      <c r="UEL3"/>
      <c r="UEM3"/>
      <c r="UEN3"/>
      <c r="UEO3"/>
      <c r="UEP3"/>
      <c r="UEQ3"/>
      <c r="UER3"/>
      <c r="UES3"/>
      <c r="UET3"/>
      <c r="UEU3"/>
      <c r="UEV3"/>
      <c r="UEW3"/>
      <c r="UEX3"/>
      <c r="UEY3"/>
      <c r="UEZ3"/>
      <c r="UFA3"/>
      <c r="UFB3"/>
      <c r="UFC3"/>
      <c r="UFD3"/>
      <c r="UFE3"/>
      <c r="UFF3"/>
      <c r="UFG3"/>
      <c r="UFH3"/>
      <c r="UFI3"/>
      <c r="UFJ3"/>
      <c r="UFK3"/>
      <c r="UFL3"/>
      <c r="UFM3"/>
      <c r="UFN3"/>
      <c r="UFO3"/>
      <c r="UFP3"/>
      <c r="UFQ3"/>
      <c r="UFR3"/>
      <c r="UFS3"/>
      <c r="UFT3"/>
      <c r="UFU3"/>
      <c r="UFV3"/>
      <c r="UFW3"/>
      <c r="UFX3"/>
      <c r="UFY3"/>
      <c r="UFZ3"/>
      <c r="UGA3"/>
      <c r="UGB3"/>
      <c r="UGC3"/>
      <c r="UGD3"/>
      <c r="UGE3"/>
      <c r="UGF3"/>
      <c r="UGG3"/>
      <c r="UGH3"/>
      <c r="UGI3"/>
      <c r="UGJ3"/>
      <c r="UGK3"/>
      <c r="UGL3"/>
      <c r="UGM3"/>
      <c r="UGN3"/>
      <c r="UGO3"/>
      <c r="UGP3"/>
      <c r="UGQ3"/>
      <c r="UGR3"/>
      <c r="UGS3"/>
      <c r="UGT3"/>
      <c r="UGU3"/>
      <c r="UGV3"/>
      <c r="UGW3"/>
      <c r="UGX3"/>
      <c r="UGY3"/>
      <c r="UGZ3"/>
      <c r="UHA3"/>
      <c r="UHB3"/>
      <c r="UHC3"/>
      <c r="UHD3"/>
      <c r="UHE3"/>
      <c r="UHF3"/>
      <c r="UHG3"/>
      <c r="UHH3"/>
      <c r="UHI3"/>
      <c r="UHJ3"/>
      <c r="UHK3"/>
      <c r="UHL3"/>
      <c r="UHM3"/>
      <c r="UHN3"/>
      <c r="UHO3"/>
      <c r="UHP3"/>
      <c r="UHQ3"/>
      <c r="UHR3"/>
      <c r="UHS3"/>
      <c r="UHT3"/>
      <c r="UHU3"/>
      <c r="UHV3"/>
      <c r="UHW3"/>
      <c r="UHX3"/>
      <c r="UHY3"/>
      <c r="UHZ3"/>
      <c r="UIA3"/>
      <c r="UIB3"/>
      <c r="UIC3"/>
      <c r="UID3"/>
      <c r="UIE3"/>
      <c r="UIF3"/>
      <c r="UIG3"/>
      <c r="UIH3"/>
      <c r="UII3"/>
      <c r="UIJ3"/>
      <c r="UIK3"/>
      <c r="UIL3"/>
      <c r="UIM3"/>
      <c r="UIN3"/>
      <c r="UIO3"/>
      <c r="UIP3"/>
      <c r="UIQ3"/>
      <c r="UIR3"/>
      <c r="UIS3"/>
      <c r="UIT3"/>
      <c r="UIU3"/>
      <c r="UIV3"/>
      <c r="UIW3"/>
      <c r="UIX3"/>
      <c r="UIY3"/>
      <c r="UIZ3"/>
      <c r="UJA3"/>
      <c r="UJB3"/>
      <c r="UJC3"/>
      <c r="UJD3"/>
      <c r="UJE3"/>
      <c r="UJF3"/>
      <c r="UJG3"/>
      <c r="UJH3"/>
      <c r="UJI3"/>
      <c r="UJJ3"/>
      <c r="UJK3"/>
      <c r="UJL3"/>
      <c r="UJM3"/>
      <c r="UJN3"/>
      <c r="UJO3"/>
      <c r="UJP3"/>
      <c r="UJQ3"/>
      <c r="UJR3"/>
      <c r="UJS3"/>
      <c r="UJT3"/>
      <c r="UJU3"/>
      <c r="UJV3"/>
      <c r="UJW3"/>
      <c r="UJX3"/>
      <c r="UJY3"/>
      <c r="UJZ3"/>
      <c r="UKA3"/>
      <c r="UKB3"/>
      <c r="UKC3"/>
      <c r="UKD3"/>
      <c r="UKE3"/>
      <c r="UKF3"/>
      <c r="UKG3"/>
      <c r="UKH3"/>
      <c r="UKI3"/>
      <c r="UKJ3"/>
      <c r="UKK3"/>
      <c r="UKL3"/>
      <c r="UKM3"/>
      <c r="UKN3"/>
      <c r="UKO3"/>
      <c r="UKP3"/>
      <c r="UKQ3"/>
      <c r="UKR3"/>
      <c r="UKS3"/>
      <c r="UKT3"/>
      <c r="UKU3"/>
      <c r="UKV3"/>
      <c r="UKW3"/>
      <c r="UKX3"/>
      <c r="UKY3"/>
      <c r="UKZ3"/>
      <c r="ULA3"/>
      <c r="ULB3"/>
      <c r="ULC3"/>
      <c r="ULD3"/>
      <c r="ULE3"/>
      <c r="ULF3"/>
      <c r="ULG3"/>
      <c r="ULH3"/>
      <c r="ULI3"/>
      <c r="ULJ3"/>
      <c r="ULK3"/>
      <c r="ULL3"/>
      <c r="ULM3"/>
      <c r="ULN3"/>
      <c r="ULO3"/>
      <c r="ULP3"/>
      <c r="ULQ3"/>
      <c r="ULR3"/>
      <c r="ULS3"/>
      <c r="ULT3"/>
      <c r="ULU3"/>
      <c r="ULV3"/>
      <c r="ULW3"/>
      <c r="ULX3"/>
      <c r="ULY3"/>
      <c r="ULZ3"/>
      <c r="UMA3"/>
      <c r="UMB3"/>
      <c r="UMC3"/>
      <c r="UMD3"/>
      <c r="UME3"/>
      <c r="UMF3"/>
      <c r="UMG3"/>
      <c r="UMH3"/>
      <c r="UMI3"/>
      <c r="UMJ3"/>
      <c r="UMK3"/>
      <c r="UML3"/>
      <c r="UMM3"/>
      <c r="UMN3"/>
      <c r="UMO3"/>
      <c r="UMP3"/>
      <c r="UMQ3"/>
      <c r="UMR3"/>
      <c r="UMS3"/>
      <c r="UMT3"/>
      <c r="UMU3"/>
      <c r="UMV3"/>
      <c r="UMW3"/>
      <c r="UMX3"/>
      <c r="UMY3"/>
      <c r="UMZ3"/>
      <c r="UNA3"/>
      <c r="UNB3"/>
      <c r="UNC3"/>
      <c r="UND3"/>
      <c r="UNE3"/>
      <c r="UNF3"/>
      <c r="UNG3"/>
      <c r="UNH3"/>
      <c r="UNI3"/>
      <c r="UNJ3"/>
      <c r="UNK3"/>
      <c r="UNL3"/>
      <c r="UNM3"/>
      <c r="UNN3"/>
      <c r="UNO3"/>
      <c r="UNP3"/>
      <c r="UNQ3"/>
      <c r="UNR3"/>
      <c r="UNS3"/>
      <c r="UNT3"/>
      <c r="UNU3"/>
      <c r="UNV3"/>
      <c r="UNW3"/>
      <c r="UNX3"/>
      <c r="UNY3"/>
      <c r="UNZ3"/>
      <c r="UOA3"/>
      <c r="UOB3"/>
      <c r="UOC3"/>
      <c r="UOD3"/>
      <c r="UOE3"/>
      <c r="UOF3"/>
      <c r="UOG3"/>
      <c r="UOH3"/>
      <c r="UOI3"/>
      <c r="UOJ3"/>
      <c r="UOK3"/>
      <c r="UOL3"/>
      <c r="UOM3"/>
      <c r="UON3"/>
      <c r="UOO3"/>
      <c r="UOP3"/>
      <c r="UOQ3"/>
      <c r="UOR3"/>
      <c r="UOS3"/>
      <c r="UOT3"/>
      <c r="UOU3"/>
      <c r="UOV3"/>
      <c r="UOW3"/>
      <c r="UOX3"/>
      <c r="UOY3"/>
      <c r="UOZ3"/>
      <c r="UPA3"/>
      <c r="UPB3"/>
      <c r="UPC3"/>
      <c r="UPD3"/>
      <c r="UPE3"/>
      <c r="UPF3"/>
      <c r="UPG3"/>
      <c r="UPH3"/>
      <c r="UPI3"/>
      <c r="UPJ3"/>
      <c r="UPK3"/>
      <c r="UPL3"/>
      <c r="UPM3"/>
      <c r="UPN3"/>
      <c r="UPO3"/>
      <c r="UPP3"/>
      <c r="UPQ3"/>
      <c r="UPR3"/>
      <c r="UPS3"/>
      <c r="UPT3"/>
      <c r="UPU3"/>
      <c r="UPV3"/>
      <c r="UPW3"/>
      <c r="UPX3"/>
      <c r="UPY3"/>
      <c r="UPZ3"/>
      <c r="UQA3"/>
      <c r="UQB3"/>
      <c r="UQC3"/>
      <c r="UQD3"/>
      <c r="UQE3"/>
      <c r="UQF3"/>
      <c r="UQG3"/>
      <c r="UQH3"/>
      <c r="UQI3"/>
      <c r="UQJ3"/>
      <c r="UQK3"/>
      <c r="UQL3"/>
      <c r="UQM3"/>
      <c r="UQN3"/>
      <c r="UQO3"/>
      <c r="UQP3"/>
      <c r="UQQ3"/>
      <c r="UQR3"/>
      <c r="UQS3"/>
      <c r="UQT3"/>
      <c r="UQU3"/>
      <c r="UQV3"/>
      <c r="UQW3"/>
      <c r="UQX3"/>
      <c r="UQY3"/>
      <c r="UQZ3"/>
      <c r="URA3"/>
      <c r="URB3"/>
      <c r="URC3"/>
      <c r="URD3"/>
      <c r="URE3"/>
      <c r="URF3"/>
      <c r="URG3"/>
      <c r="URH3"/>
      <c r="URI3"/>
      <c r="URJ3"/>
      <c r="URK3"/>
      <c r="URL3"/>
      <c r="URM3"/>
      <c r="URN3"/>
      <c r="URO3"/>
      <c r="URP3"/>
      <c r="URQ3"/>
      <c r="URR3"/>
      <c r="URS3"/>
      <c r="URT3"/>
      <c r="URU3"/>
      <c r="URV3"/>
      <c r="URW3"/>
      <c r="URX3"/>
      <c r="URY3"/>
      <c r="URZ3"/>
      <c r="USA3"/>
      <c r="USB3"/>
      <c r="USC3"/>
      <c r="USD3"/>
      <c r="USE3"/>
      <c r="USF3"/>
      <c r="USG3"/>
      <c r="USH3"/>
      <c r="USI3"/>
      <c r="USJ3"/>
      <c r="USK3"/>
      <c r="USL3"/>
      <c r="USM3"/>
      <c r="USN3"/>
      <c r="USO3"/>
      <c r="USP3"/>
      <c r="USQ3"/>
      <c r="USR3"/>
      <c r="USS3"/>
      <c r="UST3"/>
      <c r="USU3"/>
      <c r="USV3"/>
      <c r="USW3"/>
      <c r="USX3"/>
      <c r="USY3"/>
      <c r="USZ3"/>
      <c r="UTA3"/>
      <c r="UTB3"/>
      <c r="UTC3"/>
      <c r="UTD3"/>
      <c r="UTE3"/>
      <c r="UTF3"/>
      <c r="UTG3"/>
      <c r="UTH3"/>
      <c r="UTI3"/>
      <c r="UTJ3"/>
      <c r="UTK3"/>
      <c r="UTL3"/>
      <c r="UTM3"/>
      <c r="UTN3"/>
      <c r="UTO3"/>
      <c r="UTP3"/>
      <c r="UTQ3"/>
      <c r="UTR3"/>
      <c r="UTS3"/>
      <c r="UTT3"/>
      <c r="UTU3"/>
      <c r="UTV3"/>
      <c r="UTW3"/>
      <c r="UTX3"/>
      <c r="UTY3"/>
      <c r="UTZ3"/>
      <c r="UUA3"/>
      <c r="UUB3"/>
      <c r="UUC3"/>
      <c r="UUD3"/>
      <c r="UUE3"/>
      <c r="UUF3"/>
      <c r="UUG3"/>
      <c r="UUH3"/>
      <c r="UUI3"/>
      <c r="UUJ3"/>
      <c r="UUK3"/>
      <c r="UUL3"/>
      <c r="UUM3"/>
      <c r="UUN3"/>
      <c r="UUO3"/>
      <c r="UUP3"/>
      <c r="UUQ3"/>
      <c r="UUR3"/>
      <c r="UUS3"/>
      <c r="UUT3"/>
      <c r="UUU3"/>
      <c r="UUV3"/>
      <c r="UUW3"/>
      <c r="UUX3"/>
      <c r="UUY3"/>
      <c r="UUZ3"/>
      <c r="UVA3"/>
      <c r="UVB3"/>
      <c r="UVC3"/>
      <c r="UVD3"/>
      <c r="UVE3"/>
      <c r="UVF3"/>
      <c r="UVG3"/>
      <c r="UVH3"/>
      <c r="UVI3"/>
      <c r="UVJ3"/>
      <c r="UVK3"/>
      <c r="UVL3"/>
      <c r="UVM3"/>
      <c r="UVN3"/>
      <c r="UVO3"/>
      <c r="UVP3"/>
      <c r="UVQ3"/>
      <c r="UVR3"/>
      <c r="UVS3"/>
      <c r="UVT3"/>
      <c r="UVU3"/>
      <c r="UVV3"/>
      <c r="UVW3"/>
      <c r="UVX3"/>
      <c r="UVY3"/>
      <c r="UVZ3"/>
      <c r="UWA3"/>
      <c r="UWB3"/>
      <c r="UWC3"/>
      <c r="UWD3"/>
      <c r="UWE3"/>
      <c r="UWF3"/>
      <c r="UWG3"/>
      <c r="UWH3"/>
      <c r="UWI3"/>
      <c r="UWJ3"/>
      <c r="UWK3"/>
      <c r="UWL3"/>
      <c r="UWM3"/>
      <c r="UWN3"/>
      <c r="UWO3"/>
      <c r="UWP3"/>
      <c r="UWQ3"/>
      <c r="UWR3"/>
      <c r="UWS3"/>
      <c r="UWT3"/>
      <c r="UWU3"/>
      <c r="UWV3"/>
      <c r="UWW3"/>
      <c r="UWX3"/>
      <c r="UWY3"/>
      <c r="UWZ3"/>
      <c r="UXA3"/>
      <c r="UXB3"/>
      <c r="UXC3"/>
      <c r="UXD3"/>
      <c r="UXE3"/>
      <c r="UXF3"/>
      <c r="UXG3"/>
      <c r="UXH3"/>
      <c r="UXI3"/>
      <c r="UXJ3"/>
      <c r="UXK3"/>
      <c r="UXL3"/>
      <c r="UXM3"/>
      <c r="UXN3"/>
      <c r="UXO3"/>
      <c r="UXP3"/>
      <c r="UXQ3"/>
      <c r="UXR3"/>
      <c r="UXS3"/>
      <c r="UXT3"/>
      <c r="UXU3"/>
      <c r="UXV3"/>
      <c r="UXW3"/>
      <c r="UXX3"/>
      <c r="UXY3"/>
      <c r="UXZ3"/>
      <c r="UYA3"/>
      <c r="UYB3"/>
      <c r="UYC3"/>
      <c r="UYD3"/>
      <c r="UYE3"/>
      <c r="UYF3"/>
      <c r="UYG3"/>
      <c r="UYH3"/>
      <c r="UYI3"/>
      <c r="UYJ3"/>
      <c r="UYK3"/>
      <c r="UYL3"/>
      <c r="UYM3"/>
      <c r="UYN3"/>
      <c r="UYO3"/>
      <c r="UYP3"/>
      <c r="UYQ3"/>
      <c r="UYR3"/>
      <c r="UYS3"/>
      <c r="UYT3"/>
      <c r="UYU3"/>
      <c r="UYV3"/>
      <c r="UYW3"/>
      <c r="UYX3"/>
      <c r="UYY3"/>
      <c r="UYZ3"/>
      <c r="UZA3"/>
      <c r="UZB3"/>
      <c r="UZC3"/>
      <c r="UZD3"/>
      <c r="UZE3"/>
      <c r="UZF3"/>
      <c r="UZG3"/>
      <c r="UZH3"/>
      <c r="UZI3"/>
      <c r="UZJ3"/>
      <c r="UZK3"/>
      <c r="UZL3"/>
      <c r="UZM3"/>
      <c r="UZN3"/>
      <c r="UZO3"/>
      <c r="UZP3"/>
      <c r="UZQ3"/>
      <c r="UZR3"/>
      <c r="UZS3"/>
      <c r="UZT3"/>
      <c r="UZU3"/>
      <c r="UZV3"/>
      <c r="UZW3"/>
      <c r="UZX3"/>
      <c r="UZY3"/>
      <c r="UZZ3"/>
      <c r="VAA3"/>
      <c r="VAB3"/>
      <c r="VAC3"/>
      <c r="VAD3"/>
      <c r="VAE3"/>
      <c r="VAF3"/>
      <c r="VAG3"/>
      <c r="VAH3"/>
      <c r="VAI3"/>
      <c r="VAJ3"/>
      <c r="VAK3"/>
      <c r="VAL3"/>
      <c r="VAM3"/>
      <c r="VAN3"/>
      <c r="VAO3"/>
      <c r="VAP3"/>
      <c r="VAQ3"/>
      <c r="VAR3"/>
      <c r="VAS3"/>
      <c r="VAT3"/>
      <c r="VAU3"/>
      <c r="VAV3"/>
      <c r="VAW3"/>
      <c r="VAX3"/>
      <c r="VAY3"/>
      <c r="VAZ3"/>
      <c r="VBA3"/>
      <c r="VBB3"/>
      <c r="VBC3"/>
      <c r="VBD3"/>
      <c r="VBE3"/>
      <c r="VBF3"/>
      <c r="VBG3"/>
      <c r="VBH3"/>
      <c r="VBI3"/>
      <c r="VBJ3"/>
      <c r="VBK3"/>
      <c r="VBL3"/>
      <c r="VBM3"/>
      <c r="VBN3"/>
      <c r="VBO3"/>
      <c r="VBP3"/>
      <c r="VBQ3"/>
      <c r="VBR3"/>
      <c r="VBS3"/>
      <c r="VBT3"/>
      <c r="VBU3"/>
      <c r="VBV3"/>
      <c r="VBW3"/>
      <c r="VBX3"/>
      <c r="VBY3"/>
      <c r="VBZ3"/>
      <c r="VCA3"/>
      <c r="VCB3"/>
      <c r="VCC3"/>
      <c r="VCD3"/>
      <c r="VCE3"/>
      <c r="VCF3"/>
      <c r="VCG3"/>
      <c r="VCH3"/>
      <c r="VCI3"/>
      <c r="VCJ3"/>
      <c r="VCK3"/>
      <c r="VCL3"/>
      <c r="VCM3"/>
      <c r="VCN3"/>
      <c r="VCO3"/>
      <c r="VCP3"/>
      <c r="VCQ3"/>
      <c r="VCR3"/>
      <c r="VCS3"/>
      <c r="VCT3"/>
      <c r="VCU3"/>
      <c r="VCV3"/>
      <c r="VCW3"/>
      <c r="VCX3"/>
      <c r="VCY3"/>
      <c r="VCZ3"/>
      <c r="VDA3"/>
      <c r="VDB3"/>
      <c r="VDC3"/>
      <c r="VDD3"/>
      <c r="VDE3"/>
      <c r="VDF3"/>
      <c r="VDG3"/>
      <c r="VDH3"/>
      <c r="VDI3"/>
      <c r="VDJ3"/>
      <c r="VDK3"/>
      <c r="VDL3"/>
      <c r="VDM3"/>
      <c r="VDN3"/>
      <c r="VDO3"/>
      <c r="VDP3"/>
      <c r="VDQ3"/>
      <c r="VDR3"/>
      <c r="VDS3"/>
      <c r="VDT3"/>
      <c r="VDU3"/>
      <c r="VDV3"/>
      <c r="VDW3"/>
      <c r="VDX3"/>
      <c r="VDY3"/>
      <c r="VDZ3"/>
      <c r="VEA3"/>
      <c r="VEB3"/>
      <c r="VEC3"/>
      <c r="VED3"/>
      <c r="VEE3"/>
      <c r="VEF3"/>
      <c r="VEG3"/>
      <c r="VEH3"/>
      <c r="VEI3"/>
      <c r="VEJ3"/>
      <c r="VEK3"/>
      <c r="VEL3"/>
      <c r="VEM3"/>
      <c r="VEN3"/>
      <c r="VEO3"/>
      <c r="VEP3"/>
      <c r="VEQ3"/>
      <c r="VER3"/>
      <c r="VES3"/>
      <c r="VET3"/>
      <c r="VEU3"/>
      <c r="VEV3"/>
      <c r="VEW3"/>
      <c r="VEX3"/>
      <c r="VEY3"/>
      <c r="VEZ3"/>
      <c r="VFA3"/>
      <c r="VFB3"/>
      <c r="VFC3"/>
      <c r="VFD3"/>
      <c r="VFE3"/>
      <c r="VFF3"/>
      <c r="VFG3"/>
      <c r="VFH3"/>
      <c r="VFI3"/>
      <c r="VFJ3"/>
      <c r="VFK3"/>
      <c r="VFL3"/>
      <c r="VFM3"/>
      <c r="VFN3"/>
      <c r="VFO3"/>
      <c r="VFP3"/>
      <c r="VFQ3"/>
      <c r="VFR3"/>
      <c r="VFS3"/>
      <c r="VFT3"/>
      <c r="VFU3"/>
      <c r="VFV3"/>
      <c r="VFW3"/>
      <c r="VFX3"/>
      <c r="VFY3"/>
      <c r="VFZ3"/>
      <c r="VGA3"/>
      <c r="VGB3"/>
      <c r="VGC3"/>
      <c r="VGD3"/>
      <c r="VGE3"/>
      <c r="VGF3"/>
      <c r="VGG3"/>
      <c r="VGH3"/>
      <c r="VGI3"/>
      <c r="VGJ3"/>
      <c r="VGK3"/>
      <c r="VGL3"/>
      <c r="VGM3"/>
      <c r="VGN3"/>
      <c r="VGO3"/>
      <c r="VGP3"/>
      <c r="VGQ3"/>
      <c r="VGR3"/>
      <c r="VGS3"/>
      <c r="VGT3"/>
      <c r="VGU3"/>
      <c r="VGV3"/>
      <c r="VGW3"/>
      <c r="VGX3"/>
      <c r="VGY3"/>
      <c r="VGZ3"/>
      <c r="VHA3"/>
      <c r="VHB3"/>
      <c r="VHC3"/>
      <c r="VHD3"/>
      <c r="VHE3"/>
      <c r="VHF3"/>
      <c r="VHG3"/>
      <c r="VHH3"/>
      <c r="VHI3"/>
      <c r="VHJ3"/>
      <c r="VHK3"/>
      <c r="VHL3"/>
      <c r="VHM3"/>
      <c r="VHN3"/>
      <c r="VHO3"/>
      <c r="VHP3"/>
      <c r="VHQ3"/>
      <c r="VHR3"/>
      <c r="VHS3"/>
      <c r="VHT3"/>
      <c r="VHU3"/>
      <c r="VHV3"/>
      <c r="VHW3"/>
      <c r="VHX3"/>
      <c r="VHY3"/>
      <c r="VHZ3"/>
      <c r="VIA3"/>
      <c r="VIB3"/>
      <c r="VIC3"/>
      <c r="VID3"/>
      <c r="VIE3"/>
      <c r="VIF3"/>
      <c r="VIG3"/>
      <c r="VIH3"/>
      <c r="VII3"/>
      <c r="VIJ3"/>
      <c r="VIK3"/>
      <c r="VIL3"/>
      <c r="VIM3"/>
      <c r="VIN3"/>
      <c r="VIO3"/>
      <c r="VIP3"/>
      <c r="VIQ3"/>
      <c r="VIR3"/>
      <c r="VIS3"/>
      <c r="VIT3"/>
      <c r="VIU3"/>
      <c r="VIV3"/>
      <c r="VIW3"/>
      <c r="VIX3"/>
      <c r="VIY3"/>
      <c r="VIZ3"/>
      <c r="VJA3"/>
      <c r="VJB3"/>
      <c r="VJC3"/>
      <c r="VJD3"/>
      <c r="VJE3"/>
      <c r="VJF3"/>
      <c r="VJG3"/>
      <c r="VJH3"/>
      <c r="VJI3"/>
      <c r="VJJ3"/>
      <c r="VJK3"/>
      <c r="VJL3"/>
      <c r="VJM3"/>
      <c r="VJN3"/>
      <c r="VJO3"/>
      <c r="VJP3"/>
      <c r="VJQ3"/>
      <c r="VJR3"/>
      <c r="VJS3"/>
      <c r="VJT3"/>
      <c r="VJU3"/>
      <c r="VJV3"/>
      <c r="VJW3"/>
      <c r="VJX3"/>
      <c r="VJY3"/>
      <c r="VJZ3"/>
      <c r="VKA3"/>
      <c r="VKB3"/>
      <c r="VKC3"/>
      <c r="VKD3"/>
      <c r="VKE3"/>
      <c r="VKF3"/>
      <c r="VKG3"/>
      <c r="VKH3"/>
      <c r="VKI3"/>
      <c r="VKJ3"/>
      <c r="VKK3"/>
      <c r="VKL3"/>
      <c r="VKM3"/>
      <c r="VKN3"/>
      <c r="VKO3"/>
      <c r="VKP3"/>
      <c r="VKQ3"/>
      <c r="VKR3"/>
      <c r="VKS3"/>
      <c r="VKT3"/>
      <c r="VKU3"/>
      <c r="VKV3"/>
      <c r="VKW3"/>
      <c r="VKX3"/>
      <c r="VKY3"/>
      <c r="VKZ3"/>
      <c r="VLA3"/>
      <c r="VLB3"/>
      <c r="VLC3"/>
      <c r="VLD3"/>
      <c r="VLE3"/>
      <c r="VLF3"/>
      <c r="VLG3"/>
      <c r="VLH3"/>
      <c r="VLI3"/>
      <c r="VLJ3"/>
      <c r="VLK3"/>
      <c r="VLL3"/>
      <c r="VLM3"/>
      <c r="VLN3"/>
      <c r="VLO3"/>
      <c r="VLP3"/>
      <c r="VLQ3"/>
      <c r="VLR3"/>
      <c r="VLS3"/>
      <c r="VLT3"/>
      <c r="VLU3"/>
      <c r="VLV3"/>
      <c r="VLW3"/>
      <c r="VLX3"/>
      <c r="VLY3"/>
      <c r="VLZ3"/>
      <c r="VMA3"/>
      <c r="VMB3"/>
      <c r="VMC3"/>
      <c r="VMD3"/>
      <c r="VME3"/>
      <c r="VMF3"/>
      <c r="VMG3"/>
      <c r="VMH3"/>
      <c r="VMI3"/>
      <c r="VMJ3"/>
      <c r="VMK3"/>
      <c r="VML3"/>
      <c r="VMM3"/>
      <c r="VMN3"/>
      <c r="VMO3"/>
      <c r="VMP3"/>
      <c r="VMQ3"/>
      <c r="VMR3"/>
      <c r="VMS3"/>
      <c r="VMT3"/>
      <c r="VMU3"/>
      <c r="VMV3"/>
      <c r="VMW3"/>
      <c r="VMX3"/>
      <c r="VMY3"/>
      <c r="VMZ3"/>
      <c r="VNA3"/>
      <c r="VNB3"/>
      <c r="VNC3"/>
      <c r="VND3"/>
      <c r="VNE3"/>
      <c r="VNF3"/>
      <c r="VNG3"/>
      <c r="VNH3"/>
      <c r="VNI3"/>
      <c r="VNJ3"/>
      <c r="VNK3"/>
      <c r="VNL3"/>
      <c r="VNM3"/>
      <c r="VNN3"/>
      <c r="VNO3"/>
      <c r="VNP3"/>
      <c r="VNQ3"/>
      <c r="VNR3"/>
      <c r="VNS3"/>
      <c r="VNT3"/>
      <c r="VNU3"/>
      <c r="VNV3"/>
      <c r="VNW3"/>
      <c r="VNX3"/>
      <c r="VNY3"/>
      <c r="VNZ3"/>
      <c r="VOA3"/>
      <c r="VOB3"/>
      <c r="VOC3"/>
      <c r="VOD3"/>
      <c r="VOE3"/>
      <c r="VOF3"/>
      <c r="VOG3"/>
      <c r="VOH3"/>
      <c r="VOI3"/>
      <c r="VOJ3"/>
      <c r="VOK3"/>
      <c r="VOL3"/>
      <c r="VOM3"/>
      <c r="VON3"/>
      <c r="VOO3"/>
      <c r="VOP3"/>
      <c r="VOQ3"/>
      <c r="VOR3"/>
      <c r="VOS3"/>
      <c r="VOT3"/>
      <c r="VOU3"/>
      <c r="VOV3"/>
      <c r="VOW3"/>
      <c r="VOX3"/>
      <c r="VOY3"/>
      <c r="VOZ3"/>
      <c r="VPA3"/>
      <c r="VPB3"/>
      <c r="VPC3"/>
      <c r="VPD3"/>
      <c r="VPE3"/>
      <c r="VPF3"/>
      <c r="VPG3"/>
      <c r="VPH3"/>
      <c r="VPI3"/>
      <c r="VPJ3"/>
      <c r="VPK3"/>
      <c r="VPL3"/>
      <c r="VPM3"/>
      <c r="VPN3"/>
      <c r="VPO3"/>
      <c r="VPP3"/>
      <c r="VPQ3"/>
      <c r="VPR3"/>
      <c r="VPS3"/>
      <c r="VPT3"/>
      <c r="VPU3"/>
      <c r="VPV3"/>
      <c r="VPW3"/>
      <c r="VPX3"/>
      <c r="VPY3"/>
      <c r="VPZ3"/>
      <c r="VQA3"/>
      <c r="VQB3"/>
      <c r="VQC3"/>
      <c r="VQD3"/>
      <c r="VQE3"/>
      <c r="VQF3"/>
      <c r="VQG3"/>
      <c r="VQH3"/>
      <c r="VQI3"/>
      <c r="VQJ3"/>
      <c r="VQK3"/>
      <c r="VQL3"/>
      <c r="VQM3"/>
      <c r="VQN3"/>
      <c r="VQO3"/>
      <c r="VQP3"/>
      <c r="VQQ3"/>
      <c r="VQR3"/>
      <c r="VQS3"/>
      <c r="VQT3"/>
      <c r="VQU3"/>
      <c r="VQV3"/>
      <c r="VQW3"/>
      <c r="VQX3"/>
      <c r="VQY3"/>
      <c r="VQZ3"/>
      <c r="VRA3"/>
      <c r="VRB3"/>
      <c r="VRC3"/>
      <c r="VRD3"/>
      <c r="VRE3"/>
      <c r="VRF3"/>
      <c r="VRG3"/>
      <c r="VRH3"/>
      <c r="VRI3"/>
      <c r="VRJ3"/>
      <c r="VRK3"/>
      <c r="VRL3"/>
      <c r="VRM3"/>
      <c r="VRN3"/>
      <c r="VRO3"/>
      <c r="VRP3"/>
      <c r="VRQ3"/>
      <c r="VRR3"/>
      <c r="VRS3"/>
      <c r="VRT3"/>
      <c r="VRU3"/>
      <c r="VRV3"/>
      <c r="VRW3"/>
      <c r="VRX3"/>
      <c r="VRY3"/>
      <c r="VRZ3"/>
      <c r="VSA3"/>
      <c r="VSB3"/>
      <c r="VSC3"/>
      <c r="VSD3"/>
      <c r="VSE3"/>
      <c r="VSF3"/>
      <c r="VSG3"/>
      <c r="VSH3"/>
      <c r="VSI3"/>
      <c r="VSJ3"/>
      <c r="VSK3"/>
      <c r="VSL3"/>
      <c r="VSM3"/>
      <c r="VSN3"/>
      <c r="VSO3"/>
      <c r="VSP3"/>
      <c r="VSQ3"/>
      <c r="VSR3"/>
      <c r="VSS3"/>
      <c r="VST3"/>
      <c r="VSU3"/>
      <c r="VSV3"/>
      <c r="VSW3"/>
      <c r="VSX3"/>
      <c r="VSY3"/>
      <c r="VSZ3"/>
      <c r="VTA3"/>
      <c r="VTB3"/>
      <c r="VTC3"/>
      <c r="VTD3"/>
      <c r="VTE3"/>
      <c r="VTF3"/>
      <c r="VTG3"/>
      <c r="VTH3"/>
      <c r="VTI3"/>
      <c r="VTJ3"/>
      <c r="VTK3"/>
      <c r="VTL3"/>
      <c r="VTM3"/>
      <c r="VTN3"/>
      <c r="VTO3"/>
      <c r="VTP3"/>
      <c r="VTQ3"/>
      <c r="VTR3"/>
      <c r="VTS3"/>
      <c r="VTT3"/>
      <c r="VTU3"/>
      <c r="VTV3"/>
      <c r="VTW3"/>
      <c r="VTX3"/>
      <c r="VTY3"/>
      <c r="VTZ3"/>
      <c r="VUA3"/>
      <c r="VUB3"/>
      <c r="VUC3"/>
      <c r="VUD3"/>
      <c r="VUE3"/>
      <c r="VUF3"/>
      <c r="VUG3"/>
      <c r="VUH3"/>
      <c r="VUI3"/>
      <c r="VUJ3"/>
      <c r="VUK3"/>
      <c r="VUL3"/>
      <c r="VUM3"/>
      <c r="VUN3"/>
      <c r="VUO3"/>
      <c r="VUP3"/>
      <c r="VUQ3"/>
      <c r="VUR3"/>
      <c r="VUS3"/>
      <c r="VUT3"/>
      <c r="VUU3"/>
      <c r="VUV3"/>
      <c r="VUW3"/>
      <c r="VUX3"/>
      <c r="VUY3"/>
      <c r="VUZ3"/>
      <c r="VVA3"/>
      <c r="VVB3"/>
      <c r="VVC3"/>
      <c r="VVD3"/>
      <c r="VVE3"/>
      <c r="VVF3"/>
      <c r="VVG3"/>
      <c r="VVH3"/>
      <c r="VVI3"/>
      <c r="VVJ3"/>
      <c r="VVK3"/>
      <c r="VVL3"/>
      <c r="VVM3"/>
      <c r="VVN3"/>
      <c r="VVO3"/>
      <c r="VVP3"/>
      <c r="VVQ3"/>
      <c r="VVR3"/>
      <c r="VVS3"/>
      <c r="VVT3"/>
      <c r="VVU3"/>
      <c r="VVV3"/>
      <c r="VVW3"/>
      <c r="VVX3"/>
      <c r="VVY3"/>
      <c r="VVZ3"/>
      <c r="VWA3"/>
      <c r="VWB3"/>
      <c r="VWC3"/>
      <c r="VWD3"/>
      <c r="VWE3"/>
      <c r="VWF3"/>
      <c r="VWG3"/>
      <c r="VWH3"/>
      <c r="VWI3"/>
      <c r="VWJ3"/>
      <c r="VWK3"/>
      <c r="VWL3"/>
      <c r="VWM3"/>
      <c r="VWN3"/>
      <c r="VWO3"/>
      <c r="VWP3"/>
      <c r="VWQ3"/>
      <c r="VWR3"/>
      <c r="VWS3"/>
      <c r="VWT3"/>
      <c r="VWU3"/>
      <c r="VWV3"/>
      <c r="VWW3"/>
      <c r="VWX3"/>
      <c r="VWY3"/>
      <c r="VWZ3"/>
      <c r="VXA3"/>
      <c r="VXB3"/>
      <c r="VXC3"/>
      <c r="VXD3"/>
      <c r="VXE3"/>
      <c r="VXF3"/>
      <c r="VXG3"/>
      <c r="VXH3"/>
      <c r="VXI3"/>
      <c r="VXJ3"/>
      <c r="VXK3"/>
      <c r="VXL3"/>
      <c r="VXM3"/>
      <c r="VXN3"/>
      <c r="VXO3"/>
      <c r="VXP3"/>
      <c r="VXQ3"/>
      <c r="VXR3"/>
      <c r="VXS3"/>
      <c r="VXT3"/>
      <c r="VXU3"/>
      <c r="VXV3"/>
      <c r="VXW3"/>
      <c r="VXX3"/>
      <c r="VXY3"/>
      <c r="VXZ3"/>
      <c r="VYA3"/>
      <c r="VYB3"/>
      <c r="VYC3"/>
      <c r="VYD3"/>
      <c r="VYE3"/>
      <c r="VYF3"/>
      <c r="VYG3"/>
      <c r="VYH3"/>
      <c r="VYI3"/>
      <c r="VYJ3"/>
      <c r="VYK3"/>
      <c r="VYL3"/>
      <c r="VYM3"/>
      <c r="VYN3"/>
      <c r="VYO3"/>
      <c r="VYP3"/>
      <c r="VYQ3"/>
      <c r="VYR3"/>
      <c r="VYS3"/>
      <c r="VYT3"/>
      <c r="VYU3"/>
      <c r="VYV3"/>
      <c r="VYW3"/>
      <c r="VYX3"/>
      <c r="VYY3"/>
      <c r="VYZ3"/>
      <c r="VZA3"/>
      <c r="VZB3"/>
      <c r="VZC3"/>
      <c r="VZD3"/>
      <c r="VZE3"/>
      <c r="VZF3"/>
      <c r="VZG3"/>
      <c r="VZH3"/>
      <c r="VZI3"/>
      <c r="VZJ3"/>
      <c r="VZK3"/>
      <c r="VZL3"/>
      <c r="VZM3"/>
      <c r="VZN3"/>
      <c r="VZO3"/>
      <c r="VZP3"/>
      <c r="VZQ3"/>
      <c r="VZR3"/>
      <c r="VZS3"/>
      <c r="VZT3"/>
      <c r="VZU3"/>
      <c r="VZV3"/>
      <c r="VZW3"/>
      <c r="VZX3"/>
      <c r="VZY3"/>
      <c r="VZZ3"/>
      <c r="WAA3"/>
      <c r="WAB3"/>
      <c r="WAC3"/>
      <c r="WAD3"/>
      <c r="WAE3"/>
      <c r="WAF3"/>
      <c r="WAG3"/>
      <c r="WAH3"/>
      <c r="WAI3"/>
      <c r="WAJ3"/>
      <c r="WAK3"/>
      <c r="WAL3"/>
      <c r="WAM3"/>
      <c r="WAN3"/>
      <c r="WAO3"/>
      <c r="WAP3"/>
      <c r="WAQ3"/>
      <c r="WAR3"/>
      <c r="WAS3"/>
      <c r="WAT3"/>
      <c r="WAU3"/>
      <c r="WAV3"/>
      <c r="WAW3"/>
      <c r="WAX3"/>
      <c r="WAY3"/>
      <c r="WAZ3"/>
      <c r="WBA3"/>
      <c r="WBB3"/>
      <c r="WBC3"/>
      <c r="WBD3"/>
      <c r="WBE3"/>
      <c r="WBF3"/>
      <c r="WBG3"/>
      <c r="WBH3"/>
      <c r="WBI3"/>
      <c r="WBJ3"/>
      <c r="WBK3"/>
      <c r="WBL3"/>
      <c r="WBM3"/>
      <c r="WBN3"/>
      <c r="WBO3"/>
      <c r="WBP3"/>
      <c r="WBQ3"/>
      <c r="WBR3"/>
      <c r="WBS3"/>
      <c r="WBT3"/>
      <c r="WBU3"/>
      <c r="WBV3"/>
      <c r="WBW3"/>
      <c r="WBX3"/>
      <c r="WBY3"/>
      <c r="WBZ3"/>
      <c r="WCA3"/>
      <c r="WCB3"/>
      <c r="WCC3"/>
      <c r="WCD3"/>
      <c r="WCE3"/>
      <c r="WCF3"/>
      <c r="WCG3"/>
      <c r="WCH3"/>
      <c r="WCI3"/>
      <c r="WCJ3"/>
      <c r="WCK3"/>
      <c r="WCL3"/>
      <c r="WCM3"/>
      <c r="WCN3"/>
      <c r="WCO3"/>
      <c r="WCP3"/>
      <c r="WCQ3"/>
      <c r="WCR3"/>
      <c r="WCS3"/>
      <c r="WCT3"/>
      <c r="WCU3"/>
      <c r="WCV3"/>
      <c r="WCW3"/>
      <c r="WCX3"/>
      <c r="WCY3"/>
      <c r="WCZ3"/>
      <c r="WDA3"/>
      <c r="WDB3"/>
      <c r="WDC3"/>
      <c r="WDD3"/>
      <c r="WDE3"/>
      <c r="WDF3"/>
      <c r="WDG3"/>
      <c r="WDH3"/>
      <c r="WDI3"/>
      <c r="WDJ3"/>
      <c r="WDK3"/>
      <c r="WDL3"/>
      <c r="WDM3"/>
      <c r="WDN3"/>
      <c r="WDO3"/>
      <c r="WDP3"/>
      <c r="WDQ3"/>
      <c r="WDR3"/>
      <c r="WDS3"/>
      <c r="WDT3"/>
      <c r="WDU3"/>
      <c r="WDV3"/>
      <c r="WDW3"/>
      <c r="WDX3"/>
      <c r="WDY3"/>
      <c r="WDZ3"/>
      <c r="WEA3"/>
      <c r="WEB3"/>
      <c r="WEC3"/>
      <c r="WED3"/>
      <c r="WEE3"/>
      <c r="WEF3"/>
      <c r="WEG3"/>
      <c r="WEH3"/>
      <c r="WEI3"/>
      <c r="WEJ3"/>
      <c r="WEK3"/>
      <c r="WEL3"/>
      <c r="WEM3"/>
      <c r="WEN3"/>
      <c r="WEO3"/>
      <c r="WEP3"/>
      <c r="WEQ3"/>
      <c r="WER3"/>
      <c r="WES3"/>
      <c r="WET3"/>
      <c r="WEU3"/>
      <c r="WEV3"/>
      <c r="WEW3"/>
      <c r="WEX3"/>
      <c r="WEY3"/>
      <c r="WEZ3"/>
      <c r="WFA3"/>
      <c r="WFB3"/>
      <c r="WFC3"/>
      <c r="WFD3"/>
      <c r="WFE3"/>
      <c r="WFF3"/>
      <c r="WFG3"/>
      <c r="WFH3"/>
      <c r="WFI3"/>
      <c r="WFJ3"/>
      <c r="WFK3"/>
      <c r="WFL3"/>
      <c r="WFM3"/>
      <c r="WFN3"/>
      <c r="WFO3"/>
      <c r="WFP3"/>
      <c r="WFQ3"/>
      <c r="WFR3"/>
      <c r="WFS3"/>
      <c r="WFT3"/>
      <c r="WFU3"/>
      <c r="WFV3"/>
      <c r="WFW3"/>
      <c r="WFX3"/>
      <c r="WFY3"/>
      <c r="WFZ3"/>
      <c r="WGA3"/>
      <c r="WGB3"/>
      <c r="WGC3"/>
      <c r="WGD3"/>
      <c r="WGE3"/>
      <c r="WGF3"/>
      <c r="WGG3"/>
      <c r="WGH3"/>
      <c r="WGI3"/>
      <c r="WGJ3"/>
      <c r="WGK3"/>
      <c r="WGL3"/>
      <c r="WGM3"/>
      <c r="WGN3"/>
      <c r="WGO3"/>
      <c r="WGP3"/>
      <c r="WGQ3"/>
      <c r="WGR3"/>
      <c r="WGS3"/>
      <c r="WGT3"/>
      <c r="WGU3"/>
      <c r="WGV3"/>
      <c r="WGW3"/>
      <c r="WGX3"/>
      <c r="WGY3"/>
      <c r="WGZ3"/>
      <c r="WHA3"/>
      <c r="WHB3"/>
      <c r="WHC3"/>
      <c r="WHD3"/>
      <c r="WHE3"/>
      <c r="WHF3"/>
      <c r="WHG3"/>
      <c r="WHH3"/>
      <c r="WHI3"/>
      <c r="WHJ3"/>
      <c r="WHK3"/>
      <c r="WHL3"/>
      <c r="WHM3"/>
      <c r="WHN3"/>
      <c r="WHO3"/>
      <c r="WHP3"/>
      <c r="WHQ3"/>
      <c r="WHR3"/>
      <c r="WHS3"/>
      <c r="WHT3"/>
      <c r="WHU3"/>
      <c r="WHV3"/>
      <c r="WHW3"/>
      <c r="WHX3"/>
      <c r="WHY3"/>
      <c r="WHZ3"/>
      <c r="WIA3"/>
      <c r="WIB3"/>
      <c r="WIC3"/>
      <c r="WID3"/>
      <c r="WIE3"/>
      <c r="WIF3"/>
      <c r="WIG3"/>
      <c r="WIH3"/>
      <c r="WII3"/>
      <c r="WIJ3"/>
      <c r="WIK3"/>
      <c r="WIL3"/>
      <c r="WIM3"/>
      <c r="WIN3"/>
      <c r="WIO3"/>
      <c r="WIP3"/>
      <c r="WIQ3"/>
      <c r="WIR3"/>
      <c r="WIS3"/>
      <c r="WIT3"/>
      <c r="WIU3"/>
      <c r="WIV3"/>
      <c r="WIW3"/>
      <c r="WIX3"/>
      <c r="WIY3"/>
      <c r="WIZ3"/>
      <c r="WJA3"/>
      <c r="WJB3"/>
      <c r="WJC3"/>
      <c r="WJD3"/>
      <c r="WJE3"/>
      <c r="WJF3"/>
      <c r="WJG3"/>
      <c r="WJH3"/>
      <c r="WJI3"/>
      <c r="WJJ3"/>
      <c r="WJK3"/>
      <c r="WJL3"/>
      <c r="WJM3"/>
      <c r="WJN3"/>
      <c r="WJO3"/>
      <c r="WJP3"/>
      <c r="WJQ3"/>
      <c r="WJR3"/>
      <c r="WJS3"/>
      <c r="WJT3"/>
      <c r="WJU3"/>
      <c r="WJV3"/>
      <c r="WJW3"/>
      <c r="WJX3"/>
      <c r="WJY3"/>
      <c r="WJZ3"/>
      <c r="WKA3"/>
      <c r="WKB3"/>
      <c r="WKC3"/>
      <c r="WKD3"/>
      <c r="WKE3"/>
      <c r="WKF3"/>
      <c r="WKG3"/>
      <c r="WKH3"/>
      <c r="WKI3"/>
      <c r="WKJ3"/>
      <c r="WKK3"/>
      <c r="WKL3"/>
      <c r="WKM3"/>
      <c r="WKN3"/>
      <c r="WKO3"/>
      <c r="WKP3"/>
      <c r="WKQ3"/>
      <c r="WKR3"/>
      <c r="WKS3"/>
      <c r="WKT3"/>
      <c r="WKU3"/>
      <c r="WKV3"/>
      <c r="WKW3"/>
      <c r="WKX3"/>
      <c r="WKY3"/>
      <c r="WKZ3"/>
      <c r="WLA3"/>
      <c r="WLB3"/>
      <c r="WLC3"/>
      <c r="WLD3"/>
      <c r="WLE3"/>
      <c r="WLF3"/>
      <c r="WLG3"/>
      <c r="WLH3"/>
      <c r="WLI3"/>
      <c r="WLJ3"/>
      <c r="WLK3"/>
      <c r="WLL3"/>
      <c r="WLM3"/>
      <c r="WLN3"/>
      <c r="WLO3"/>
      <c r="WLP3"/>
      <c r="WLQ3"/>
      <c r="WLR3"/>
      <c r="WLS3"/>
      <c r="WLT3"/>
      <c r="WLU3"/>
      <c r="WLV3"/>
      <c r="WLW3"/>
      <c r="WLX3"/>
      <c r="WLY3"/>
      <c r="WLZ3"/>
      <c r="WMA3"/>
      <c r="WMB3"/>
      <c r="WMC3"/>
      <c r="WMD3"/>
      <c r="WME3"/>
      <c r="WMF3"/>
      <c r="WMG3"/>
      <c r="WMH3"/>
      <c r="WMI3"/>
      <c r="WMJ3"/>
      <c r="WMK3"/>
      <c r="WML3"/>
      <c r="WMM3"/>
      <c r="WMN3"/>
      <c r="WMO3"/>
      <c r="WMP3"/>
      <c r="WMQ3"/>
      <c r="WMR3"/>
      <c r="WMS3"/>
      <c r="WMT3"/>
      <c r="WMU3"/>
      <c r="WMV3"/>
      <c r="WMW3"/>
      <c r="WMX3"/>
      <c r="WMY3"/>
      <c r="WMZ3"/>
      <c r="WNA3"/>
      <c r="WNB3"/>
      <c r="WNC3"/>
      <c r="WND3"/>
      <c r="WNE3"/>
      <c r="WNF3"/>
      <c r="WNG3"/>
      <c r="WNH3"/>
      <c r="WNI3"/>
      <c r="WNJ3"/>
      <c r="WNK3"/>
      <c r="WNL3"/>
      <c r="WNM3"/>
      <c r="WNN3"/>
      <c r="WNO3"/>
      <c r="WNP3"/>
      <c r="WNQ3"/>
      <c r="WNR3"/>
      <c r="WNS3"/>
      <c r="WNT3"/>
      <c r="WNU3"/>
      <c r="WNV3"/>
      <c r="WNW3"/>
      <c r="WNX3"/>
      <c r="WNY3"/>
      <c r="WNZ3"/>
      <c r="WOA3"/>
      <c r="WOB3"/>
      <c r="WOC3"/>
      <c r="WOD3"/>
      <c r="WOE3"/>
      <c r="WOF3"/>
      <c r="WOG3"/>
      <c r="WOH3"/>
      <c r="WOI3"/>
      <c r="WOJ3"/>
      <c r="WOK3"/>
      <c r="WOL3"/>
      <c r="WOM3"/>
      <c r="WON3"/>
      <c r="WOO3"/>
      <c r="WOP3"/>
      <c r="WOQ3"/>
      <c r="WOR3"/>
      <c r="WOS3"/>
      <c r="WOT3"/>
      <c r="WOU3"/>
      <c r="WOV3"/>
      <c r="WOW3"/>
      <c r="WOX3"/>
      <c r="WOY3"/>
      <c r="WOZ3"/>
      <c r="WPA3"/>
      <c r="WPB3"/>
      <c r="WPC3"/>
      <c r="WPD3"/>
      <c r="WPE3"/>
      <c r="WPF3"/>
      <c r="WPG3"/>
      <c r="WPH3"/>
      <c r="WPI3"/>
      <c r="WPJ3"/>
      <c r="WPK3"/>
      <c r="WPL3"/>
      <c r="WPM3"/>
      <c r="WPN3"/>
      <c r="WPO3"/>
      <c r="WPP3"/>
      <c r="WPQ3"/>
      <c r="WPR3"/>
      <c r="WPS3"/>
      <c r="WPT3"/>
      <c r="WPU3"/>
      <c r="WPV3"/>
      <c r="WPW3"/>
      <c r="WPX3"/>
      <c r="WPY3"/>
      <c r="WPZ3"/>
      <c r="WQA3"/>
      <c r="WQB3"/>
      <c r="WQC3"/>
      <c r="WQD3"/>
      <c r="WQE3"/>
      <c r="WQF3"/>
      <c r="WQG3"/>
      <c r="WQH3"/>
      <c r="WQI3"/>
      <c r="WQJ3"/>
      <c r="WQK3"/>
      <c r="WQL3"/>
      <c r="WQM3"/>
      <c r="WQN3"/>
      <c r="WQO3"/>
      <c r="WQP3"/>
      <c r="WQQ3"/>
      <c r="WQR3"/>
      <c r="WQS3"/>
      <c r="WQT3"/>
      <c r="WQU3"/>
      <c r="WQV3"/>
      <c r="WQW3"/>
      <c r="WQX3"/>
      <c r="WQY3"/>
      <c r="WQZ3"/>
      <c r="WRA3"/>
      <c r="WRB3"/>
      <c r="WRC3"/>
      <c r="WRD3"/>
      <c r="WRE3"/>
      <c r="WRF3"/>
      <c r="WRG3"/>
      <c r="WRH3"/>
      <c r="WRI3"/>
      <c r="WRJ3"/>
      <c r="WRK3"/>
      <c r="WRL3"/>
      <c r="WRM3"/>
      <c r="WRN3"/>
      <c r="WRO3"/>
      <c r="WRP3"/>
      <c r="WRQ3"/>
      <c r="WRR3"/>
      <c r="WRS3"/>
      <c r="WRT3"/>
      <c r="WRU3"/>
      <c r="WRV3"/>
      <c r="WRW3"/>
      <c r="WRX3"/>
      <c r="WRY3"/>
      <c r="WRZ3"/>
      <c r="WSA3"/>
      <c r="WSB3"/>
      <c r="WSC3"/>
      <c r="WSD3"/>
      <c r="WSE3"/>
      <c r="WSF3"/>
      <c r="WSG3"/>
      <c r="WSH3"/>
      <c r="WSI3"/>
      <c r="WSJ3"/>
      <c r="WSK3"/>
      <c r="WSL3"/>
      <c r="WSM3"/>
      <c r="WSN3"/>
      <c r="WSO3"/>
      <c r="WSP3"/>
      <c r="WSQ3"/>
      <c r="WSR3"/>
      <c r="WSS3"/>
      <c r="WST3"/>
      <c r="WSU3"/>
      <c r="WSV3"/>
      <c r="WSW3"/>
      <c r="WSX3"/>
      <c r="WSY3"/>
      <c r="WSZ3"/>
      <c r="WTA3"/>
      <c r="WTB3"/>
      <c r="WTC3"/>
      <c r="WTD3"/>
      <c r="WTE3"/>
      <c r="WTF3"/>
      <c r="WTG3"/>
      <c r="WTH3"/>
      <c r="WTI3"/>
      <c r="WTJ3"/>
      <c r="WTK3"/>
      <c r="WTL3"/>
      <c r="WTM3"/>
      <c r="WTN3"/>
      <c r="WTO3"/>
      <c r="WTP3"/>
      <c r="WTQ3"/>
      <c r="WTR3"/>
      <c r="WTS3"/>
      <c r="WTT3"/>
      <c r="WTU3"/>
      <c r="WTV3"/>
      <c r="WTW3"/>
      <c r="WTX3"/>
      <c r="WTY3"/>
      <c r="WTZ3"/>
      <c r="WUA3"/>
      <c r="WUB3"/>
      <c r="WUC3"/>
      <c r="WUD3"/>
      <c r="WUE3"/>
      <c r="WUF3"/>
      <c r="WUG3"/>
      <c r="WUH3"/>
      <c r="WUI3"/>
      <c r="WUJ3"/>
      <c r="WUK3"/>
      <c r="WUL3"/>
      <c r="WUM3"/>
      <c r="WUN3"/>
      <c r="WUO3"/>
      <c r="WUP3"/>
      <c r="WUQ3"/>
      <c r="WUR3"/>
      <c r="WUS3"/>
      <c r="WUT3"/>
      <c r="WUU3"/>
      <c r="WUV3"/>
      <c r="WUW3"/>
      <c r="WUX3"/>
      <c r="WUY3"/>
      <c r="WUZ3"/>
      <c r="WVA3"/>
      <c r="WVB3"/>
      <c r="WVC3"/>
      <c r="WVD3"/>
      <c r="WVE3"/>
      <c r="WVF3"/>
      <c r="WVG3"/>
      <c r="WVH3"/>
      <c r="WVI3"/>
      <c r="WVJ3"/>
      <c r="WVK3"/>
      <c r="WVL3"/>
      <c r="WVM3"/>
      <c r="WVN3"/>
      <c r="WVO3"/>
      <c r="WVP3"/>
      <c r="WVQ3"/>
      <c r="WVR3"/>
      <c r="WVS3"/>
      <c r="WVT3"/>
      <c r="WVU3"/>
      <c r="WVV3"/>
      <c r="WVW3"/>
      <c r="WVX3"/>
      <c r="WVY3"/>
      <c r="WVZ3"/>
      <c r="WWA3"/>
      <c r="WWB3"/>
      <c r="WWC3"/>
      <c r="WWD3"/>
      <c r="WWE3"/>
      <c r="WWF3"/>
      <c r="WWG3"/>
      <c r="WWH3"/>
      <c r="WWI3"/>
      <c r="WWJ3"/>
      <c r="WWK3"/>
      <c r="WWL3"/>
      <c r="WWM3"/>
      <c r="WWN3"/>
      <c r="WWO3"/>
      <c r="WWP3"/>
      <c r="WWQ3"/>
      <c r="WWR3"/>
      <c r="WWS3"/>
      <c r="WWT3"/>
      <c r="WWU3"/>
      <c r="WWV3"/>
      <c r="WWW3"/>
      <c r="WWX3"/>
      <c r="WWY3"/>
      <c r="WWZ3"/>
      <c r="WXA3"/>
      <c r="WXB3"/>
      <c r="WXC3"/>
      <c r="WXD3"/>
      <c r="WXE3"/>
      <c r="WXF3"/>
      <c r="WXG3"/>
      <c r="WXH3"/>
      <c r="WXI3"/>
      <c r="WXJ3"/>
      <c r="WXK3"/>
      <c r="WXL3"/>
      <c r="WXM3"/>
      <c r="WXN3"/>
      <c r="WXO3"/>
      <c r="WXP3"/>
      <c r="WXQ3"/>
      <c r="WXR3"/>
      <c r="WXS3"/>
      <c r="WXT3"/>
      <c r="WXU3"/>
      <c r="WXV3"/>
      <c r="WXW3"/>
      <c r="WXX3"/>
      <c r="WXY3"/>
      <c r="WXZ3"/>
      <c r="WYA3"/>
      <c r="WYB3"/>
      <c r="WYC3"/>
      <c r="WYD3"/>
      <c r="WYE3"/>
      <c r="WYF3"/>
      <c r="WYG3"/>
      <c r="WYH3"/>
      <c r="WYI3"/>
      <c r="WYJ3"/>
      <c r="WYK3"/>
      <c r="WYL3"/>
      <c r="WYM3"/>
      <c r="WYN3"/>
      <c r="WYO3"/>
      <c r="WYP3"/>
      <c r="WYQ3"/>
      <c r="WYR3"/>
      <c r="WYS3"/>
      <c r="WYT3"/>
      <c r="WYU3"/>
      <c r="WYV3"/>
      <c r="WYW3"/>
      <c r="WYX3"/>
      <c r="WYY3"/>
      <c r="WYZ3"/>
      <c r="WZA3"/>
      <c r="WZB3"/>
      <c r="WZC3"/>
      <c r="WZD3"/>
      <c r="WZE3"/>
      <c r="WZF3"/>
      <c r="WZG3"/>
      <c r="WZH3"/>
      <c r="WZI3"/>
      <c r="WZJ3"/>
      <c r="WZK3"/>
      <c r="WZL3"/>
      <c r="WZM3"/>
      <c r="WZN3"/>
      <c r="WZO3"/>
      <c r="WZP3"/>
      <c r="WZQ3"/>
      <c r="WZR3"/>
      <c r="WZS3"/>
      <c r="WZT3"/>
      <c r="WZU3"/>
      <c r="WZV3"/>
      <c r="WZW3"/>
      <c r="WZX3"/>
      <c r="WZY3"/>
      <c r="WZZ3"/>
      <c r="XAA3"/>
      <c r="XAB3"/>
      <c r="XAC3"/>
      <c r="XAD3"/>
      <c r="XAE3"/>
      <c r="XAF3"/>
      <c r="XAG3"/>
      <c r="XAH3"/>
      <c r="XAI3"/>
      <c r="XAJ3"/>
      <c r="XAK3"/>
      <c r="XAL3"/>
      <c r="XAM3"/>
      <c r="XAN3"/>
      <c r="XAO3"/>
      <c r="XAP3"/>
      <c r="XAQ3"/>
      <c r="XAR3"/>
      <c r="XAS3"/>
      <c r="XAT3"/>
      <c r="XAU3"/>
      <c r="XAV3"/>
      <c r="XAW3"/>
      <c r="XAX3"/>
      <c r="XAY3"/>
      <c r="XAZ3"/>
      <c r="XBA3"/>
      <c r="XBB3"/>
      <c r="XBC3"/>
      <c r="XBD3"/>
      <c r="XBE3"/>
      <c r="XBF3"/>
      <c r="XBG3"/>
      <c r="XBH3"/>
      <c r="XBI3"/>
      <c r="XBJ3"/>
      <c r="XBK3"/>
      <c r="XBL3"/>
      <c r="XBM3"/>
      <c r="XBN3"/>
      <c r="XBO3"/>
      <c r="XBP3"/>
      <c r="XBQ3"/>
      <c r="XBR3"/>
      <c r="XBS3"/>
      <c r="XBT3"/>
      <c r="XBU3"/>
      <c r="XBV3"/>
      <c r="XBW3"/>
      <c r="XBX3"/>
      <c r="XBY3"/>
      <c r="XBZ3"/>
      <c r="XCA3"/>
      <c r="XCB3"/>
      <c r="XCC3"/>
      <c r="XCD3"/>
      <c r="XCE3"/>
      <c r="XCF3"/>
      <c r="XCG3"/>
      <c r="XCH3"/>
      <c r="XCI3"/>
      <c r="XCJ3"/>
      <c r="XCK3"/>
      <c r="XCL3"/>
      <c r="XCM3"/>
      <c r="XCN3"/>
      <c r="XCO3"/>
      <c r="XCP3"/>
      <c r="XCQ3"/>
      <c r="XCR3"/>
      <c r="XCS3"/>
      <c r="XCT3"/>
      <c r="XCU3"/>
      <c r="XCV3"/>
      <c r="XCW3"/>
      <c r="XCX3"/>
      <c r="XCY3"/>
      <c r="XCZ3"/>
      <c r="XDA3"/>
      <c r="XDB3"/>
      <c r="XDC3"/>
      <c r="XDD3"/>
      <c r="XDE3"/>
      <c r="XDF3"/>
      <c r="XDG3"/>
      <c r="XDH3"/>
      <c r="XDI3"/>
      <c r="XDJ3"/>
      <c r="XDK3"/>
      <c r="XDL3"/>
      <c r="XDM3"/>
      <c r="XDN3"/>
      <c r="XDO3"/>
      <c r="XDP3"/>
      <c r="XDQ3"/>
      <c r="XDR3"/>
      <c r="XDS3"/>
      <c r="XDT3"/>
      <c r="XDU3"/>
      <c r="XDV3"/>
      <c r="XDW3"/>
      <c r="XDX3"/>
      <c r="XDY3"/>
      <c r="XDZ3"/>
      <c r="XEA3"/>
      <c r="XEB3"/>
      <c r="XEC3"/>
      <c r="XED3"/>
      <c r="XEE3"/>
      <c r="XEF3"/>
      <c r="XEG3"/>
      <c r="XEH3"/>
      <c r="XEI3"/>
      <c r="XEJ3"/>
      <c r="XEK3"/>
      <c r="XEL3"/>
      <c r="XEM3"/>
      <c r="XEN3"/>
      <c r="XEO3"/>
      <c r="XEP3"/>
      <c r="XEQ3"/>
      <c r="XER3"/>
      <c r="XES3"/>
      <c r="XET3"/>
      <c r="XEU3"/>
      <c r="XEV3"/>
      <c r="XEW3"/>
      <c r="XEX3"/>
      <c r="XEY3"/>
      <c r="XEZ3"/>
      <c r="XFA3"/>
      <c r="XFB3"/>
    </row>
    <row r="4" spans="1:16382"/>
    <row r="5" spans="1:16382" ht="23">
      <c r="B5" s="550" t="s">
        <v>15</v>
      </c>
      <c r="C5" s="551" t="s">
        <v>16</v>
      </c>
      <c r="D5" s="489"/>
    </row>
    <row r="6" spans="1:16382" ht="13" customHeight="1">
      <c r="B6" s="260" t="s">
        <v>17</v>
      </c>
      <c r="C6" s="18" t="str">
        <f>Inputs!D220</f>
        <v>ounces</v>
      </c>
      <c r="D6" s="248">
        <f>SUM(Model!G12:BD12)</f>
        <v>8000000</v>
      </c>
    </row>
    <row r="7" spans="1:16382">
      <c r="B7" s="260" t="s">
        <v>18</v>
      </c>
      <c r="C7" s="18" t="s">
        <v>19</v>
      </c>
      <c r="D7" s="248">
        <f>Model!$C$35</f>
        <v>5</v>
      </c>
    </row>
    <row r="8" spans="1:16382">
      <c r="B8" s="260" t="s">
        <v>20</v>
      </c>
      <c r="C8" s="18" t="s">
        <v>19</v>
      </c>
      <c r="D8" s="248">
        <f>MAX(Model!G33:BD33)</f>
        <v>24</v>
      </c>
    </row>
    <row r="9" spans="1:16382">
      <c r="B9" s="260" t="s">
        <v>21</v>
      </c>
      <c r="C9" s="18" t="s">
        <v>22</v>
      </c>
      <c r="D9" s="248">
        <f>Inputs!B225</f>
        <v>450</v>
      </c>
    </row>
    <row r="10" spans="1:16382">
      <c r="B10" s="260" t="s">
        <v>23</v>
      </c>
      <c r="C10" s="18" t="str">
        <f>Inputs!D220&amp;"/$m"</f>
        <v>ounces/$m</v>
      </c>
      <c r="D10" s="249">
        <f>D6/D9</f>
        <v>17777.777777777777</v>
      </c>
    </row>
    <row r="11" spans="1:16382">
      <c r="B11" s="260" t="s">
        <v>24</v>
      </c>
      <c r="C11" s="18" t="str">
        <f>"$/"&amp;Inputs!D220</f>
        <v>$/ounces</v>
      </c>
      <c r="D11" s="250">
        <f>Inputs!$F$210</f>
        <v>1600</v>
      </c>
    </row>
    <row r="12" spans="1:16382">
      <c r="B12" s="260" t="s">
        <v>25</v>
      </c>
      <c r="C12" s="18" t="str">
        <f>"$/"&amp;Inputs!D220</f>
        <v>$/ounces</v>
      </c>
      <c r="D12" s="248">
        <f>Inputs!B229</f>
        <v>700</v>
      </c>
    </row>
    <row r="13" spans="1:16382">
      <c r="B13" s="260" t="s">
        <v>26</v>
      </c>
      <c r="C13" s="18" t="str">
        <f>"$/"&amp;Inputs!D220</f>
        <v>$/ounces</v>
      </c>
      <c r="D13" s="248">
        <f>((Inputs!B222+Inputs!B221)*1000000)/Inputs!B220</f>
        <v>4.3562500000000011</v>
      </c>
    </row>
    <row r="14" spans="1:16382">
      <c r="B14" s="260" t="s">
        <v>27</v>
      </c>
      <c r="C14" s="18" t="str">
        <f>"$/"&amp;Inputs!D220</f>
        <v>$/ounces</v>
      </c>
      <c r="D14" s="248">
        <f>D13+D12</f>
        <v>704.35625000000005</v>
      </c>
    </row>
    <row r="15" spans="1:16382">
      <c r="B15" s="260" t="s">
        <v>28</v>
      </c>
      <c r="C15" s="18" t="str">
        <f>"$/"&amp;Inputs!D220</f>
        <v>$/ounces</v>
      </c>
      <c r="D15" s="251">
        <f>D12+(SUM(Model!C970:C973)*1000000/Model!C12)+D13</f>
        <v>821.95625000000007</v>
      </c>
      <c r="K15" s="160"/>
    </row>
    <row r="16" spans="1:16382">
      <c r="B16" s="260" t="s">
        <v>29</v>
      </c>
      <c r="C16" s="18" t="s">
        <v>30</v>
      </c>
      <c r="D16" s="252">
        <f>Inputs!E201</f>
        <v>0.1</v>
      </c>
      <c r="K16" s="160"/>
    </row>
    <row r="17" spans="2:16">
      <c r="B17" s="260" t="s">
        <v>31</v>
      </c>
      <c r="C17" s="18" t="s">
        <v>30</v>
      </c>
      <c r="D17" s="252">
        <f>Inputs!E200</f>
        <v>0.08</v>
      </c>
    </row>
    <row r="18" spans="2:16">
      <c r="B18" s="260" t="s">
        <v>32</v>
      </c>
      <c r="C18" s="18" t="s">
        <v>30</v>
      </c>
      <c r="D18" s="252">
        <f>Inputs!E198</f>
        <v>0.06</v>
      </c>
    </row>
    <row r="19" spans="2:16">
      <c r="B19" s="260" t="s">
        <v>33</v>
      </c>
      <c r="C19" s="18" t="s">
        <v>30</v>
      </c>
      <c r="D19" s="156">
        <f>Inputs!E195</f>
        <v>0.5</v>
      </c>
      <c r="O19" s="135"/>
    </row>
    <row r="20" spans="2:16">
      <c r="B20" s="15" t="s">
        <v>34</v>
      </c>
      <c r="C20" s="43" t="s">
        <v>30</v>
      </c>
      <c r="D20" s="157">
        <f>Inputs!E202</f>
        <v>0.02</v>
      </c>
    </row>
    <row r="21" spans="2:16"/>
    <row r="22" spans="2:16" ht="23">
      <c r="B22" s="550" t="s">
        <v>35</v>
      </c>
      <c r="C22" s="551" t="s">
        <v>16</v>
      </c>
      <c r="D22" s="489"/>
    </row>
    <row r="23" spans="2:16">
      <c r="B23" s="260" t="s">
        <v>36</v>
      </c>
      <c r="C23" s="18" t="s">
        <v>22</v>
      </c>
      <c r="D23" s="248">
        <f>Model!C28</f>
        <v>1773.0238833189076</v>
      </c>
      <c r="O23" s="195"/>
      <c r="P23" s="195"/>
    </row>
    <row r="24" spans="2:16">
      <c r="B24" s="260" t="s">
        <v>37</v>
      </c>
      <c r="C24" s="18" t="s">
        <v>30</v>
      </c>
      <c r="D24" s="256">
        <f>Model!C27</f>
        <v>0.41824065307800207</v>
      </c>
      <c r="E24" s="296"/>
      <c r="G24" s="161"/>
      <c r="O24" s="195"/>
      <c r="P24" s="195"/>
    </row>
    <row r="25" spans="2:16">
      <c r="B25" s="260" t="s">
        <v>38</v>
      </c>
      <c r="C25" s="18" t="s">
        <v>30</v>
      </c>
      <c r="D25" s="256">
        <f>Model!C943</f>
        <v>0.2583148759556424</v>
      </c>
      <c r="E25" s="296"/>
      <c r="I25" s="135"/>
    </row>
    <row r="26" spans="2:16">
      <c r="B26" s="260" t="s">
        <v>39</v>
      </c>
      <c r="C26" s="18" t="s">
        <v>30</v>
      </c>
      <c r="D26" s="256">
        <f>(D17 * D19) + (D18 * (1 - D19))</f>
        <v>7.0000000000000007E-2</v>
      </c>
      <c r="E26" s="296"/>
      <c r="I26" s="135"/>
    </row>
    <row r="27" spans="2:16">
      <c r="B27" s="260" t="s">
        <v>40</v>
      </c>
      <c r="C27" s="18"/>
      <c r="D27" s="256" t="b">
        <f>D25&gt;D26</f>
        <v>1</v>
      </c>
      <c r="E27" s="296"/>
      <c r="I27" s="135"/>
    </row>
    <row r="28" spans="2:16">
      <c r="B28" s="260" t="s">
        <v>41</v>
      </c>
      <c r="C28" s="18" t="s">
        <v>42</v>
      </c>
      <c r="D28" s="248">
        <f>Model!C839</f>
        <v>6.947283727658033</v>
      </c>
      <c r="E28" s="296"/>
    </row>
    <row r="29" spans="2:16">
      <c r="B29" s="260" t="s">
        <v>43</v>
      </c>
      <c r="C29" s="18" t="s">
        <v>42</v>
      </c>
      <c r="D29" s="248">
        <f>Model!C844</f>
        <v>7.6527260684637097</v>
      </c>
      <c r="E29" s="296"/>
    </row>
    <row r="30" spans="2:16">
      <c r="B30" s="418" t="s">
        <v>44</v>
      </c>
      <c r="C30" s="200"/>
      <c r="D30" s="257">
        <f>Model!G953</f>
        <v>0.57397135171987901</v>
      </c>
      <c r="E30" s="296"/>
    </row>
    <row r="31" spans="2:16">
      <c r="B31" s="217" t="s">
        <v>45</v>
      </c>
      <c r="C31" s="218"/>
      <c r="D31" s="258">
        <f>Model!I953</f>
        <v>0.63067198366974442</v>
      </c>
      <c r="E31" s="296"/>
    </row>
    <row r="32" spans="2:16"/>
    <row r="33" spans="1:45"/>
    <row r="34" spans="1:45">
      <c r="B34" s="279" t="s">
        <v>46</v>
      </c>
    </row>
    <row r="35" spans="1:45">
      <c r="B35" s="151"/>
    </row>
    <row r="36" spans="1:45" s="11" customFormat="1" ht="23" customHeight="1">
      <c r="A36" s="10"/>
      <c r="B36" s="547" t="s">
        <v>47</v>
      </c>
      <c r="C36" s="463"/>
      <c r="D36" s="463"/>
      <c r="E36" s="463"/>
      <c r="F36" s="463"/>
      <c r="G36" s="463"/>
      <c r="H36" s="463"/>
      <c r="I36" s="463"/>
      <c r="J36" s="463"/>
      <c r="K36" s="463"/>
      <c r="L36" s="463"/>
      <c r="M36" s="463"/>
      <c r="N36" s="463"/>
      <c r="O36" s="463"/>
      <c r="P36" s="463"/>
      <c r="Q36" s="463"/>
      <c r="R36" s="463"/>
      <c r="S36" s="463"/>
      <c r="T36" s="464"/>
      <c r="U36" s="464"/>
      <c r="V36" s="464"/>
      <c r="W36" s="464"/>
      <c r="X36" s="464"/>
      <c r="Y36" s="464"/>
      <c r="Z36" s="464"/>
      <c r="AA36" s="464"/>
      <c r="AB36" s="464"/>
      <c r="AC36" s="464"/>
      <c r="AD36" s="464"/>
      <c r="AE36" s="464"/>
      <c r="AF36" s="464"/>
      <c r="AG36" s="464"/>
      <c r="AH36" s="464"/>
      <c r="AI36" s="464"/>
      <c r="AJ36" s="464"/>
      <c r="AK36" s="464"/>
      <c r="AL36" s="464"/>
      <c r="AM36" s="464"/>
      <c r="AN36" s="464"/>
      <c r="AO36" s="464"/>
      <c r="AP36" s="464"/>
      <c r="AQ36" s="464"/>
      <c r="AR36" s="464"/>
      <c r="AS36"/>
    </row>
    <row r="37" spans="1:45" outlineLevel="1">
      <c r="B37" s="151"/>
    </row>
    <row r="38" spans="1:45" outlineLevel="1">
      <c r="B38" s="151"/>
    </row>
    <row r="39" spans="1:45" outlineLevel="1"/>
    <row r="40" spans="1:45" outlineLevel="1"/>
    <row r="41" spans="1:45" outlineLevel="1"/>
    <row r="42" spans="1:45" outlineLevel="1"/>
    <row r="43" spans="1:45" outlineLevel="1"/>
    <row r="44" spans="1:45" outlineLevel="1"/>
    <row r="45" spans="1:45" outlineLevel="1"/>
    <row r="46" spans="1:45" outlineLevel="1"/>
    <row r="47" spans="1:45" outlineLevel="1"/>
    <row r="48" spans="1:45" outlineLevel="1"/>
    <row r="49" outlineLevel="1"/>
    <row r="50" outlineLevel="1"/>
    <row r="51" outlineLevel="1"/>
    <row r="52" outlineLevel="1"/>
    <row r="53" outlineLevel="1"/>
    <row r="54" outlineLevel="1"/>
    <row r="55" outlineLevel="1"/>
    <row r="56" outlineLevel="1"/>
    <row r="57" outlineLevel="1"/>
    <row r="58" outlineLevel="1"/>
    <row r="59" outlineLevel="1"/>
    <row r="60" outlineLevel="1"/>
    <row r="61" outlineLevel="1"/>
    <row r="62" outlineLevel="1"/>
    <row r="63" outlineLevel="1"/>
    <row r="64" outlineLevel="1"/>
    <row r="65" spans="1:45" outlineLevel="1"/>
    <row r="66" spans="1:45" outlineLevel="1"/>
    <row r="67" spans="1:45" outlineLevel="1"/>
    <row r="68" spans="1:45" outlineLevel="1"/>
    <row r="69" spans="1:45" outlineLevel="1"/>
    <row r="70" spans="1:45" outlineLevel="1"/>
    <row r="71" spans="1:45" outlineLevel="1"/>
    <row r="72" spans="1:45" outlineLevel="1"/>
    <row r="73" spans="1:45" outlineLevel="1"/>
    <row r="74" spans="1:45" outlineLevel="1"/>
    <row r="75" spans="1:45" outlineLevel="1"/>
    <row r="76" spans="1:45" outlineLevel="1"/>
    <row r="77" spans="1:45"/>
    <row r="78" spans="1:45" s="11" customFormat="1" ht="23" customHeight="1">
      <c r="A78" s="10"/>
      <c r="B78" s="547" t="s">
        <v>48</v>
      </c>
      <c r="C78" s="463"/>
      <c r="D78" s="463"/>
      <c r="E78" s="463"/>
      <c r="F78" s="463"/>
      <c r="G78" s="463"/>
      <c r="H78" s="463"/>
      <c r="I78" s="463"/>
      <c r="J78" s="463"/>
      <c r="K78" s="463"/>
      <c r="L78" s="463"/>
      <c r="M78" s="463"/>
      <c r="N78" s="463"/>
      <c r="O78" s="463"/>
      <c r="P78" s="463"/>
      <c r="Q78" s="463"/>
      <c r="R78" s="463"/>
      <c r="S78" s="463"/>
      <c r="T78" s="464"/>
      <c r="U78" s="464"/>
      <c r="V78" s="464"/>
      <c r="W78" s="464"/>
      <c r="X78" s="464"/>
      <c r="Y78" s="464"/>
      <c r="Z78" s="464"/>
      <c r="AA78" s="464"/>
      <c r="AB78" s="464"/>
      <c r="AC78" s="464"/>
      <c r="AD78" s="464"/>
      <c r="AE78" s="464"/>
      <c r="AF78" s="464"/>
      <c r="AG78" s="464"/>
      <c r="AH78" s="464"/>
      <c r="AI78" s="464"/>
      <c r="AJ78" s="464"/>
      <c r="AK78" s="464"/>
      <c r="AL78" s="464"/>
      <c r="AM78" s="464"/>
      <c r="AN78" s="464"/>
      <c r="AO78" s="464"/>
      <c r="AP78" s="464"/>
      <c r="AQ78" s="464"/>
      <c r="AR78" s="464"/>
      <c r="AS78"/>
    </row>
    <row r="79" spans="1:45" s="11" customFormat="1" ht="13.5" customHeight="1" outlineLevel="1">
      <c r="A79" s="10"/>
      <c r="B79" s="273"/>
      <c r="C79" s="273"/>
      <c r="D79" s="273"/>
      <c r="E79" s="273"/>
      <c r="F79" s="273"/>
      <c r="G79" s="273"/>
      <c r="H79" s="273"/>
      <c r="I79" s="273"/>
      <c r="J79" s="273"/>
      <c r="K79" s="273"/>
      <c r="L79" s="273"/>
      <c r="M79" s="273"/>
      <c r="N79" s="273"/>
      <c r="O79" s="273"/>
      <c r="P79" s="273"/>
      <c r="Q79" s="273"/>
      <c r="R79" s="273"/>
      <c r="S79" s="273"/>
      <c r="AS79"/>
    </row>
    <row r="80" spans="1:45" outlineLevel="1"/>
    <row r="81" spans="2:2" outlineLevel="1"/>
    <row r="82" spans="2:2" outlineLevel="1"/>
    <row r="83" spans="2:2" outlineLevel="1"/>
    <row r="84" spans="2:2" outlineLevel="1"/>
    <row r="85" spans="2:2" outlineLevel="1"/>
    <row r="86" spans="2:2" outlineLevel="1"/>
    <row r="87" spans="2:2" outlineLevel="1"/>
    <row r="88" spans="2:2" outlineLevel="1">
      <c r="B88" s="117"/>
    </row>
    <row r="89" spans="2:2" outlineLevel="1"/>
    <row r="90" spans="2:2" outlineLevel="1"/>
    <row r="91" spans="2:2" outlineLevel="1"/>
    <row r="92" spans="2:2" outlineLevel="1"/>
    <row r="93" spans="2:2" outlineLevel="1"/>
    <row r="94" spans="2:2" outlineLevel="1"/>
    <row r="95" spans="2:2" outlineLevel="1"/>
    <row r="96" spans="2:2" outlineLevel="1"/>
    <row r="97" spans="1:45" outlineLevel="1"/>
    <row r="98" spans="1:45" outlineLevel="1"/>
    <row r="99" spans="1:45" s="11" customFormat="1" ht="13.5" customHeight="1">
      <c r="A99" s="10"/>
      <c r="B99" s="273"/>
      <c r="C99" s="273"/>
      <c r="D99" s="273"/>
      <c r="E99" s="273"/>
      <c r="F99" s="273"/>
      <c r="G99" s="273"/>
      <c r="H99" s="273"/>
      <c r="I99" s="273"/>
      <c r="J99" s="273"/>
      <c r="K99" s="273"/>
      <c r="L99" s="273"/>
      <c r="M99" s="273"/>
      <c r="N99" s="273"/>
      <c r="O99" s="273"/>
      <c r="P99" s="273"/>
      <c r="Q99" s="273"/>
      <c r="R99" s="273"/>
      <c r="S99" s="273"/>
      <c r="AS99"/>
    </row>
    <row r="100" spans="1:45" s="11" customFormat="1" ht="23" customHeight="1">
      <c r="A100" s="10"/>
      <c r="B100" s="547" t="s">
        <v>49</v>
      </c>
      <c r="C100" s="463"/>
      <c r="D100" s="463"/>
      <c r="E100" s="463"/>
      <c r="F100" s="463"/>
      <c r="G100" s="463"/>
      <c r="H100" s="463"/>
      <c r="I100" s="463"/>
      <c r="J100" s="463"/>
      <c r="K100" s="463"/>
      <c r="L100" s="463"/>
      <c r="M100" s="463"/>
      <c r="N100" s="463"/>
      <c r="O100" s="463"/>
      <c r="P100" s="463"/>
      <c r="Q100" s="463"/>
      <c r="R100" s="463"/>
      <c r="S100" s="463"/>
      <c r="T100" s="464"/>
      <c r="U100" s="464"/>
      <c r="V100" s="464"/>
      <c r="W100" s="464"/>
      <c r="X100" s="464"/>
      <c r="Y100" s="464"/>
      <c r="Z100" s="464"/>
      <c r="AA100" s="464"/>
      <c r="AB100" s="464"/>
      <c r="AC100" s="464"/>
      <c r="AD100" s="464"/>
      <c r="AE100" s="464"/>
      <c r="AF100" s="464"/>
      <c r="AG100" s="464"/>
      <c r="AH100" s="464"/>
      <c r="AI100" s="464"/>
      <c r="AJ100" s="464"/>
      <c r="AK100" s="464"/>
      <c r="AL100" s="464"/>
      <c r="AM100" s="464"/>
      <c r="AN100" s="464"/>
      <c r="AO100" s="464"/>
      <c r="AP100" s="464"/>
      <c r="AQ100" s="464"/>
      <c r="AR100" s="464"/>
      <c r="AS100"/>
    </row>
    <row r="101" spans="1:45" outlineLevel="1"/>
    <row r="102" spans="1:45" outlineLevel="1"/>
    <row r="103" spans="1:45" outlineLevel="1"/>
    <row r="104" spans="1:45" outlineLevel="1"/>
    <row r="105" spans="1:45" outlineLevel="1"/>
    <row r="106" spans="1:45" outlineLevel="1"/>
    <row r="107" spans="1:45" outlineLevel="1"/>
    <row r="108" spans="1:45" outlineLevel="1"/>
    <row r="109" spans="1:45" outlineLevel="1"/>
    <row r="110" spans="1:45" outlineLevel="1"/>
    <row r="111" spans="1:45" outlineLevel="1"/>
    <row r="112" spans="1:45" outlineLevel="1"/>
    <row r="113" spans="2:2" outlineLevel="1"/>
    <row r="114" spans="2:2" outlineLevel="1"/>
    <row r="115" spans="2:2" outlineLevel="1"/>
    <row r="116" spans="2:2" outlineLevel="1"/>
    <row r="117" spans="2:2" outlineLevel="1"/>
    <row r="118" spans="2:2" outlineLevel="1"/>
    <row r="119" spans="2:2" outlineLevel="1"/>
    <row r="120" spans="2:2" outlineLevel="1"/>
    <row r="121" spans="2:2" outlineLevel="1"/>
    <row r="122" spans="2:2" outlineLevel="1"/>
    <row r="123" spans="2:2" outlineLevel="1">
      <c r="B123" s="9"/>
    </row>
    <row r="124" spans="2:2" outlineLevel="1"/>
    <row r="125" spans="2:2" outlineLevel="1"/>
    <row r="126" spans="2:2" outlineLevel="1"/>
    <row r="127" spans="2:2" outlineLevel="1"/>
    <row r="128" spans="2:2" outlineLevel="1"/>
    <row r="129" spans="1:45" outlineLevel="1"/>
    <row r="130" spans="1:45" outlineLevel="1"/>
    <row r="131" spans="1:45" outlineLevel="1"/>
    <row r="132" spans="1:45" outlineLevel="1"/>
    <row r="133" spans="1:45" outlineLevel="1"/>
    <row r="134" spans="1:45" outlineLevel="1"/>
    <row r="135" spans="1:45" outlineLevel="1"/>
    <row r="136" spans="1:45" outlineLevel="1"/>
    <row r="137" spans="1:45" outlineLevel="1"/>
    <row r="138" spans="1:45" outlineLevel="1"/>
    <row r="139" spans="1:45" outlineLevel="1"/>
    <row r="140" spans="1:45" outlineLevel="1"/>
    <row r="141" spans="1:45"/>
    <row r="142" spans="1:45" s="11" customFormat="1" ht="23" customHeight="1">
      <c r="A142" s="10"/>
      <c r="B142" s="547" t="s">
        <v>50</v>
      </c>
      <c r="C142" s="463"/>
      <c r="D142" s="463"/>
      <c r="E142" s="463"/>
      <c r="F142" s="463"/>
      <c r="G142" s="463"/>
      <c r="H142" s="463"/>
      <c r="I142" s="463"/>
      <c r="J142" s="463"/>
      <c r="K142" s="463"/>
      <c r="L142" s="463"/>
      <c r="M142" s="463"/>
      <c r="N142" s="463"/>
      <c r="O142" s="463"/>
      <c r="P142" s="463"/>
      <c r="Q142" s="463"/>
      <c r="R142" s="463"/>
      <c r="S142" s="463"/>
      <c r="T142" s="464"/>
      <c r="U142" s="464"/>
      <c r="V142" s="464"/>
      <c r="W142" s="464"/>
      <c r="X142" s="464"/>
      <c r="Y142" s="464"/>
      <c r="Z142" s="464"/>
      <c r="AA142" s="464"/>
      <c r="AB142" s="464"/>
      <c r="AC142" s="464"/>
      <c r="AD142" s="464"/>
      <c r="AE142" s="464"/>
      <c r="AF142" s="464"/>
      <c r="AG142" s="464"/>
      <c r="AH142" s="464"/>
      <c r="AI142" s="464"/>
      <c r="AJ142" s="464"/>
      <c r="AK142" s="464"/>
      <c r="AL142" s="464"/>
      <c r="AM142" s="464"/>
      <c r="AN142" s="464"/>
      <c r="AO142" s="464"/>
      <c r="AP142" s="464"/>
      <c r="AQ142" s="464"/>
      <c r="AR142" s="464"/>
      <c r="AS142"/>
    </row>
    <row r="143" spans="1:45" outlineLevel="1"/>
    <row r="144" spans="1:45" outlineLevel="1"/>
    <row r="145" outlineLevel="1"/>
    <row r="146" outlineLevel="1"/>
    <row r="147" outlineLevel="1"/>
    <row r="148" outlineLevel="1"/>
    <row r="149" outlineLevel="1"/>
    <row r="150" outlineLevel="1"/>
    <row r="151" outlineLevel="1"/>
    <row r="152" outlineLevel="1"/>
    <row r="153" outlineLevel="1"/>
    <row r="154" outlineLevel="1"/>
    <row r="155" outlineLevel="1"/>
    <row r="156" outlineLevel="1"/>
    <row r="157" outlineLevel="1"/>
    <row r="158" outlineLevel="1"/>
    <row r="159" outlineLevel="1"/>
    <row r="160" outlineLevel="1"/>
    <row r="161" spans="2:44" outlineLevel="1"/>
    <row r="162" spans="2:44" outlineLevel="1"/>
    <row r="163" spans="2:44"/>
    <row r="164" spans="2:44" ht="23" customHeight="1">
      <c r="B164" s="552" t="s">
        <v>51</v>
      </c>
      <c r="C164" s="463"/>
      <c r="D164" s="463"/>
      <c r="E164" s="463"/>
      <c r="F164" s="463"/>
      <c r="G164" s="463"/>
      <c r="H164" s="463"/>
      <c r="I164" s="463"/>
      <c r="J164" s="463"/>
      <c r="K164" s="463"/>
      <c r="L164" s="463"/>
      <c r="M164" s="463"/>
      <c r="N164" s="463"/>
      <c r="O164" s="463"/>
      <c r="P164" s="463"/>
      <c r="Q164" s="463"/>
      <c r="R164" s="463"/>
      <c r="S164" s="463"/>
      <c r="T164" s="463"/>
      <c r="U164" s="463"/>
      <c r="V164" s="464"/>
      <c r="W164" s="464"/>
      <c r="X164" s="464"/>
      <c r="Y164" s="464"/>
      <c r="Z164" s="464"/>
      <c r="AA164" s="464"/>
      <c r="AB164" s="464"/>
      <c r="AC164" s="464"/>
      <c r="AD164" s="464"/>
      <c r="AE164" s="464"/>
      <c r="AF164" s="464"/>
      <c r="AG164" s="464"/>
      <c r="AH164" s="464"/>
      <c r="AI164" s="464"/>
      <c r="AJ164" s="464"/>
      <c r="AK164" s="464"/>
      <c r="AL164" s="464"/>
      <c r="AM164" s="464"/>
      <c r="AN164" s="464"/>
      <c r="AO164" s="464"/>
      <c r="AP164" s="464"/>
      <c r="AQ164" s="464"/>
      <c r="AR164" s="464"/>
    </row>
    <row r="165" spans="2:44"/>
    <row r="166" spans="2:44">
      <c r="B166" s="127" t="s">
        <v>52</v>
      </c>
      <c r="C166" s="117"/>
      <c r="D166" s="128"/>
      <c r="E166" t="s">
        <v>53</v>
      </c>
    </row>
    <row r="167" spans="2:44">
      <c r="B167" s="460"/>
      <c r="C167" s="465" t="s">
        <v>52</v>
      </c>
      <c r="E167" s="460"/>
      <c r="F167" s="465" t="s">
        <v>52</v>
      </c>
    </row>
    <row r="168" spans="2:44">
      <c r="B168" s="261" t="str">
        <f t="array" ref="B168:B178">TRANSPOSE(Model!G1013:Q1013)</f>
        <v>Tanzania w/o sharing</v>
      </c>
      <c r="C168" s="256">
        <f t="array" ref="C168:C178">TRANSPOSE(Model!G1017:Q1017)</f>
        <v>0.63067198366974442</v>
      </c>
      <c r="E168" s="261" t="s">
        <v>96</v>
      </c>
      <c r="F168" s="262">
        <v>0.42605702910009419</v>
      </c>
    </row>
    <row r="169" spans="2:44">
      <c r="B169" s="261" t="str">
        <v>Tanzania w 50/50 sharing</v>
      </c>
      <c r="C169" s="256">
        <v>0.54368747432035114</v>
      </c>
      <c r="E169" s="261" t="s">
        <v>54</v>
      </c>
      <c r="F169" s="262">
        <v>0.45504753775782231</v>
      </c>
    </row>
    <row r="170" spans="2:44">
      <c r="B170" s="261" t="str">
        <v>Ecuador</v>
      </c>
      <c r="C170" s="256">
        <v>0.62701128596758471</v>
      </c>
      <c r="E170" s="261" t="s">
        <v>787</v>
      </c>
      <c r="F170" s="262">
        <v>0.54368747432035114</v>
      </c>
    </row>
    <row r="171" spans="2:44">
      <c r="B171" s="261" t="str">
        <v>Philippines FTAA</v>
      </c>
      <c r="C171" s="256">
        <v>0.56620758383157266</v>
      </c>
      <c r="E171" s="261" t="s">
        <v>55</v>
      </c>
      <c r="F171" s="262">
        <v>0.55100138088522777</v>
      </c>
    </row>
    <row r="172" spans="2:44">
      <c r="B172" s="261" t="str">
        <v>Burkina Faso</v>
      </c>
      <c r="C172" s="256">
        <v>0.55100138088522777</v>
      </c>
      <c r="E172" s="261" t="s">
        <v>56</v>
      </c>
      <c r="F172" s="262">
        <v>0.55344487444634016</v>
      </c>
    </row>
    <row r="173" spans="2:44">
      <c r="B173" s="261" t="str">
        <v>DRC</v>
      </c>
      <c r="C173" s="256">
        <v>0.56282234377799933</v>
      </c>
      <c r="E173" s="261" t="s">
        <v>58</v>
      </c>
      <c r="F173" s="262">
        <v>0.56282234377799933</v>
      </c>
    </row>
    <row r="174" spans="2:44">
      <c r="B174" s="261" t="str">
        <v>Ghana</v>
      </c>
      <c r="C174" s="262">
        <v>0.5960837920826485</v>
      </c>
      <c r="E174" s="261" t="s">
        <v>57</v>
      </c>
      <c r="F174" s="262">
        <v>0.56620758383157266</v>
      </c>
    </row>
    <row r="175" spans="2:44">
      <c r="B175" s="261" t="str">
        <v>South Africa (gold)</v>
      </c>
      <c r="C175" s="262">
        <v>0.58048530975752399</v>
      </c>
      <c r="E175" s="261" t="s">
        <v>60</v>
      </c>
      <c r="F175" s="262">
        <v>0.58048530975752399</v>
      </c>
    </row>
    <row r="176" spans="2:44">
      <c r="B176" s="261" t="str">
        <v>Indonesia</v>
      </c>
      <c r="C176" s="262">
        <v>0.55344487444634016</v>
      </c>
      <c r="E176" s="261" t="s">
        <v>61</v>
      </c>
      <c r="F176" s="262">
        <v>0.5960837920826485</v>
      </c>
    </row>
    <row r="177" spans="2:12">
      <c r="B177" s="261" t="str">
        <v>Peru</v>
      </c>
      <c r="C177" s="262">
        <v>0.45504753775782231</v>
      </c>
      <c r="E177" s="261" t="s">
        <v>59</v>
      </c>
      <c r="F177" s="262">
        <v>0.62701128596758471</v>
      </c>
    </row>
    <row r="178" spans="2:12">
      <c r="B178" s="175" t="str">
        <v>Western Australia</v>
      </c>
      <c r="C178" s="263">
        <v>0.42605702910009419</v>
      </c>
      <c r="E178" s="175" t="s">
        <v>788</v>
      </c>
      <c r="F178" s="263">
        <v>0.63067198366974442</v>
      </c>
    </row>
    <row r="179" spans="2:12"/>
    <row r="180" spans="2:12"/>
    <row r="181" spans="2:12">
      <c r="B181" s="117" t="s">
        <v>63</v>
      </c>
    </row>
    <row r="182" spans="2:12">
      <c r="B182" s="466"/>
      <c r="C182" s="467" t="s">
        <v>64</v>
      </c>
      <c r="D182" s="468" t="s">
        <v>65</v>
      </c>
    </row>
    <row r="183" spans="2:12">
      <c r="B183" s="419" t="s">
        <v>54</v>
      </c>
      <c r="C183" s="264">
        <v>1100.5098530558757</v>
      </c>
      <c r="D183" s="262">
        <v>0.29655477692863863</v>
      </c>
    </row>
    <row r="184" spans="2:12">
      <c r="B184" s="419" t="s">
        <v>96</v>
      </c>
      <c r="C184" s="264">
        <v>1131.8947636800619</v>
      </c>
      <c r="D184" s="262">
        <v>0.36217405951455028</v>
      </c>
    </row>
    <row r="185" spans="2:12">
      <c r="B185" s="419" t="s">
        <v>60</v>
      </c>
      <c r="C185" s="264">
        <v>1156.0851798201929</v>
      </c>
      <c r="D185" s="262">
        <v>0.4036844832240476</v>
      </c>
    </row>
    <row r="186" spans="2:12">
      <c r="B186" s="419" t="s">
        <v>787</v>
      </c>
      <c r="C186" s="264">
        <v>1162.3114197034388</v>
      </c>
      <c r="D186" s="262">
        <v>0.41335149123979403</v>
      </c>
      <c r="L186" t="s">
        <v>66</v>
      </c>
    </row>
    <row r="187" spans="2:12">
      <c r="B187" s="419" t="s">
        <v>57</v>
      </c>
      <c r="C187" s="264">
        <v>1164.4394181943451</v>
      </c>
      <c r="D187" s="262">
        <v>0.41657009273230627</v>
      </c>
      <c r="E187" s="126"/>
      <c r="K187" s="90"/>
    </row>
    <row r="188" spans="2:12">
      <c r="B188" s="419" t="s">
        <v>55</v>
      </c>
      <c r="C188" s="264">
        <v>1168.3208829216596</v>
      </c>
      <c r="D188" s="262">
        <v>0.42233317710778862</v>
      </c>
    </row>
    <row r="189" spans="2:12">
      <c r="B189" s="419" t="s">
        <v>58</v>
      </c>
      <c r="C189" s="264">
        <v>1170.6575246875029</v>
      </c>
      <c r="D189" s="262">
        <v>0.42573728069406819</v>
      </c>
    </row>
    <row r="190" spans="2:12">
      <c r="B190" s="419" t="s">
        <v>61</v>
      </c>
      <c r="C190" s="264">
        <v>1180.0227848850029</v>
      </c>
      <c r="D190" s="262">
        <v>0.43891218411506616</v>
      </c>
    </row>
    <row r="191" spans="2:12">
      <c r="B191" s="419" t="s">
        <v>56</v>
      </c>
      <c r="C191" s="264">
        <v>1188.4555648551579</v>
      </c>
      <c r="D191" s="262">
        <v>0.45017199831322069</v>
      </c>
    </row>
    <row r="192" spans="2:12">
      <c r="B192" s="419" t="s">
        <v>59</v>
      </c>
      <c r="C192" s="264">
        <v>1206.6729722221196</v>
      </c>
      <c r="D192" s="262">
        <v>0.47274391900230373</v>
      </c>
    </row>
    <row r="193" spans="2:4">
      <c r="B193" s="265" t="s">
        <v>788</v>
      </c>
      <c r="C193" s="266">
        <v>1211.2723219814243</v>
      </c>
      <c r="D193" s="263">
        <v>0.47809673028295824</v>
      </c>
    </row>
    <row r="194" spans="2:4"/>
    <row r="195" spans="2:4">
      <c r="B195" s="9" t="s">
        <v>67</v>
      </c>
    </row>
    <row r="196" spans="2:4"/>
    <row r="197" spans="2:4">
      <c r="B197" s="460"/>
      <c r="C197" s="461" t="s">
        <v>68</v>
      </c>
      <c r="D197" s="462" t="s">
        <v>69</v>
      </c>
    </row>
    <row r="198" spans="2:4">
      <c r="B198" s="261" t="str">
        <f>Model!D969</f>
        <v>Import duties</v>
      </c>
      <c r="C198">
        <f>Model!C969</f>
        <v>189.125</v>
      </c>
      <c r="D198" s="202">
        <f t="shared" ref="D198:D215" si="0">C198/$C$215</f>
        <v>5.6809308061615431E-2</v>
      </c>
    </row>
    <row r="199" spans="2:4">
      <c r="B199" s="261" t="str">
        <f>Model!D970</f>
        <v>VAT</v>
      </c>
      <c r="C199">
        <f>Model!C970</f>
        <v>0</v>
      </c>
      <c r="D199" s="202">
        <f t="shared" si="0"/>
        <v>0</v>
      </c>
    </row>
    <row r="200" spans="2:4">
      <c r="B200" s="261" t="str">
        <f>Model!D971</f>
        <v>Skills development levy</v>
      </c>
      <c r="C200">
        <f>Model!C971</f>
        <v>44.800000000000018</v>
      </c>
      <c r="D200" s="202">
        <f t="shared" si="0"/>
        <v>1.345700992021347E-2</v>
      </c>
    </row>
    <row r="201" spans="2:4">
      <c r="B201" s="261" t="str">
        <f>Model!D972</f>
        <v>Royalty</v>
      </c>
      <c r="C201">
        <f>Model!C972</f>
        <v>896.00000000000023</v>
      </c>
      <c r="D201" s="202">
        <f t="shared" si="0"/>
        <v>0.26914019840426934</v>
      </c>
    </row>
    <row r="202" spans="2:4">
      <c r="B202" s="261" t="str">
        <f>Model!D973</f>
        <v>Variable rate royalty</v>
      </c>
      <c r="C202">
        <f>Model!C973</f>
        <v>0</v>
      </c>
      <c r="D202" s="202">
        <f t="shared" si="0"/>
        <v>0</v>
      </c>
    </row>
    <row r="203" spans="2:4">
      <c r="B203" s="261" t="str">
        <f>Model!D974</f>
        <v>South Africa variable royalty</v>
      </c>
      <c r="C203">
        <f>Model!C974</f>
        <v>0</v>
      </c>
      <c r="D203" s="202">
        <f t="shared" si="0"/>
        <v>0</v>
      </c>
    </row>
    <row r="204" spans="2:4">
      <c r="B204" s="261" t="str">
        <f>Model!D975</f>
        <v>Operating profit tax</v>
      </c>
      <c r="C204">
        <f>Model!C975</f>
        <v>0</v>
      </c>
      <c r="D204" s="202">
        <f t="shared" si="0"/>
        <v>0</v>
      </c>
    </row>
    <row r="205" spans="2:4">
      <c r="B205" s="261" t="str">
        <f>Model!D976</f>
        <v>DRC excess profits tax</v>
      </c>
      <c r="C205">
        <f>Model!C976</f>
        <v>0</v>
      </c>
      <c r="D205" s="202">
        <f t="shared" si="0"/>
        <v>0</v>
      </c>
    </row>
    <row r="206" spans="2:4">
      <c r="B206" s="261" t="str">
        <f>Model!D978</f>
        <v>Corporate income tax</v>
      </c>
      <c r="C206">
        <f>Model!C978</f>
        <v>1405.5780796757949</v>
      </c>
      <c r="D206" s="202">
        <f t="shared" si="0"/>
        <v>0.42220710182660187</v>
      </c>
    </row>
    <row r="207" spans="2:4">
      <c r="B207" s="261" t="str">
        <f>Model!D979</f>
        <v>Resource rent tax</v>
      </c>
      <c r="C207">
        <f>Model!C979</f>
        <v>0</v>
      </c>
      <c r="D207" s="202">
        <f t="shared" si="0"/>
        <v>0</v>
      </c>
    </row>
    <row r="208" spans="2:4">
      <c r="B208" s="261" t="str">
        <f>Model!D980</f>
        <v>South Africa gold profit tax</v>
      </c>
      <c r="C208">
        <f>Model!C980</f>
        <v>0</v>
      </c>
      <c r="D208" s="202">
        <f t="shared" si="0"/>
        <v>0</v>
      </c>
    </row>
    <row r="209" spans="2:4">
      <c r="B209" s="261" t="str">
        <f>Model!D981</f>
        <v>Zimbabwe additional profits tax</v>
      </c>
      <c r="C209">
        <f>Model!C981</f>
        <v>0</v>
      </c>
      <c r="D209" s="202">
        <f t="shared" si="0"/>
        <v>0</v>
      </c>
    </row>
    <row r="210" spans="2:4">
      <c r="B210" s="261" t="str">
        <f>Model!D982</f>
        <v>Govt share of repaid loans</v>
      </c>
      <c r="C210">
        <f>Model!C982</f>
        <v>0</v>
      </c>
      <c r="D210" s="202">
        <f t="shared" si="0"/>
        <v>0</v>
      </c>
    </row>
    <row r="211" spans="2:4">
      <c r="B211" s="261" t="str">
        <f>Model!D983</f>
        <v>State dividends</v>
      </c>
      <c r="C211">
        <f>Model!C983</f>
        <v>517.43884309972077</v>
      </c>
      <c r="D211" s="202">
        <f t="shared" si="0"/>
        <v>0.15542811706912324</v>
      </c>
    </row>
    <row r="212" spans="2:4">
      <c r="B212" s="261" t="str">
        <f>Model!D984</f>
        <v>Dividend withholding tax</v>
      </c>
      <c r="C212">
        <f>Model!C984</f>
        <v>271.65539262735336</v>
      </c>
      <c r="D212" s="202">
        <f t="shared" si="0"/>
        <v>8.159976146128968E-2</v>
      </c>
    </row>
    <row r="213" spans="2:4">
      <c r="B213" s="261" t="str">
        <f>Model!D985</f>
        <v>Interest withholding tax</v>
      </c>
      <c r="C213">
        <f>Model!C985</f>
        <v>4.5226202751853943</v>
      </c>
      <c r="D213" s="202">
        <f t="shared" si="0"/>
        <v>1.3585032568867947E-3</v>
      </c>
    </row>
    <row r="214" spans="2:4">
      <c r="B214" s="261" t="str">
        <f>Model!D986</f>
        <v>Adjustment to govt benefit share</v>
      </c>
      <c r="C214">
        <f>Model!C986</f>
        <v>0</v>
      </c>
      <c r="D214" s="202">
        <f t="shared" si="0"/>
        <v>0</v>
      </c>
    </row>
    <row r="215" spans="2:4">
      <c r="B215" s="13" t="str">
        <f>Model!D988</f>
        <v>Total government revenue</v>
      </c>
      <c r="C215" s="125">
        <f>Model!C988</f>
        <v>3329.1199356780553</v>
      </c>
      <c r="D215" s="124">
        <f t="shared" si="0"/>
        <v>1</v>
      </c>
    </row>
    <row r="216" spans="2:4">
      <c r="B216" s="127"/>
      <c r="C216" s="117"/>
      <c r="D216" s="128"/>
    </row>
    <row r="217" spans="2:4"/>
    <row r="218" spans="2:4"/>
    <row r="219" spans="2:4"/>
    <row r="220" spans="2:4"/>
    <row r="221" spans="2:4">
      <c r="B221" s="168"/>
      <c r="C221" s="168" t="s">
        <v>70</v>
      </c>
    </row>
    <row r="222" spans="2:4">
      <c r="B222" s="168" t="s">
        <v>55</v>
      </c>
      <c r="C222" s="194">
        <v>0.96807819226707781</v>
      </c>
    </row>
    <row r="223" spans="2:4">
      <c r="B223" s="168" t="s">
        <v>56</v>
      </c>
      <c r="C223" s="194">
        <v>0.98683894628488145</v>
      </c>
    </row>
    <row r="224" spans="2:4">
      <c r="B224" s="168" t="s">
        <v>788</v>
      </c>
      <c r="C224" s="194">
        <v>0.98732847988446104</v>
      </c>
    </row>
    <row r="225" spans="2:4">
      <c r="B225" s="168" t="s">
        <v>96</v>
      </c>
      <c r="C225" s="194">
        <v>0.98755122742852997</v>
      </c>
    </row>
    <row r="226" spans="2:4">
      <c r="B226" s="168" t="s">
        <v>61</v>
      </c>
      <c r="C226" s="194">
        <v>1.0063809007605871</v>
      </c>
    </row>
    <row r="227" spans="2:4">
      <c r="B227" s="168" t="s">
        <v>787</v>
      </c>
      <c r="C227" s="194">
        <v>1.0338010490565204</v>
      </c>
    </row>
    <row r="228" spans="2:4">
      <c r="B228" s="168" t="s">
        <v>59</v>
      </c>
      <c r="C228" s="194">
        <v>1.0351788477406936</v>
      </c>
    </row>
    <row r="229" spans="2:4">
      <c r="B229" s="168" t="s">
        <v>58</v>
      </c>
      <c r="C229" s="194">
        <v>1.0715216329446942</v>
      </c>
    </row>
    <row r="230" spans="2:4">
      <c r="B230" s="168" t="s">
        <v>57</v>
      </c>
      <c r="C230" s="194">
        <v>1.072656368009596</v>
      </c>
    </row>
    <row r="231" spans="2:4">
      <c r="B231" s="168" t="s">
        <v>54</v>
      </c>
      <c r="C231" s="194">
        <v>1.0924286916324226</v>
      </c>
    </row>
    <row r="232" spans="2:4">
      <c r="B232" s="168" t="s">
        <v>60</v>
      </c>
      <c r="C232" s="194">
        <v>1.6223813170804939</v>
      </c>
    </row>
    <row r="233" spans="2:4"/>
    <row r="234" spans="2:4"/>
    <row r="235" spans="2:4">
      <c r="B235" s="193"/>
      <c r="C235" s="168" t="s">
        <v>71</v>
      </c>
      <c r="D235" s="168" t="s">
        <v>72</v>
      </c>
    </row>
    <row r="236" spans="2:4">
      <c r="B236" s="168" t="s">
        <v>54</v>
      </c>
      <c r="C236" s="174">
        <v>-14.539788391694064</v>
      </c>
      <c r="D236" s="174">
        <v>463.07996613946494</v>
      </c>
    </row>
    <row r="237" spans="2:4">
      <c r="B237" s="168" t="s">
        <v>60</v>
      </c>
      <c r="C237" s="174">
        <v>-24.623907506509525</v>
      </c>
      <c r="D237" s="174">
        <v>518.0661155837596</v>
      </c>
    </row>
    <row r="238" spans="2:4">
      <c r="B238" s="168" t="s">
        <v>96</v>
      </c>
      <c r="C238" s="174">
        <v>-35.763979782055998</v>
      </c>
      <c r="D238" s="174">
        <v>365.64997402941191</v>
      </c>
    </row>
    <row r="239" spans="2:4">
      <c r="B239" s="168" t="s">
        <v>58</v>
      </c>
      <c r="C239" s="174">
        <v>-53.7659672488507</v>
      </c>
      <c r="D239" s="174">
        <v>423.9912433490403</v>
      </c>
    </row>
    <row r="240" spans="2:4">
      <c r="B240" s="168" t="s">
        <v>56</v>
      </c>
      <c r="C240" s="174">
        <v>-54.62505194261432</v>
      </c>
      <c r="D240" s="174">
        <v>458.26407837119177</v>
      </c>
    </row>
    <row r="241" spans="2:4">
      <c r="B241" s="168" t="s">
        <v>55</v>
      </c>
      <c r="C241" s="174">
        <v>-57.085296133555403</v>
      </c>
      <c r="D241" s="174">
        <v>392.63728475987193</v>
      </c>
    </row>
    <row r="242" spans="2:4">
      <c r="B242" s="168" t="s">
        <v>787</v>
      </c>
      <c r="C242" s="174">
        <v>-61.706423554331607</v>
      </c>
      <c r="D242" s="174">
        <v>377.21655792534801</v>
      </c>
    </row>
    <row r="243" spans="2:4">
      <c r="B243" s="168" t="s">
        <v>61</v>
      </c>
      <c r="C243" s="174">
        <v>-71.371306400987166</v>
      </c>
      <c r="D243" s="174">
        <v>432.82563769075119</v>
      </c>
    </row>
    <row r="244" spans="2:4">
      <c r="B244" s="168" t="s">
        <v>59</v>
      </c>
      <c r="C244" s="174">
        <v>-72.70285828754848</v>
      </c>
      <c r="D244" s="174">
        <v>525.0520623079417</v>
      </c>
    </row>
    <row r="245" spans="2:4">
      <c r="B245" s="168" t="s">
        <v>788</v>
      </c>
      <c r="C245" s="174">
        <v>-99.82583706350718</v>
      </c>
      <c r="D245" s="174">
        <v>401.10375354711334</v>
      </c>
    </row>
    <row r="246" spans="2:4">
      <c r="B246" s="168" t="s">
        <v>57</v>
      </c>
      <c r="C246" s="174">
        <v>-100.6091028791314</v>
      </c>
      <c r="D246" s="174">
        <v>483.25228149239717</v>
      </c>
    </row>
    <row r="247" spans="2:4"/>
    <row r="248" spans="2:4"/>
    <row r="249" spans="2:4"/>
    <row r="250" spans="2:4"/>
    <row r="251" spans="2:4"/>
    <row r="252" spans="2:4"/>
    <row r="257"/>
    <row r="258"/>
    <row r="610"/>
    <row r="625"/>
    <row r="626"/>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sheetData>
  <sortState xmlns:xlrd2="http://schemas.microsoft.com/office/spreadsheetml/2017/richdata2" ref="B222:C232">
    <sortCondition ref="C222:C232"/>
  </sortState>
  <conditionalFormatting sqref="D27">
    <cfRule type="containsText" dxfId="18" priority="1" operator="containsText" text="TRUE">
      <formula>NOT(ISERROR(SEARCH("TRUE",D27)))</formula>
    </cfRule>
    <cfRule type="containsText" dxfId="17" priority="2" operator="containsText" text="FALSE">
      <formula>NOT(ISERROR(SEARCH("FALSE",D27)))</formula>
    </cfRule>
  </conditionalFormatting>
  <pageMargins left="0.7" right="0.7" top="0.75" bottom="0.75" header="0.3" footer="0.3"/>
  <pageSetup paperSize="9" scale="36" orientation="portrait" r:id="rId1"/>
  <rowBreaks count="1" manualBreakCount="1">
    <brk id="15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ETR2">
                <anchor moveWithCells="1" sizeWithCells="1">
                  <from>
                    <xdr:col>22</xdr:col>
                    <xdr:colOff>336550</xdr:colOff>
                    <xdr:row>1048371</xdr:row>
                    <xdr:rowOff>0</xdr:rowOff>
                  </from>
                  <to>
                    <xdr:col>26</xdr:col>
                    <xdr:colOff>577850</xdr:colOff>
                    <xdr:row>1048371</xdr:row>
                    <xdr:rowOff>0</xdr:rowOff>
                  </to>
                </anchor>
              </controlPr>
            </control>
          </mc:Choice>
        </mc:AlternateContent>
        <mc:AlternateContent xmlns:mc="http://schemas.openxmlformats.org/markup-compatibility/2006">
          <mc:Choice Requires="x14">
            <control shapeId="2050" r:id="rId5" name="Button 2">
              <controlPr defaultSize="0" print="0" autoFill="0" autoPict="0" macro="[0]!Results">
                <anchor moveWithCells="1" sizeWithCells="1">
                  <from>
                    <xdr:col>4</xdr:col>
                    <xdr:colOff>292100</xdr:colOff>
                    <xdr:row>1</xdr:row>
                    <xdr:rowOff>19050</xdr:rowOff>
                  </from>
                  <to>
                    <xdr:col>7</xdr:col>
                    <xdr:colOff>254000</xdr:colOff>
                    <xdr:row>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C9C8"/>
  </sheetPr>
  <dimension ref="A1:XFC634"/>
  <sheetViews>
    <sheetView showGridLines="0" zoomScale="50" zoomScaleNormal="50" workbookViewId="0">
      <selection activeCell="B15" sqref="B15"/>
    </sheetView>
  </sheetViews>
  <sheetFormatPr defaultColWidth="0" defaultRowHeight="13" zeroHeight="1" outlineLevelRow="1"/>
  <cols>
    <col min="1" max="1" width="4.1796875" style="234" customWidth="1"/>
    <col min="2" max="2" width="11.453125" style="234" customWidth="1"/>
    <col min="3" max="3" width="83.453125" style="234" customWidth="1"/>
    <col min="4" max="4" width="13.81640625" style="234" customWidth="1"/>
    <col min="5" max="5" width="14.453125" style="234" bestFit="1" customWidth="1"/>
    <col min="6" max="17" width="13.453125" style="234" customWidth="1"/>
    <col min="18" max="18" width="11.54296875" style="234" customWidth="1"/>
    <col min="19" max="20" width="10.81640625" style="234" customWidth="1"/>
    <col min="21" max="26" width="10.54296875" style="234" customWidth="1"/>
    <col min="27" max="27" width="11.81640625" style="234" customWidth="1"/>
    <col min="28" max="52" width="10.54296875" style="234" customWidth="1"/>
    <col min="53" max="53" width="11.453125" style="234" customWidth="1"/>
    <col min="54" max="57" width="10.54296875" style="234" customWidth="1"/>
    <col min="58" max="59" width="9.1796875" style="234" customWidth="1"/>
    <col min="60" max="16384" width="0" style="234" hidden="1"/>
  </cols>
  <sheetData>
    <row r="1" spans="1:16383" s="92" customFormat="1" ht="13" customHeight="1">
      <c r="A1" s="469"/>
      <c r="B1" s="470"/>
      <c r="C1" s="470"/>
      <c r="D1" s="470"/>
      <c r="E1" s="470"/>
      <c r="F1" s="470"/>
      <c r="G1" s="470"/>
      <c r="H1" s="470"/>
      <c r="I1" s="470"/>
      <c r="J1" s="470"/>
      <c r="K1" s="470"/>
      <c r="L1" s="470"/>
      <c r="M1" s="470"/>
      <c r="N1" s="470"/>
      <c r="O1" s="470"/>
      <c r="P1" s="470"/>
      <c r="Q1" s="470"/>
      <c r="R1" s="470"/>
      <c r="S1" s="470"/>
      <c r="T1" s="470"/>
      <c r="U1" s="470"/>
      <c r="V1" s="470"/>
      <c r="W1" s="470"/>
      <c r="X1" s="470"/>
      <c r="Y1" s="470"/>
      <c r="Z1" s="470"/>
      <c r="AA1" s="470"/>
      <c r="AB1" s="470"/>
      <c r="AC1" s="470"/>
      <c r="AD1" s="470"/>
      <c r="AE1" s="470"/>
      <c r="AF1" s="470"/>
      <c r="AG1" s="470"/>
      <c r="AH1" s="470"/>
      <c r="AI1" s="470"/>
      <c r="AJ1" s="470"/>
      <c r="AK1" s="470"/>
      <c r="AL1" s="470"/>
      <c r="AM1" s="470"/>
      <c r="AN1" s="470"/>
      <c r="AO1" s="470"/>
      <c r="AP1" s="470"/>
      <c r="AQ1" s="470"/>
      <c r="AR1" s="470"/>
      <c r="AS1" s="470"/>
      <c r="AT1" s="470"/>
      <c r="AU1" s="470"/>
      <c r="AV1" s="470"/>
      <c r="AW1" s="470"/>
      <c r="AX1" s="470"/>
      <c r="AY1" s="470"/>
      <c r="AZ1" s="470"/>
      <c r="BA1" s="470"/>
      <c r="BB1" s="470"/>
      <c r="BC1" s="470"/>
      <c r="BD1" s="470"/>
      <c r="BE1" s="470"/>
      <c r="BF1" s="470"/>
      <c r="BG1" s="470"/>
    </row>
    <row r="2" spans="1:16383" s="92" customFormat="1" ht="40" customHeight="1">
      <c r="A2" s="469"/>
      <c r="B2" s="476" t="s">
        <v>5</v>
      </c>
      <c r="C2" s="470"/>
      <c r="D2" s="470"/>
      <c r="E2" s="470"/>
      <c r="F2" s="470"/>
      <c r="G2" s="470"/>
      <c r="H2" s="470"/>
      <c r="I2" s="470"/>
      <c r="J2" s="470"/>
      <c r="K2" s="470"/>
      <c r="L2" s="470"/>
      <c r="M2" s="470"/>
      <c r="N2" s="470"/>
      <c r="O2" s="470"/>
      <c r="P2" s="470"/>
      <c r="Q2" s="470"/>
      <c r="R2" s="470"/>
      <c r="S2" s="470"/>
      <c r="T2" s="470"/>
      <c r="U2" s="470"/>
      <c r="V2" s="470"/>
      <c r="W2" s="470"/>
      <c r="X2" s="470"/>
      <c r="Y2" s="470"/>
      <c r="Z2" s="470"/>
      <c r="AA2" s="470"/>
      <c r="AB2" s="470"/>
      <c r="AC2" s="470"/>
      <c r="AD2" s="470"/>
      <c r="AE2" s="470"/>
      <c r="AF2" s="470"/>
      <c r="AG2" s="470"/>
      <c r="AH2" s="470"/>
      <c r="AI2" s="470"/>
      <c r="AJ2" s="470"/>
      <c r="AK2" s="470"/>
      <c r="AL2" s="470"/>
      <c r="AM2" s="470"/>
      <c r="AN2" s="470"/>
      <c r="AO2" s="470"/>
      <c r="AP2" s="470"/>
      <c r="AQ2" s="470"/>
      <c r="AR2" s="470"/>
      <c r="AS2" s="470"/>
      <c r="AT2" s="470"/>
      <c r="AU2" s="470"/>
      <c r="AV2" s="470"/>
      <c r="AW2" s="470"/>
      <c r="AX2" s="470"/>
      <c r="AY2" s="470"/>
      <c r="AZ2" s="470"/>
      <c r="BA2" s="470"/>
      <c r="BB2" s="470"/>
      <c r="BC2" s="470"/>
      <c r="BD2" s="470"/>
      <c r="BE2" s="470"/>
      <c r="BF2" s="470"/>
      <c r="BG2" s="470"/>
    </row>
    <row r="3" spans="1:16383" s="92" customFormat="1" ht="13" customHeight="1">
      <c r="A3" s="469"/>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470"/>
      <c r="AL3" s="470"/>
      <c r="AM3" s="470"/>
      <c r="AN3" s="470"/>
      <c r="AO3" s="470"/>
      <c r="AP3" s="470"/>
      <c r="AQ3" s="470"/>
      <c r="AR3" s="470"/>
      <c r="AS3" s="470"/>
      <c r="AT3" s="470"/>
      <c r="AU3" s="470"/>
      <c r="AV3" s="470"/>
      <c r="AW3" s="470"/>
      <c r="AX3" s="470"/>
      <c r="AY3" s="470"/>
      <c r="AZ3" s="470"/>
      <c r="BA3" s="470"/>
      <c r="BB3" s="470"/>
      <c r="BC3" s="470"/>
      <c r="BD3" s="470"/>
      <c r="BE3" s="470"/>
      <c r="BF3" s="470"/>
      <c r="BG3" s="470"/>
    </row>
    <row r="4" spans="1:16383" s="11" customFormat="1" ht="15" customHeight="1"/>
    <row r="5" spans="1:16383" s="11" customFormat="1" ht="15" customHeight="1">
      <c r="C5" s="11" t="s">
        <v>73</v>
      </c>
    </row>
    <row r="6" spans="1:16383" s="11" customFormat="1" ht="15" customHeight="1">
      <c r="C6" s="486" t="s">
        <v>74</v>
      </c>
      <c r="D6" s="224">
        <f>MATCH(C6,Lists!$B$3:$B$11,0)</f>
        <v>1</v>
      </c>
    </row>
    <row r="7" spans="1:16383" s="11" customFormat="1" ht="15" customHeight="1">
      <c r="C7" s="11" t="s">
        <v>75</v>
      </c>
    </row>
    <row r="8" spans="1:16383" s="11" customFormat="1" ht="15" customHeight="1">
      <c r="C8" s="486" t="s">
        <v>76</v>
      </c>
      <c r="D8" s="224">
        <f>MATCH(C8,Lists!$B$3:$B$11,0)</f>
        <v>2</v>
      </c>
    </row>
    <row r="9" spans="1:16383" s="11" customFormat="1" ht="15" customHeight="1"/>
    <row r="10" spans="1:16383" s="11" customFormat="1" ht="23" customHeight="1">
      <c r="B10" s="12"/>
      <c r="C10" s="547" t="s">
        <v>77</v>
      </c>
      <c r="D10" s="463"/>
      <c r="E10" s="463"/>
      <c r="F10" s="463"/>
      <c r="G10" s="463"/>
      <c r="H10" s="463"/>
      <c r="I10" s="463"/>
      <c r="J10" s="463"/>
      <c r="K10" s="463"/>
      <c r="L10" s="463"/>
      <c r="M10" s="463"/>
      <c r="N10" s="463"/>
      <c r="O10" s="463"/>
      <c r="P10" s="463"/>
      <c r="Q10" s="463"/>
      <c r="R10" s="463"/>
      <c r="S10" s="463"/>
      <c r="T10" s="463"/>
      <c r="U10" s="464"/>
      <c r="V10" s="464"/>
      <c r="W10" s="464"/>
      <c r="X10" s="464"/>
      <c r="Y10" s="464"/>
      <c r="Z10" s="464"/>
      <c r="AA10" s="464"/>
      <c r="AB10" s="464"/>
      <c r="AC10" s="464"/>
      <c r="AD10" s="464"/>
      <c r="AE10" s="464"/>
      <c r="AF10" s="464"/>
      <c r="AG10" s="464"/>
      <c r="AH10" s="464"/>
      <c r="AI10" s="464"/>
      <c r="AJ10" s="464"/>
      <c r="AK10" s="464"/>
      <c r="AL10" s="464"/>
      <c r="AM10" s="464"/>
      <c r="AN10" s="464"/>
      <c r="AO10" s="464"/>
      <c r="AP10" s="464"/>
      <c r="AQ10" s="464"/>
      <c r="AR10" s="464"/>
      <c r="AS10" s="464"/>
      <c r="AT10" s="464"/>
      <c r="AU10" s="464"/>
      <c r="AV10" s="464"/>
      <c r="AW10" s="464"/>
      <c r="AX10" s="464"/>
      <c r="AY10" s="464"/>
      <c r="AZ10" s="464"/>
      <c r="BA10" s="464"/>
      <c r="BB10" s="464"/>
      <c r="BC10" s="464"/>
      <c r="BD10" s="464"/>
      <c r="BE10" s="464"/>
      <c r="BF10" s="464"/>
    </row>
    <row r="11" spans="1:16383" s="11" customFormat="1" ht="14.5">
      <c r="B11" s="12"/>
      <c r="C11" s="279" t="s">
        <v>78</v>
      </c>
      <c r="D11" s="273"/>
      <c r="E11" s="273"/>
      <c r="F11" s="273"/>
      <c r="G11" s="273"/>
      <c r="H11" s="273"/>
      <c r="I11" s="273"/>
      <c r="J11" s="273"/>
      <c r="K11" s="273"/>
      <c r="L11" s="273"/>
      <c r="M11" s="273"/>
      <c r="N11" s="273"/>
      <c r="O11" s="273"/>
      <c r="P11" s="273"/>
      <c r="Q11" s="273"/>
      <c r="R11" s="273"/>
      <c r="S11" s="273"/>
      <c r="T11" s="273"/>
    </row>
    <row r="12" spans="1:16383" s="11" customFormat="1" ht="14.5">
      <c r="B12" s="12"/>
      <c r="C12" s="279" t="s">
        <v>79</v>
      </c>
      <c r="D12" s="273"/>
      <c r="E12" s="273"/>
      <c r="F12" s="273"/>
      <c r="G12" s="273"/>
      <c r="H12" s="273"/>
      <c r="I12" s="273"/>
      <c r="J12" s="273"/>
      <c r="K12" s="273"/>
      <c r="L12" s="273"/>
      <c r="M12" s="273"/>
      <c r="N12" s="273"/>
      <c r="O12" s="273"/>
      <c r="P12" s="273"/>
      <c r="Q12" s="273"/>
      <c r="R12" s="273"/>
      <c r="S12" s="313"/>
      <c r="T12" s="273"/>
      <c r="U12" s="9" t="s">
        <v>80</v>
      </c>
    </row>
    <row r="13" spans="1:16383" s="11" customFormat="1">
      <c r="B13" s="12"/>
      <c r="C13" s="134"/>
      <c r="D13" s="12"/>
      <c r="E13" s="12"/>
      <c r="F13" s="12"/>
      <c r="H13" s="12"/>
      <c r="I13" s="12"/>
      <c r="L13" s="142" t="s">
        <v>81</v>
      </c>
      <c r="M13" s="12"/>
      <c r="N13" s="12"/>
      <c r="O13" s="12"/>
      <c r="P13" s="12"/>
      <c r="Q13" s="12"/>
      <c r="R13" s="12"/>
      <c r="S13" s="314"/>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c r="EK13" s="12"/>
      <c r="EL13" s="12"/>
      <c r="EM13" s="12"/>
      <c r="EN13" s="12"/>
      <c r="EO13" s="12"/>
      <c r="EP13" s="12"/>
      <c r="EQ13" s="12"/>
      <c r="ER13" s="12"/>
      <c r="ES13" s="12"/>
      <c r="ET13" s="12"/>
      <c r="EU13" s="12"/>
      <c r="EV13" s="12"/>
      <c r="EW13" s="12"/>
      <c r="EX13" s="12"/>
      <c r="EY13" s="12"/>
      <c r="EZ13" s="12"/>
      <c r="FA13" s="12"/>
      <c r="FB13" s="12"/>
      <c r="FC13" s="12"/>
      <c r="FD13" s="12"/>
      <c r="FE13" s="12"/>
      <c r="FF13" s="12"/>
      <c r="FG13" s="12"/>
      <c r="FH13" s="12"/>
      <c r="FI13" s="12"/>
      <c r="FJ13" s="12"/>
      <c r="FK13" s="12"/>
      <c r="FL13" s="12"/>
      <c r="FM13" s="12"/>
      <c r="FN13" s="12"/>
      <c r="FO13" s="12"/>
      <c r="FP13" s="12"/>
      <c r="FQ13" s="12"/>
      <c r="FR13" s="12"/>
      <c r="FS13" s="12"/>
      <c r="FT13" s="12"/>
      <c r="FU13" s="12"/>
      <c r="FV13" s="12"/>
      <c r="FW13" s="12"/>
      <c r="FX13" s="12"/>
      <c r="FY13" s="12"/>
      <c r="FZ13" s="12"/>
      <c r="GA13" s="12"/>
      <c r="GB13" s="12"/>
      <c r="GC13" s="12"/>
      <c r="GD13" s="12"/>
      <c r="GE13" s="12"/>
      <c r="GF13" s="12"/>
      <c r="GG13" s="12"/>
      <c r="GH13" s="12"/>
      <c r="GI13" s="12"/>
      <c r="GJ13" s="12"/>
      <c r="GK13" s="12"/>
      <c r="GL13" s="12"/>
      <c r="GM13" s="12"/>
      <c r="GN13" s="12"/>
      <c r="GO13" s="12"/>
      <c r="GP13" s="12"/>
      <c r="GQ13" s="12"/>
      <c r="GR13" s="12"/>
      <c r="GS13" s="12"/>
      <c r="GT13" s="12"/>
      <c r="GU13" s="12"/>
      <c r="GV13" s="12"/>
      <c r="GW13" s="12"/>
      <c r="GX13" s="12"/>
      <c r="GY13" s="12"/>
      <c r="GZ13" s="12"/>
      <c r="HA13" s="12"/>
      <c r="HB13" s="12"/>
      <c r="HC13" s="12"/>
      <c r="HD13" s="12"/>
      <c r="HE13" s="12"/>
      <c r="HF13" s="12"/>
      <c r="HG13" s="12"/>
      <c r="HH13" s="12"/>
      <c r="HI13" s="12"/>
      <c r="HJ13" s="12"/>
      <c r="HK13" s="12"/>
      <c r="HL13" s="12"/>
      <c r="HM13" s="12"/>
      <c r="HN13" s="12"/>
      <c r="HO13" s="12"/>
      <c r="HP13" s="12"/>
      <c r="HQ13" s="12"/>
      <c r="HR13" s="12"/>
      <c r="HS13" s="12"/>
      <c r="HT13" s="12"/>
      <c r="HU13" s="12"/>
      <c r="HV13" s="12"/>
      <c r="HW13" s="12"/>
      <c r="HX13" s="12"/>
      <c r="HY13" s="12"/>
      <c r="HZ13" s="12"/>
      <c r="IA13" s="12"/>
      <c r="IB13" s="12"/>
      <c r="IC13" s="12"/>
      <c r="ID13" s="12"/>
      <c r="IE13" s="12"/>
      <c r="IF13" s="12"/>
      <c r="IG13" s="12"/>
      <c r="IH13" s="12"/>
      <c r="II13" s="12"/>
      <c r="IJ13" s="12"/>
      <c r="IK13" s="12"/>
      <c r="IL13" s="12"/>
      <c r="IM13" s="12"/>
      <c r="IN13" s="12"/>
      <c r="IO13" s="12"/>
      <c r="IP13" s="12"/>
      <c r="IQ13" s="12"/>
      <c r="IR13" s="12"/>
      <c r="IS13" s="12"/>
      <c r="IT13" s="12"/>
      <c r="IU13" s="12"/>
      <c r="IV13" s="12"/>
      <c r="IW13" s="12"/>
      <c r="IX13" s="12"/>
      <c r="IY13" s="12"/>
      <c r="IZ13" s="12"/>
      <c r="JA13" s="12"/>
      <c r="JB13" s="12"/>
      <c r="JC13" s="12"/>
      <c r="JD13" s="12"/>
      <c r="JE13" s="12"/>
      <c r="JF13" s="12"/>
      <c r="JG13" s="12"/>
      <c r="JH13" s="12"/>
      <c r="JI13" s="12"/>
      <c r="JJ13" s="12"/>
      <c r="JK13" s="12"/>
      <c r="JL13" s="12"/>
      <c r="JM13" s="12"/>
      <c r="JN13" s="12"/>
      <c r="JO13" s="12"/>
      <c r="JP13" s="12"/>
      <c r="JQ13" s="12"/>
      <c r="JR13" s="12"/>
      <c r="JS13" s="12"/>
      <c r="JT13" s="12"/>
      <c r="JU13" s="12"/>
      <c r="JV13" s="12"/>
      <c r="JW13" s="12"/>
      <c r="JX13" s="12"/>
      <c r="JY13" s="12"/>
      <c r="JZ13" s="12"/>
      <c r="KA13" s="12"/>
      <c r="KB13" s="12"/>
      <c r="KC13" s="12"/>
      <c r="KD13" s="12"/>
      <c r="KE13" s="12"/>
      <c r="KF13" s="12"/>
      <c r="KG13" s="12"/>
      <c r="KH13" s="12"/>
      <c r="KI13" s="12"/>
      <c r="KJ13" s="12"/>
      <c r="KK13" s="12"/>
      <c r="KL13" s="12"/>
      <c r="KM13" s="12"/>
      <c r="KN13" s="12"/>
      <c r="KO13" s="12"/>
      <c r="KP13" s="12"/>
      <c r="KQ13" s="12"/>
      <c r="KR13" s="12"/>
      <c r="KS13" s="12"/>
      <c r="KT13" s="12"/>
      <c r="KU13" s="12"/>
      <c r="KV13" s="12"/>
      <c r="KW13" s="12"/>
      <c r="KX13" s="12"/>
      <c r="KY13" s="12"/>
      <c r="KZ13" s="12"/>
      <c r="LA13" s="12"/>
      <c r="LB13" s="12"/>
      <c r="LC13" s="12"/>
      <c r="LD13" s="12"/>
      <c r="LE13" s="12"/>
      <c r="LF13" s="12"/>
      <c r="LG13" s="12"/>
      <c r="LH13" s="12"/>
      <c r="LI13" s="12"/>
      <c r="LJ13" s="12"/>
      <c r="LK13" s="12"/>
      <c r="LL13" s="12"/>
      <c r="LM13" s="12"/>
      <c r="LN13" s="12"/>
      <c r="LO13" s="12"/>
      <c r="LP13" s="12"/>
      <c r="LQ13" s="12"/>
      <c r="LR13" s="12"/>
      <c r="LS13" s="12"/>
      <c r="LT13" s="12"/>
      <c r="LU13" s="12"/>
      <c r="LV13" s="12"/>
      <c r="LW13" s="12"/>
      <c r="LX13" s="12"/>
      <c r="LY13" s="12"/>
      <c r="LZ13" s="12"/>
      <c r="MA13" s="12"/>
      <c r="MB13" s="12"/>
      <c r="MC13" s="12"/>
      <c r="MD13" s="12"/>
      <c r="ME13" s="12"/>
      <c r="MF13" s="12"/>
      <c r="MG13" s="12"/>
      <c r="MH13" s="12"/>
      <c r="MI13" s="12"/>
      <c r="MJ13" s="12"/>
      <c r="MK13" s="12"/>
      <c r="ML13" s="12"/>
      <c r="MM13" s="12"/>
      <c r="MN13" s="12"/>
      <c r="MO13" s="12"/>
      <c r="MP13" s="12"/>
      <c r="MQ13" s="12"/>
      <c r="MR13" s="12"/>
      <c r="MS13" s="12"/>
      <c r="MT13" s="12"/>
      <c r="MU13" s="12"/>
      <c r="MV13" s="12"/>
      <c r="MW13" s="12"/>
      <c r="MX13" s="12"/>
      <c r="MY13" s="12"/>
      <c r="MZ13" s="12"/>
      <c r="NA13" s="12"/>
      <c r="NB13" s="12"/>
      <c r="NC13" s="12"/>
      <c r="ND13" s="12"/>
      <c r="NE13" s="12"/>
      <c r="NF13" s="12"/>
      <c r="NG13" s="12"/>
      <c r="NH13" s="12"/>
      <c r="NI13" s="12"/>
      <c r="NJ13" s="12"/>
      <c r="NK13" s="12"/>
      <c r="NL13" s="12"/>
      <c r="NM13" s="12"/>
      <c r="NN13" s="12"/>
      <c r="NO13" s="12"/>
      <c r="NP13" s="12"/>
      <c r="NQ13" s="12"/>
      <c r="NR13" s="12"/>
      <c r="NS13" s="12"/>
      <c r="NT13" s="12"/>
      <c r="NU13" s="12"/>
      <c r="NV13" s="12"/>
      <c r="NW13" s="12"/>
      <c r="NX13" s="12"/>
      <c r="NY13" s="12"/>
      <c r="NZ13" s="12"/>
      <c r="OA13" s="12"/>
      <c r="OB13" s="12"/>
      <c r="OC13" s="12"/>
      <c r="OD13" s="12"/>
      <c r="OE13" s="12"/>
      <c r="OF13" s="12"/>
      <c r="OG13" s="12"/>
      <c r="OH13" s="12"/>
      <c r="OI13" s="12"/>
      <c r="OJ13" s="12"/>
      <c r="OK13" s="12"/>
      <c r="OL13" s="12"/>
      <c r="OM13" s="12"/>
      <c r="ON13" s="12"/>
      <c r="OO13" s="12"/>
      <c r="OP13" s="12"/>
      <c r="OQ13" s="12"/>
      <c r="OR13" s="12"/>
      <c r="OS13" s="12"/>
      <c r="OT13" s="12"/>
      <c r="OU13" s="12"/>
      <c r="OV13" s="12"/>
      <c r="OW13" s="12"/>
      <c r="OX13" s="12"/>
      <c r="OY13" s="12"/>
      <c r="OZ13" s="12"/>
      <c r="PA13" s="12"/>
      <c r="PB13" s="12"/>
      <c r="PC13" s="12"/>
      <c r="PD13" s="12"/>
      <c r="PE13" s="12"/>
      <c r="PF13" s="12"/>
      <c r="PG13" s="12"/>
      <c r="PH13" s="12"/>
      <c r="PI13" s="12"/>
      <c r="PJ13" s="12"/>
      <c r="PK13" s="12"/>
      <c r="PL13" s="12"/>
      <c r="PM13" s="12"/>
      <c r="PN13" s="12"/>
      <c r="PO13" s="12"/>
      <c r="PP13" s="12"/>
      <c r="PQ13" s="12"/>
      <c r="PR13" s="12"/>
      <c r="PS13" s="12"/>
      <c r="PT13" s="12"/>
      <c r="PU13" s="12"/>
      <c r="PV13" s="12"/>
      <c r="PW13" s="12"/>
      <c r="PX13" s="12"/>
      <c r="PY13" s="12"/>
      <c r="PZ13" s="12"/>
      <c r="QA13" s="12"/>
      <c r="QB13" s="12"/>
      <c r="QC13" s="12"/>
      <c r="QD13" s="12"/>
      <c r="QE13" s="12"/>
      <c r="QF13" s="12"/>
      <c r="QG13" s="12"/>
      <c r="QH13" s="12"/>
      <c r="QI13" s="12"/>
      <c r="QJ13" s="12"/>
      <c r="QK13" s="12"/>
      <c r="QL13" s="12"/>
      <c r="QM13" s="12"/>
      <c r="QN13" s="12"/>
      <c r="QO13" s="12"/>
      <c r="QP13" s="12"/>
      <c r="QQ13" s="12"/>
      <c r="QR13" s="12"/>
      <c r="QS13" s="12"/>
      <c r="QT13" s="12"/>
      <c r="QU13" s="12"/>
      <c r="QV13" s="12"/>
      <c r="QW13" s="12"/>
      <c r="QX13" s="12"/>
      <c r="QY13" s="12"/>
      <c r="QZ13" s="12"/>
      <c r="RA13" s="12"/>
      <c r="RB13" s="12"/>
      <c r="RC13" s="12"/>
      <c r="RD13" s="12"/>
      <c r="RE13" s="12"/>
      <c r="RF13" s="12"/>
      <c r="RG13" s="12"/>
      <c r="RH13" s="12"/>
      <c r="RI13" s="12"/>
      <c r="RJ13" s="12"/>
      <c r="RK13" s="12"/>
      <c r="RL13" s="12"/>
      <c r="RM13" s="12"/>
      <c r="RN13" s="12"/>
      <c r="RO13" s="12"/>
      <c r="RP13" s="12"/>
      <c r="RQ13" s="12"/>
      <c r="RR13" s="12"/>
      <c r="RS13" s="12"/>
      <c r="RT13" s="12"/>
      <c r="RU13" s="12"/>
      <c r="RV13" s="12"/>
      <c r="RW13" s="12"/>
      <c r="RX13" s="12"/>
      <c r="RY13" s="12"/>
      <c r="RZ13" s="12"/>
      <c r="SA13" s="12"/>
      <c r="SB13" s="12"/>
      <c r="SC13" s="12"/>
      <c r="SD13" s="12"/>
      <c r="SE13" s="12"/>
      <c r="SF13" s="12"/>
      <c r="SG13" s="12"/>
      <c r="SH13" s="12"/>
      <c r="SI13" s="12"/>
      <c r="SJ13" s="12"/>
      <c r="SK13" s="12"/>
      <c r="SL13" s="12"/>
      <c r="SM13" s="12"/>
      <c r="SN13" s="12"/>
      <c r="SO13" s="12"/>
      <c r="SP13" s="12"/>
      <c r="SQ13" s="12"/>
      <c r="SR13" s="12"/>
      <c r="SS13" s="12"/>
      <c r="ST13" s="12"/>
      <c r="SU13" s="12"/>
      <c r="SV13" s="12"/>
      <c r="SW13" s="12"/>
      <c r="SX13" s="12"/>
      <c r="SY13" s="12"/>
      <c r="SZ13" s="12"/>
      <c r="TA13" s="12"/>
      <c r="TB13" s="12"/>
      <c r="TC13" s="12"/>
      <c r="TD13" s="12"/>
      <c r="TE13" s="12"/>
      <c r="TF13" s="12"/>
      <c r="TG13" s="12"/>
      <c r="TH13" s="12"/>
      <c r="TI13" s="12"/>
      <c r="TJ13" s="12"/>
      <c r="TK13" s="12"/>
      <c r="TL13" s="12"/>
      <c r="TM13" s="12"/>
      <c r="TN13" s="12"/>
      <c r="TO13" s="12"/>
      <c r="TP13" s="12"/>
      <c r="TQ13" s="12"/>
      <c r="TR13" s="12"/>
      <c r="TS13" s="12"/>
      <c r="TT13" s="12"/>
      <c r="TU13" s="12"/>
      <c r="TV13" s="12"/>
      <c r="TW13" s="12"/>
      <c r="TX13" s="12"/>
      <c r="TY13" s="12"/>
      <c r="TZ13" s="12"/>
      <c r="UA13" s="12"/>
      <c r="UB13" s="12"/>
      <c r="UC13" s="12"/>
      <c r="UD13" s="12"/>
      <c r="UE13" s="12"/>
      <c r="UF13" s="12"/>
      <c r="UG13" s="12"/>
      <c r="UH13" s="12"/>
      <c r="UI13" s="12"/>
      <c r="UJ13" s="12"/>
      <c r="UK13" s="12"/>
      <c r="UL13" s="12"/>
      <c r="UM13" s="12"/>
      <c r="UN13" s="12"/>
      <c r="UO13" s="12"/>
      <c r="UP13" s="12"/>
      <c r="UQ13" s="12"/>
      <c r="UR13" s="12"/>
      <c r="US13" s="12"/>
      <c r="UT13" s="12"/>
      <c r="UU13" s="12"/>
      <c r="UV13" s="12"/>
      <c r="UW13" s="12"/>
      <c r="UX13" s="12"/>
      <c r="UY13" s="12"/>
      <c r="UZ13" s="12"/>
      <c r="VA13" s="12"/>
      <c r="VB13" s="12"/>
      <c r="VC13" s="12"/>
      <c r="VD13" s="12"/>
      <c r="VE13" s="12"/>
      <c r="VF13" s="12"/>
      <c r="VG13" s="12"/>
      <c r="VH13" s="12"/>
      <c r="VI13" s="12"/>
      <c r="VJ13" s="12"/>
      <c r="VK13" s="12"/>
      <c r="VL13" s="12"/>
      <c r="VM13" s="12"/>
      <c r="VN13" s="12"/>
      <c r="VO13" s="12"/>
      <c r="VP13" s="12"/>
      <c r="VQ13" s="12"/>
      <c r="VR13" s="12"/>
      <c r="VS13" s="12"/>
      <c r="VT13" s="12"/>
      <c r="VU13" s="12"/>
      <c r="VV13" s="12"/>
      <c r="VW13" s="12"/>
      <c r="VX13" s="12"/>
      <c r="VY13" s="12"/>
      <c r="VZ13" s="12"/>
      <c r="WA13" s="12"/>
      <c r="WB13" s="12"/>
      <c r="WC13" s="12"/>
      <c r="WD13" s="12"/>
      <c r="WE13" s="12"/>
      <c r="WF13" s="12"/>
      <c r="WG13" s="12"/>
      <c r="WH13" s="12"/>
      <c r="WI13" s="12"/>
      <c r="WJ13" s="12"/>
      <c r="WK13" s="12"/>
      <c r="WL13" s="12"/>
      <c r="WM13" s="12"/>
      <c r="WN13" s="12"/>
      <c r="WO13" s="12"/>
      <c r="WP13" s="12"/>
      <c r="WQ13" s="12"/>
      <c r="WR13" s="12"/>
      <c r="WS13" s="12"/>
      <c r="WT13" s="12"/>
      <c r="WU13" s="12"/>
      <c r="WV13" s="12"/>
      <c r="WW13" s="12"/>
      <c r="WX13" s="12"/>
      <c r="WY13" s="12"/>
      <c r="WZ13" s="12"/>
      <c r="XA13" s="12"/>
      <c r="XB13" s="12"/>
      <c r="XC13" s="12"/>
      <c r="XD13" s="12"/>
      <c r="XE13" s="12"/>
      <c r="XF13" s="12"/>
      <c r="XG13" s="12"/>
      <c r="XH13" s="12"/>
      <c r="XI13" s="12"/>
      <c r="XJ13" s="12"/>
      <c r="XK13" s="12"/>
      <c r="XL13" s="12"/>
      <c r="XM13" s="12"/>
      <c r="XN13" s="12"/>
      <c r="XO13" s="12"/>
      <c r="XP13" s="12"/>
      <c r="XQ13" s="12"/>
      <c r="XR13" s="12"/>
      <c r="XS13" s="12"/>
      <c r="XT13" s="12"/>
      <c r="XU13" s="12"/>
      <c r="XV13" s="12"/>
      <c r="XW13" s="12"/>
      <c r="XX13" s="12"/>
      <c r="XY13" s="12"/>
      <c r="XZ13" s="12"/>
      <c r="YA13" s="12"/>
      <c r="YB13" s="12"/>
      <c r="YC13" s="12"/>
      <c r="YD13" s="12"/>
      <c r="YE13" s="12"/>
      <c r="YF13" s="12"/>
      <c r="YG13" s="12"/>
      <c r="YH13" s="12"/>
      <c r="YI13" s="12"/>
      <c r="YJ13" s="12"/>
      <c r="YK13" s="12"/>
      <c r="YL13" s="12"/>
      <c r="YM13" s="12"/>
      <c r="YN13" s="12"/>
      <c r="YO13" s="12"/>
      <c r="YP13" s="12"/>
      <c r="YQ13" s="12"/>
      <c r="YR13" s="12"/>
      <c r="YS13" s="12"/>
      <c r="YT13" s="12"/>
      <c r="YU13" s="12"/>
      <c r="YV13" s="12"/>
      <c r="YW13" s="12"/>
      <c r="YX13" s="12"/>
      <c r="YY13" s="12"/>
      <c r="YZ13" s="12"/>
      <c r="ZA13" s="12"/>
      <c r="ZB13" s="12"/>
      <c r="ZC13" s="12"/>
      <c r="ZD13" s="12"/>
      <c r="ZE13" s="12"/>
      <c r="ZF13" s="12"/>
      <c r="ZG13" s="12"/>
      <c r="ZH13" s="12"/>
      <c r="ZI13" s="12"/>
      <c r="ZJ13" s="12"/>
      <c r="ZK13" s="12"/>
      <c r="ZL13" s="12"/>
      <c r="ZM13" s="12"/>
      <c r="ZN13" s="12"/>
      <c r="ZO13" s="12"/>
      <c r="ZP13" s="12"/>
      <c r="ZQ13" s="12"/>
      <c r="ZR13" s="12"/>
      <c r="ZS13" s="12"/>
      <c r="ZT13" s="12"/>
      <c r="ZU13" s="12"/>
      <c r="ZV13" s="12"/>
      <c r="ZW13" s="12"/>
      <c r="ZX13" s="12"/>
      <c r="ZY13" s="12"/>
      <c r="ZZ13" s="12"/>
      <c r="AAA13" s="12"/>
      <c r="AAB13" s="12"/>
      <c r="AAC13" s="12"/>
      <c r="AAD13" s="12"/>
      <c r="AAE13" s="12"/>
      <c r="AAF13" s="12"/>
      <c r="AAG13" s="12"/>
      <c r="AAH13" s="12"/>
      <c r="AAI13" s="12"/>
      <c r="AAJ13" s="12"/>
      <c r="AAK13" s="12"/>
      <c r="AAL13" s="12"/>
      <c r="AAM13" s="12"/>
      <c r="AAN13" s="12"/>
      <c r="AAO13" s="12"/>
      <c r="AAP13" s="12"/>
      <c r="AAQ13" s="12"/>
      <c r="AAR13" s="12"/>
      <c r="AAS13" s="12"/>
      <c r="AAT13" s="12"/>
      <c r="AAU13" s="12"/>
      <c r="AAV13" s="12"/>
      <c r="AAW13" s="12"/>
      <c r="AAX13" s="12"/>
      <c r="AAY13" s="12"/>
      <c r="AAZ13" s="12"/>
      <c r="ABA13" s="12"/>
      <c r="ABB13" s="12"/>
      <c r="ABC13" s="12"/>
      <c r="ABD13" s="12"/>
      <c r="ABE13" s="12"/>
      <c r="ABF13" s="12"/>
      <c r="ABG13" s="12"/>
      <c r="ABH13" s="12"/>
      <c r="ABI13" s="12"/>
      <c r="ABJ13" s="12"/>
      <c r="ABK13" s="12"/>
      <c r="ABL13" s="12"/>
      <c r="ABM13" s="12"/>
      <c r="ABN13" s="12"/>
      <c r="ABO13" s="12"/>
      <c r="ABP13" s="12"/>
      <c r="ABQ13" s="12"/>
      <c r="ABR13" s="12"/>
      <c r="ABS13" s="12"/>
      <c r="ABT13" s="12"/>
      <c r="ABU13" s="12"/>
      <c r="ABV13" s="12"/>
      <c r="ABW13" s="12"/>
      <c r="ABX13" s="12"/>
      <c r="ABY13" s="12"/>
      <c r="ABZ13" s="12"/>
      <c r="ACA13" s="12"/>
      <c r="ACB13" s="12"/>
      <c r="ACC13" s="12"/>
      <c r="ACD13" s="12"/>
      <c r="ACE13" s="12"/>
      <c r="ACF13" s="12"/>
      <c r="ACG13" s="12"/>
      <c r="ACH13" s="12"/>
      <c r="ACI13" s="12"/>
      <c r="ACJ13" s="12"/>
      <c r="ACK13" s="12"/>
      <c r="ACL13" s="12"/>
      <c r="ACM13" s="12"/>
      <c r="ACN13" s="12"/>
      <c r="ACO13" s="12"/>
      <c r="ACP13" s="12"/>
      <c r="ACQ13" s="12"/>
      <c r="ACR13" s="12"/>
      <c r="ACS13" s="12"/>
      <c r="ACT13" s="12"/>
      <c r="ACU13" s="12"/>
      <c r="ACV13" s="12"/>
      <c r="ACW13" s="12"/>
      <c r="ACX13" s="12"/>
      <c r="ACY13" s="12"/>
      <c r="ACZ13" s="12"/>
      <c r="ADA13" s="12"/>
      <c r="ADB13" s="12"/>
      <c r="ADC13" s="12"/>
      <c r="ADD13" s="12"/>
      <c r="ADE13" s="12"/>
      <c r="ADF13" s="12"/>
      <c r="ADG13" s="12"/>
      <c r="ADH13" s="12"/>
      <c r="ADI13" s="12"/>
      <c r="ADJ13" s="12"/>
      <c r="ADK13" s="12"/>
      <c r="ADL13" s="12"/>
      <c r="ADM13" s="12"/>
      <c r="ADN13" s="12"/>
      <c r="ADO13" s="12"/>
      <c r="ADP13" s="12"/>
      <c r="ADQ13" s="12"/>
      <c r="ADR13" s="12"/>
      <c r="ADS13" s="12"/>
      <c r="ADT13" s="12"/>
      <c r="ADU13" s="12"/>
      <c r="ADV13" s="12"/>
      <c r="ADW13" s="12"/>
      <c r="ADX13" s="12"/>
      <c r="ADY13" s="12"/>
      <c r="ADZ13" s="12"/>
      <c r="AEA13" s="12"/>
      <c r="AEB13" s="12"/>
      <c r="AEC13" s="12"/>
      <c r="AED13" s="12"/>
      <c r="AEE13" s="12"/>
      <c r="AEF13" s="12"/>
      <c r="AEG13" s="12"/>
      <c r="AEH13" s="12"/>
      <c r="AEI13" s="12"/>
      <c r="AEJ13" s="12"/>
      <c r="AEK13" s="12"/>
      <c r="AEL13" s="12"/>
      <c r="AEM13" s="12"/>
      <c r="AEN13" s="12"/>
      <c r="AEO13" s="12"/>
      <c r="AEP13" s="12"/>
      <c r="AEQ13" s="12"/>
      <c r="AER13" s="12"/>
      <c r="AES13" s="12"/>
      <c r="AET13" s="12"/>
      <c r="AEU13" s="12"/>
      <c r="AEV13" s="12"/>
      <c r="AEW13" s="12"/>
      <c r="AEX13" s="12"/>
      <c r="AEY13" s="12"/>
      <c r="AEZ13" s="12"/>
      <c r="AFA13" s="12"/>
      <c r="AFB13" s="12"/>
      <c r="AFC13" s="12"/>
      <c r="AFD13" s="12"/>
      <c r="AFE13" s="12"/>
      <c r="AFF13" s="12"/>
      <c r="AFG13" s="12"/>
      <c r="AFH13" s="12"/>
      <c r="AFI13" s="12"/>
      <c r="AFJ13" s="12"/>
      <c r="AFK13" s="12"/>
      <c r="AFL13" s="12"/>
      <c r="AFM13" s="12"/>
      <c r="AFN13" s="12"/>
      <c r="AFO13" s="12"/>
      <c r="AFP13" s="12"/>
      <c r="AFQ13" s="12"/>
      <c r="AFR13" s="12"/>
      <c r="AFS13" s="12"/>
      <c r="AFT13" s="12"/>
      <c r="AFU13" s="12"/>
      <c r="AFV13" s="12"/>
      <c r="AFW13" s="12"/>
      <c r="AFX13" s="12"/>
      <c r="AFY13" s="12"/>
      <c r="AFZ13" s="12"/>
      <c r="AGA13" s="12"/>
      <c r="AGB13" s="12"/>
      <c r="AGC13" s="12"/>
      <c r="AGD13" s="12"/>
      <c r="AGE13" s="12"/>
      <c r="AGF13" s="12"/>
      <c r="AGG13" s="12"/>
      <c r="AGH13" s="12"/>
      <c r="AGI13" s="12"/>
      <c r="AGJ13" s="12"/>
      <c r="AGK13" s="12"/>
      <c r="AGL13" s="12"/>
      <c r="AGM13" s="12"/>
      <c r="AGN13" s="12"/>
      <c r="AGO13" s="12"/>
      <c r="AGP13" s="12"/>
      <c r="AGQ13" s="12"/>
      <c r="AGR13" s="12"/>
      <c r="AGS13" s="12"/>
      <c r="AGT13" s="12"/>
      <c r="AGU13" s="12"/>
      <c r="AGV13" s="12"/>
      <c r="AGW13" s="12"/>
      <c r="AGX13" s="12"/>
      <c r="AGY13" s="12"/>
      <c r="AGZ13" s="12"/>
      <c r="AHA13" s="12"/>
      <c r="AHB13" s="12"/>
      <c r="AHC13" s="12"/>
      <c r="AHD13" s="12"/>
      <c r="AHE13" s="12"/>
      <c r="AHF13" s="12"/>
      <c r="AHG13" s="12"/>
      <c r="AHH13" s="12"/>
      <c r="AHI13" s="12"/>
      <c r="AHJ13" s="12"/>
      <c r="AHK13" s="12"/>
      <c r="AHL13" s="12"/>
      <c r="AHM13" s="12"/>
      <c r="AHN13" s="12"/>
      <c r="AHO13" s="12"/>
      <c r="AHP13" s="12"/>
      <c r="AHQ13" s="12"/>
      <c r="AHR13" s="12"/>
      <c r="AHS13" s="12"/>
      <c r="AHT13" s="12"/>
      <c r="AHU13" s="12"/>
      <c r="AHV13" s="12"/>
      <c r="AHW13" s="12"/>
      <c r="AHX13" s="12"/>
      <c r="AHY13" s="12"/>
      <c r="AHZ13" s="12"/>
      <c r="AIA13" s="12"/>
      <c r="AIB13" s="12"/>
      <c r="AIC13" s="12"/>
      <c r="AID13" s="12"/>
      <c r="AIE13" s="12"/>
      <c r="AIF13" s="12"/>
      <c r="AIG13" s="12"/>
      <c r="AIH13" s="12"/>
      <c r="AII13" s="12"/>
      <c r="AIJ13" s="12"/>
      <c r="AIK13" s="12"/>
      <c r="AIL13" s="12"/>
      <c r="AIM13" s="12"/>
      <c r="AIN13" s="12"/>
      <c r="AIO13" s="12"/>
      <c r="AIP13" s="12"/>
      <c r="AIQ13" s="12"/>
      <c r="AIR13" s="12"/>
      <c r="AIS13" s="12"/>
      <c r="AIT13" s="12"/>
      <c r="AIU13" s="12"/>
      <c r="AIV13" s="12"/>
      <c r="AIW13" s="12"/>
      <c r="AIX13" s="12"/>
      <c r="AIY13" s="12"/>
      <c r="AIZ13" s="12"/>
      <c r="AJA13" s="12"/>
      <c r="AJB13" s="12"/>
      <c r="AJC13" s="12"/>
      <c r="AJD13" s="12"/>
      <c r="AJE13" s="12"/>
      <c r="AJF13" s="12"/>
      <c r="AJG13" s="12"/>
      <c r="AJH13" s="12"/>
      <c r="AJI13" s="12"/>
      <c r="AJJ13" s="12"/>
      <c r="AJK13" s="12"/>
      <c r="AJL13" s="12"/>
      <c r="AJM13" s="12"/>
      <c r="AJN13" s="12"/>
      <c r="AJO13" s="12"/>
      <c r="AJP13" s="12"/>
      <c r="AJQ13" s="12"/>
      <c r="AJR13" s="12"/>
      <c r="AJS13" s="12"/>
      <c r="AJT13" s="12"/>
      <c r="AJU13" s="12"/>
      <c r="AJV13" s="12"/>
      <c r="AJW13" s="12"/>
      <c r="AJX13" s="12"/>
      <c r="AJY13" s="12"/>
      <c r="AJZ13" s="12"/>
      <c r="AKA13" s="12"/>
      <c r="AKB13" s="12"/>
      <c r="AKC13" s="12"/>
      <c r="AKD13" s="12"/>
      <c r="AKE13" s="12"/>
      <c r="AKF13" s="12"/>
      <c r="AKG13" s="12"/>
      <c r="AKH13" s="12"/>
      <c r="AKI13" s="12"/>
      <c r="AKJ13" s="12"/>
      <c r="AKK13" s="12"/>
      <c r="AKL13" s="12"/>
      <c r="AKM13" s="12"/>
      <c r="AKN13" s="12"/>
      <c r="AKO13" s="12"/>
      <c r="AKP13" s="12"/>
      <c r="AKQ13" s="12"/>
      <c r="AKR13" s="12"/>
      <c r="AKS13" s="12"/>
      <c r="AKT13" s="12"/>
      <c r="AKU13" s="12"/>
      <c r="AKV13" s="12"/>
      <c r="AKW13" s="12"/>
      <c r="AKX13" s="12"/>
      <c r="AKY13" s="12"/>
      <c r="AKZ13" s="12"/>
      <c r="ALA13" s="12"/>
      <c r="ALB13" s="12"/>
      <c r="ALC13" s="12"/>
      <c r="ALD13" s="12"/>
      <c r="ALE13" s="12"/>
      <c r="ALF13" s="12"/>
      <c r="ALG13" s="12"/>
      <c r="ALH13" s="12"/>
      <c r="ALI13" s="12"/>
      <c r="ALJ13" s="12"/>
      <c r="ALK13" s="12"/>
      <c r="ALL13" s="12"/>
      <c r="ALM13" s="12"/>
      <c r="ALN13" s="12"/>
      <c r="ALO13" s="12"/>
      <c r="ALP13" s="12"/>
      <c r="ALQ13" s="12"/>
      <c r="ALR13" s="12"/>
      <c r="ALS13" s="12"/>
      <c r="ALT13" s="12"/>
      <c r="ALU13" s="12"/>
      <c r="ALV13" s="12"/>
      <c r="ALW13" s="12"/>
      <c r="ALX13" s="12"/>
      <c r="ALY13" s="12"/>
      <c r="ALZ13" s="12"/>
      <c r="AMA13" s="12"/>
      <c r="AMB13" s="12"/>
      <c r="AMC13" s="12"/>
      <c r="AMD13" s="12"/>
      <c r="AME13" s="12"/>
      <c r="AMF13" s="12"/>
      <c r="AMG13" s="12"/>
      <c r="AMH13" s="12"/>
      <c r="AMI13" s="12"/>
      <c r="AMJ13" s="12"/>
      <c r="AMK13" s="12"/>
      <c r="AML13" s="12"/>
      <c r="AMM13" s="12"/>
      <c r="AMN13" s="12"/>
      <c r="AMO13" s="12"/>
      <c r="AMP13" s="12"/>
      <c r="AMQ13" s="12"/>
      <c r="AMR13" s="12"/>
      <c r="AMS13" s="12"/>
      <c r="AMT13" s="12"/>
      <c r="AMU13" s="12"/>
      <c r="AMV13" s="12"/>
      <c r="AMW13" s="12"/>
      <c r="AMX13" s="12"/>
      <c r="AMY13" s="12"/>
      <c r="AMZ13" s="12"/>
      <c r="ANA13" s="12"/>
      <c r="ANB13" s="12"/>
      <c r="ANC13" s="12"/>
      <c r="AND13" s="12"/>
      <c r="ANE13" s="12"/>
      <c r="ANF13" s="12"/>
      <c r="ANG13" s="12"/>
      <c r="ANH13" s="12"/>
      <c r="ANI13" s="12"/>
      <c r="ANJ13" s="12"/>
      <c r="ANK13" s="12"/>
      <c r="ANL13" s="12"/>
      <c r="ANM13" s="12"/>
      <c r="ANN13" s="12"/>
      <c r="ANO13" s="12"/>
      <c r="ANP13" s="12"/>
      <c r="ANQ13" s="12"/>
      <c r="ANR13" s="12"/>
      <c r="ANS13" s="12"/>
      <c r="ANT13" s="12"/>
      <c r="ANU13" s="12"/>
      <c r="ANV13" s="12"/>
      <c r="ANW13" s="12"/>
      <c r="ANX13" s="12"/>
      <c r="ANY13" s="12"/>
      <c r="ANZ13" s="12"/>
      <c r="AOA13" s="12"/>
      <c r="AOB13" s="12"/>
      <c r="AOC13" s="12"/>
      <c r="AOD13" s="12"/>
      <c r="AOE13" s="12"/>
      <c r="AOF13" s="12"/>
      <c r="AOG13" s="12"/>
      <c r="AOH13" s="12"/>
      <c r="AOI13" s="12"/>
      <c r="AOJ13" s="12"/>
      <c r="AOK13" s="12"/>
      <c r="AOL13" s="12"/>
      <c r="AOM13" s="12"/>
      <c r="AON13" s="12"/>
      <c r="AOO13" s="12"/>
      <c r="AOP13" s="12"/>
      <c r="AOQ13" s="12"/>
      <c r="AOR13" s="12"/>
      <c r="AOS13" s="12"/>
      <c r="AOT13" s="12"/>
      <c r="AOU13" s="12"/>
      <c r="AOV13" s="12"/>
      <c r="AOW13" s="12"/>
      <c r="AOX13" s="12"/>
      <c r="AOY13" s="12"/>
      <c r="AOZ13" s="12"/>
      <c r="APA13" s="12"/>
      <c r="APB13" s="12"/>
      <c r="APC13" s="12"/>
      <c r="APD13" s="12"/>
      <c r="APE13" s="12"/>
      <c r="APF13" s="12"/>
      <c r="APG13" s="12"/>
      <c r="APH13" s="12"/>
      <c r="API13" s="12"/>
      <c r="APJ13" s="12"/>
      <c r="APK13" s="12"/>
      <c r="APL13" s="12"/>
      <c r="APM13" s="12"/>
      <c r="APN13" s="12"/>
      <c r="APO13" s="12"/>
      <c r="APP13" s="12"/>
      <c r="APQ13" s="12"/>
      <c r="APR13" s="12"/>
      <c r="APS13" s="12"/>
      <c r="APT13" s="12"/>
      <c r="APU13" s="12"/>
      <c r="APV13" s="12"/>
      <c r="APW13" s="12"/>
      <c r="APX13" s="12"/>
      <c r="APY13" s="12"/>
      <c r="APZ13" s="12"/>
      <c r="AQA13" s="12"/>
      <c r="AQB13" s="12"/>
      <c r="AQC13" s="12"/>
      <c r="AQD13" s="12"/>
      <c r="AQE13" s="12"/>
      <c r="AQF13" s="12"/>
      <c r="AQG13" s="12"/>
      <c r="AQH13" s="12"/>
      <c r="AQI13" s="12"/>
      <c r="AQJ13" s="12"/>
      <c r="AQK13" s="12"/>
      <c r="AQL13" s="12"/>
      <c r="AQM13" s="12"/>
      <c r="AQN13" s="12"/>
      <c r="AQO13" s="12"/>
      <c r="AQP13" s="12"/>
      <c r="AQQ13" s="12"/>
      <c r="AQR13" s="12"/>
      <c r="AQS13" s="12"/>
      <c r="AQT13" s="12"/>
      <c r="AQU13" s="12"/>
      <c r="AQV13" s="12"/>
      <c r="AQW13" s="12"/>
      <c r="AQX13" s="12"/>
      <c r="AQY13" s="12"/>
      <c r="AQZ13" s="12"/>
      <c r="ARA13" s="12"/>
      <c r="ARB13" s="12"/>
      <c r="ARC13" s="12"/>
      <c r="ARD13" s="12"/>
      <c r="ARE13" s="12"/>
      <c r="ARF13" s="12"/>
      <c r="ARG13" s="12"/>
      <c r="ARH13" s="12"/>
      <c r="ARI13" s="12"/>
      <c r="ARJ13" s="12"/>
      <c r="ARK13" s="12"/>
      <c r="ARL13" s="12"/>
      <c r="ARM13" s="12"/>
      <c r="ARN13" s="12"/>
      <c r="ARO13" s="12"/>
      <c r="ARP13" s="12"/>
      <c r="ARQ13" s="12"/>
      <c r="ARR13" s="12"/>
      <c r="ARS13" s="12"/>
      <c r="ART13" s="12"/>
      <c r="ARU13" s="12"/>
      <c r="ARV13" s="12"/>
      <c r="ARW13" s="12"/>
      <c r="ARX13" s="12"/>
      <c r="ARY13" s="12"/>
      <c r="ARZ13" s="12"/>
      <c r="ASA13" s="12"/>
      <c r="ASB13" s="12"/>
      <c r="ASC13" s="12"/>
      <c r="ASD13" s="12"/>
      <c r="ASE13" s="12"/>
      <c r="ASF13" s="12"/>
      <c r="ASG13" s="12"/>
      <c r="ASH13" s="12"/>
      <c r="ASI13" s="12"/>
      <c r="ASJ13" s="12"/>
      <c r="ASK13" s="12"/>
      <c r="ASL13" s="12"/>
      <c r="ASM13" s="12"/>
      <c r="ASN13" s="12"/>
      <c r="ASO13" s="12"/>
      <c r="ASP13" s="12"/>
      <c r="ASQ13" s="12"/>
      <c r="ASR13" s="12"/>
      <c r="ASS13" s="12"/>
      <c r="AST13" s="12"/>
      <c r="ASU13" s="12"/>
      <c r="ASV13" s="12"/>
      <c r="ASW13" s="12"/>
      <c r="ASX13" s="12"/>
      <c r="ASY13" s="12"/>
      <c r="ASZ13" s="12"/>
      <c r="ATA13" s="12"/>
      <c r="ATB13" s="12"/>
      <c r="ATC13" s="12"/>
      <c r="ATD13" s="12"/>
      <c r="ATE13" s="12"/>
      <c r="ATF13" s="12"/>
      <c r="ATG13" s="12"/>
      <c r="ATH13" s="12"/>
      <c r="ATI13" s="12"/>
      <c r="ATJ13" s="12"/>
      <c r="ATK13" s="12"/>
      <c r="ATL13" s="12"/>
      <c r="ATM13" s="12"/>
      <c r="ATN13" s="12"/>
      <c r="ATO13" s="12"/>
      <c r="ATP13" s="12"/>
      <c r="ATQ13" s="12"/>
      <c r="ATR13" s="12"/>
      <c r="ATS13" s="12"/>
      <c r="ATT13" s="12"/>
      <c r="ATU13" s="12"/>
      <c r="ATV13" s="12"/>
      <c r="ATW13" s="12"/>
      <c r="ATX13" s="12"/>
      <c r="ATY13" s="12"/>
      <c r="ATZ13" s="12"/>
      <c r="AUA13" s="12"/>
      <c r="AUB13" s="12"/>
      <c r="AUC13" s="12"/>
      <c r="AUD13" s="12"/>
      <c r="AUE13" s="12"/>
      <c r="AUF13" s="12"/>
      <c r="AUG13" s="12"/>
      <c r="AUH13" s="12"/>
      <c r="AUI13" s="12"/>
      <c r="AUJ13" s="12"/>
      <c r="AUK13" s="12"/>
      <c r="AUL13" s="12"/>
      <c r="AUM13" s="12"/>
      <c r="AUN13" s="12"/>
      <c r="AUO13" s="12"/>
      <c r="AUP13" s="12"/>
      <c r="AUQ13" s="12"/>
      <c r="AUR13" s="12"/>
      <c r="AUS13" s="12"/>
      <c r="AUT13" s="12"/>
      <c r="AUU13" s="12"/>
      <c r="AUV13" s="12"/>
      <c r="AUW13" s="12"/>
      <c r="AUX13" s="12"/>
      <c r="AUY13" s="12"/>
      <c r="AUZ13" s="12"/>
      <c r="AVA13" s="12"/>
      <c r="AVB13" s="12"/>
      <c r="AVC13" s="12"/>
      <c r="AVD13" s="12"/>
      <c r="AVE13" s="12"/>
      <c r="AVF13" s="12"/>
      <c r="AVG13" s="12"/>
      <c r="AVH13" s="12"/>
      <c r="AVI13" s="12"/>
      <c r="AVJ13" s="12"/>
      <c r="AVK13" s="12"/>
      <c r="AVL13" s="12"/>
      <c r="AVM13" s="12"/>
      <c r="AVN13" s="12"/>
      <c r="AVO13" s="12"/>
      <c r="AVP13" s="12"/>
      <c r="AVQ13" s="12"/>
      <c r="AVR13" s="12"/>
      <c r="AVS13" s="12"/>
      <c r="AVT13" s="12"/>
      <c r="AVU13" s="12"/>
      <c r="AVV13" s="12"/>
      <c r="AVW13" s="12"/>
      <c r="AVX13" s="12"/>
      <c r="AVY13" s="12"/>
      <c r="AVZ13" s="12"/>
      <c r="AWA13" s="12"/>
      <c r="AWB13" s="12"/>
      <c r="AWC13" s="12"/>
      <c r="AWD13" s="12"/>
      <c r="AWE13" s="12"/>
      <c r="AWF13" s="12"/>
      <c r="AWG13" s="12"/>
      <c r="AWH13" s="12"/>
      <c r="AWI13" s="12"/>
      <c r="AWJ13" s="12"/>
      <c r="AWK13" s="12"/>
      <c r="AWL13" s="12"/>
      <c r="AWM13" s="12"/>
      <c r="AWN13" s="12"/>
      <c r="AWO13" s="12"/>
      <c r="AWP13" s="12"/>
      <c r="AWQ13" s="12"/>
      <c r="AWR13" s="12"/>
      <c r="AWS13" s="12"/>
      <c r="AWT13" s="12"/>
      <c r="AWU13" s="12"/>
      <c r="AWV13" s="12"/>
      <c r="AWW13" s="12"/>
      <c r="AWX13" s="12"/>
      <c r="AWY13" s="12"/>
      <c r="AWZ13" s="12"/>
      <c r="AXA13" s="12"/>
      <c r="AXB13" s="12"/>
      <c r="AXC13" s="12"/>
      <c r="AXD13" s="12"/>
      <c r="AXE13" s="12"/>
      <c r="AXF13" s="12"/>
      <c r="AXG13" s="12"/>
      <c r="AXH13" s="12"/>
      <c r="AXI13" s="12"/>
      <c r="AXJ13" s="12"/>
      <c r="AXK13" s="12"/>
      <c r="AXL13" s="12"/>
      <c r="AXM13" s="12"/>
      <c r="AXN13" s="12"/>
      <c r="AXO13" s="12"/>
      <c r="AXP13" s="12"/>
      <c r="AXQ13" s="12"/>
      <c r="AXR13" s="12"/>
      <c r="AXS13" s="12"/>
      <c r="AXT13" s="12"/>
      <c r="AXU13" s="12"/>
      <c r="AXV13" s="12"/>
      <c r="AXW13" s="12"/>
      <c r="AXX13" s="12"/>
      <c r="AXY13" s="12"/>
      <c r="AXZ13" s="12"/>
      <c r="AYA13" s="12"/>
      <c r="AYB13" s="12"/>
      <c r="AYC13" s="12"/>
      <c r="AYD13" s="12"/>
      <c r="AYE13" s="12"/>
      <c r="AYF13" s="12"/>
      <c r="AYG13" s="12"/>
      <c r="AYH13" s="12"/>
      <c r="AYI13" s="12"/>
      <c r="AYJ13" s="12"/>
      <c r="AYK13" s="12"/>
      <c r="AYL13" s="12"/>
      <c r="AYM13" s="12"/>
      <c r="AYN13" s="12"/>
      <c r="AYO13" s="12"/>
      <c r="AYP13" s="12"/>
      <c r="AYQ13" s="12"/>
      <c r="AYR13" s="12"/>
      <c r="AYS13" s="12"/>
      <c r="AYT13" s="12"/>
      <c r="AYU13" s="12"/>
      <c r="AYV13" s="12"/>
      <c r="AYW13" s="12"/>
      <c r="AYX13" s="12"/>
      <c r="AYY13" s="12"/>
      <c r="AYZ13" s="12"/>
      <c r="AZA13" s="12"/>
      <c r="AZB13" s="12"/>
      <c r="AZC13" s="12"/>
      <c r="AZD13" s="12"/>
      <c r="AZE13" s="12"/>
      <c r="AZF13" s="12"/>
      <c r="AZG13" s="12"/>
      <c r="AZH13" s="12"/>
      <c r="AZI13" s="12"/>
      <c r="AZJ13" s="12"/>
      <c r="AZK13" s="12"/>
      <c r="AZL13" s="12"/>
      <c r="AZM13" s="12"/>
      <c r="AZN13" s="12"/>
      <c r="AZO13" s="12"/>
      <c r="AZP13" s="12"/>
      <c r="AZQ13" s="12"/>
      <c r="AZR13" s="12"/>
      <c r="AZS13" s="12"/>
      <c r="AZT13" s="12"/>
      <c r="AZU13" s="12"/>
      <c r="AZV13" s="12"/>
      <c r="AZW13" s="12"/>
      <c r="AZX13" s="12"/>
      <c r="AZY13" s="12"/>
      <c r="AZZ13" s="12"/>
      <c r="BAA13" s="12"/>
      <c r="BAB13" s="12"/>
      <c r="BAC13" s="12"/>
      <c r="BAD13" s="12"/>
      <c r="BAE13" s="12"/>
      <c r="BAF13" s="12"/>
      <c r="BAG13" s="12"/>
      <c r="BAH13" s="12"/>
      <c r="BAI13" s="12"/>
      <c r="BAJ13" s="12"/>
      <c r="BAK13" s="12"/>
      <c r="BAL13" s="12"/>
      <c r="BAM13" s="12"/>
      <c r="BAN13" s="12"/>
      <c r="BAO13" s="12"/>
      <c r="BAP13" s="12"/>
      <c r="BAQ13" s="12"/>
      <c r="BAR13" s="12"/>
      <c r="BAS13" s="12"/>
      <c r="BAT13" s="12"/>
      <c r="BAU13" s="12"/>
      <c r="BAV13" s="12"/>
      <c r="BAW13" s="12"/>
      <c r="BAX13" s="12"/>
      <c r="BAY13" s="12"/>
      <c r="BAZ13" s="12"/>
      <c r="BBA13" s="12"/>
      <c r="BBB13" s="12"/>
      <c r="BBC13" s="12"/>
      <c r="BBD13" s="12"/>
      <c r="BBE13" s="12"/>
      <c r="BBF13" s="12"/>
      <c r="BBG13" s="12"/>
      <c r="BBH13" s="12"/>
      <c r="BBI13" s="12"/>
      <c r="BBJ13" s="12"/>
      <c r="BBK13" s="12"/>
      <c r="BBL13" s="12"/>
      <c r="BBM13" s="12"/>
      <c r="BBN13" s="12"/>
      <c r="BBO13" s="12"/>
      <c r="BBP13" s="12"/>
      <c r="BBQ13" s="12"/>
      <c r="BBR13" s="12"/>
      <c r="BBS13" s="12"/>
      <c r="BBT13" s="12"/>
      <c r="BBU13" s="12"/>
      <c r="BBV13" s="12"/>
      <c r="BBW13" s="12"/>
      <c r="BBX13" s="12"/>
      <c r="BBY13" s="12"/>
      <c r="BBZ13" s="12"/>
      <c r="BCA13" s="12"/>
      <c r="BCB13" s="12"/>
      <c r="BCC13" s="12"/>
      <c r="BCD13" s="12"/>
      <c r="BCE13" s="12"/>
      <c r="BCF13" s="12"/>
      <c r="BCG13" s="12"/>
      <c r="BCH13" s="12"/>
      <c r="BCI13" s="12"/>
      <c r="BCJ13" s="12"/>
      <c r="BCK13" s="12"/>
      <c r="BCL13" s="12"/>
      <c r="BCM13" s="12"/>
      <c r="BCN13" s="12"/>
      <c r="BCO13" s="12"/>
      <c r="BCP13" s="12"/>
      <c r="BCQ13" s="12"/>
      <c r="BCR13" s="12"/>
      <c r="BCS13" s="12"/>
      <c r="BCT13" s="12"/>
      <c r="BCU13" s="12"/>
      <c r="BCV13" s="12"/>
      <c r="BCW13" s="12"/>
      <c r="BCX13" s="12"/>
      <c r="BCY13" s="12"/>
      <c r="BCZ13" s="12"/>
      <c r="BDA13" s="12"/>
      <c r="BDB13" s="12"/>
      <c r="BDC13" s="12"/>
      <c r="BDD13" s="12"/>
      <c r="BDE13" s="12"/>
      <c r="BDF13" s="12"/>
      <c r="BDG13" s="12"/>
      <c r="BDH13" s="12"/>
      <c r="BDI13" s="12"/>
      <c r="BDJ13" s="12"/>
      <c r="BDK13" s="12"/>
      <c r="BDL13" s="12"/>
      <c r="BDM13" s="12"/>
      <c r="BDN13" s="12"/>
      <c r="BDO13" s="12"/>
      <c r="BDP13" s="12"/>
      <c r="BDQ13" s="12"/>
      <c r="BDR13" s="12"/>
      <c r="BDS13" s="12"/>
      <c r="BDT13" s="12"/>
      <c r="BDU13" s="12"/>
      <c r="BDV13" s="12"/>
      <c r="BDW13" s="12"/>
      <c r="BDX13" s="12"/>
      <c r="BDY13" s="12"/>
      <c r="BDZ13" s="12"/>
      <c r="BEA13" s="12"/>
      <c r="BEB13" s="12"/>
      <c r="BEC13" s="12"/>
      <c r="BED13" s="12"/>
      <c r="BEE13" s="12"/>
      <c r="BEF13" s="12"/>
      <c r="BEG13" s="12"/>
      <c r="BEH13" s="12"/>
      <c r="BEI13" s="12"/>
      <c r="BEJ13" s="12"/>
      <c r="BEK13" s="12"/>
      <c r="BEL13" s="12"/>
      <c r="BEM13" s="12"/>
      <c r="BEN13" s="12"/>
      <c r="BEO13" s="12"/>
      <c r="BEP13" s="12"/>
      <c r="BEQ13" s="12"/>
      <c r="BER13" s="12"/>
      <c r="BES13" s="12"/>
      <c r="BET13" s="12"/>
      <c r="BEU13" s="12"/>
      <c r="BEV13" s="12"/>
      <c r="BEW13" s="12"/>
      <c r="BEX13" s="12"/>
      <c r="BEY13" s="12"/>
      <c r="BEZ13" s="12"/>
      <c r="BFA13" s="12"/>
      <c r="BFB13" s="12"/>
      <c r="BFC13" s="12"/>
      <c r="BFD13" s="12"/>
      <c r="BFE13" s="12"/>
      <c r="BFF13" s="12"/>
      <c r="BFG13" s="12"/>
      <c r="BFH13" s="12"/>
      <c r="BFI13" s="12"/>
      <c r="BFJ13" s="12"/>
      <c r="BFK13" s="12"/>
      <c r="BFL13" s="12"/>
      <c r="BFM13" s="12"/>
      <c r="BFN13" s="12"/>
      <c r="BFO13" s="12"/>
      <c r="BFP13" s="12"/>
      <c r="BFQ13" s="12"/>
      <c r="BFR13" s="12"/>
      <c r="BFS13" s="12"/>
      <c r="BFT13" s="12"/>
      <c r="BFU13" s="12"/>
      <c r="BFV13" s="12"/>
      <c r="BFW13" s="12"/>
      <c r="BFX13" s="12"/>
      <c r="BFY13" s="12"/>
      <c r="BFZ13" s="12"/>
      <c r="BGA13" s="12"/>
      <c r="BGB13" s="12"/>
      <c r="BGC13" s="12"/>
      <c r="BGD13" s="12"/>
      <c r="BGE13" s="12"/>
      <c r="BGF13" s="12"/>
      <c r="BGG13" s="12"/>
      <c r="BGH13" s="12"/>
      <c r="BGI13" s="12"/>
      <c r="BGJ13" s="12"/>
      <c r="BGK13" s="12"/>
      <c r="BGL13" s="12"/>
      <c r="BGM13" s="12"/>
      <c r="BGN13" s="12"/>
      <c r="BGO13" s="12"/>
      <c r="BGP13" s="12"/>
      <c r="BGQ13" s="12"/>
      <c r="BGR13" s="12"/>
      <c r="BGS13" s="12"/>
      <c r="BGT13" s="12"/>
      <c r="BGU13" s="12"/>
      <c r="BGV13" s="12"/>
      <c r="BGW13" s="12"/>
      <c r="BGX13" s="12"/>
      <c r="BGY13" s="12"/>
      <c r="BGZ13" s="12"/>
      <c r="BHA13" s="12"/>
      <c r="BHB13" s="12"/>
      <c r="BHC13" s="12"/>
      <c r="BHD13" s="12"/>
      <c r="BHE13" s="12"/>
      <c r="BHF13" s="12"/>
      <c r="BHG13" s="12"/>
      <c r="BHH13" s="12"/>
      <c r="BHI13" s="12"/>
      <c r="BHJ13" s="12"/>
      <c r="BHK13" s="12"/>
      <c r="BHL13" s="12"/>
      <c r="BHM13" s="12"/>
      <c r="BHN13" s="12"/>
      <c r="BHO13" s="12"/>
      <c r="BHP13" s="12"/>
      <c r="BHQ13" s="12"/>
      <c r="BHR13" s="12"/>
      <c r="BHS13" s="12"/>
      <c r="BHT13" s="12"/>
      <c r="BHU13" s="12"/>
      <c r="BHV13" s="12"/>
      <c r="BHW13" s="12"/>
      <c r="BHX13" s="12"/>
      <c r="BHY13" s="12"/>
      <c r="BHZ13" s="12"/>
      <c r="BIA13" s="12"/>
      <c r="BIB13" s="12"/>
      <c r="BIC13" s="12"/>
      <c r="BID13" s="12"/>
      <c r="BIE13" s="12"/>
      <c r="BIF13" s="12"/>
      <c r="BIG13" s="12"/>
      <c r="BIH13" s="12"/>
      <c r="BII13" s="12"/>
      <c r="BIJ13" s="12"/>
      <c r="BIK13" s="12"/>
      <c r="BIL13" s="12"/>
      <c r="BIM13" s="12"/>
      <c r="BIN13" s="12"/>
      <c r="BIO13" s="12"/>
      <c r="BIP13" s="12"/>
      <c r="BIQ13" s="12"/>
      <c r="BIR13" s="12"/>
      <c r="BIS13" s="12"/>
      <c r="BIT13" s="12"/>
      <c r="BIU13" s="12"/>
      <c r="BIV13" s="12"/>
      <c r="BIW13" s="12"/>
      <c r="BIX13" s="12"/>
      <c r="BIY13" s="12"/>
      <c r="BIZ13" s="12"/>
      <c r="BJA13" s="12"/>
      <c r="BJB13" s="12"/>
      <c r="BJC13" s="12"/>
      <c r="BJD13" s="12"/>
      <c r="BJE13" s="12"/>
      <c r="BJF13" s="12"/>
      <c r="BJG13" s="12"/>
      <c r="BJH13" s="12"/>
      <c r="BJI13" s="12"/>
      <c r="BJJ13" s="12"/>
      <c r="BJK13" s="12"/>
      <c r="BJL13" s="12"/>
      <c r="BJM13" s="12"/>
      <c r="BJN13" s="12"/>
      <c r="BJO13" s="12"/>
      <c r="BJP13" s="12"/>
      <c r="BJQ13" s="12"/>
      <c r="BJR13" s="12"/>
      <c r="BJS13" s="12"/>
      <c r="BJT13" s="12"/>
      <c r="BJU13" s="12"/>
      <c r="BJV13" s="12"/>
      <c r="BJW13" s="12"/>
      <c r="BJX13" s="12"/>
      <c r="BJY13" s="12"/>
      <c r="BJZ13" s="12"/>
      <c r="BKA13" s="12"/>
      <c r="BKB13" s="12"/>
      <c r="BKC13" s="12"/>
      <c r="BKD13" s="12"/>
      <c r="BKE13" s="12"/>
      <c r="BKF13" s="12"/>
      <c r="BKG13" s="12"/>
      <c r="BKH13" s="12"/>
      <c r="BKI13" s="12"/>
      <c r="BKJ13" s="12"/>
      <c r="BKK13" s="12"/>
      <c r="BKL13" s="12"/>
      <c r="BKM13" s="12"/>
      <c r="BKN13" s="12"/>
      <c r="BKO13" s="12"/>
      <c r="BKP13" s="12"/>
      <c r="BKQ13" s="12"/>
      <c r="BKR13" s="12"/>
      <c r="BKS13" s="12"/>
      <c r="BKT13" s="12"/>
      <c r="BKU13" s="12"/>
      <c r="BKV13" s="12"/>
      <c r="BKW13" s="12"/>
      <c r="BKX13" s="12"/>
      <c r="BKY13" s="12"/>
      <c r="BKZ13" s="12"/>
      <c r="BLA13" s="12"/>
      <c r="BLB13" s="12"/>
      <c r="BLC13" s="12"/>
      <c r="BLD13" s="12"/>
      <c r="BLE13" s="12"/>
      <c r="BLF13" s="12"/>
      <c r="BLG13" s="12"/>
      <c r="BLH13" s="12"/>
      <c r="BLI13" s="12"/>
      <c r="BLJ13" s="12"/>
      <c r="BLK13" s="12"/>
      <c r="BLL13" s="12"/>
      <c r="BLM13" s="12"/>
      <c r="BLN13" s="12"/>
      <c r="BLO13" s="12"/>
      <c r="BLP13" s="12"/>
      <c r="BLQ13" s="12"/>
      <c r="BLR13" s="12"/>
      <c r="BLS13" s="12"/>
      <c r="BLT13" s="12"/>
      <c r="BLU13" s="12"/>
      <c r="BLV13" s="12"/>
      <c r="BLW13" s="12"/>
      <c r="BLX13" s="12"/>
      <c r="BLY13" s="12"/>
      <c r="BLZ13" s="12"/>
      <c r="BMA13" s="12"/>
      <c r="BMB13" s="12"/>
      <c r="BMC13" s="12"/>
      <c r="BMD13" s="12"/>
      <c r="BME13" s="12"/>
      <c r="BMF13" s="12"/>
      <c r="BMG13" s="12"/>
      <c r="BMH13" s="12"/>
      <c r="BMI13" s="12"/>
      <c r="BMJ13" s="12"/>
      <c r="BMK13" s="12"/>
      <c r="BML13" s="12"/>
      <c r="BMM13" s="12"/>
      <c r="BMN13" s="12"/>
      <c r="BMO13" s="12"/>
      <c r="BMP13" s="12"/>
      <c r="BMQ13" s="12"/>
      <c r="BMR13" s="12"/>
      <c r="BMS13" s="12"/>
      <c r="BMT13" s="12"/>
      <c r="BMU13" s="12"/>
      <c r="BMV13" s="12"/>
      <c r="BMW13" s="12"/>
      <c r="BMX13" s="12"/>
      <c r="BMY13" s="12"/>
      <c r="BMZ13" s="12"/>
      <c r="BNA13" s="12"/>
      <c r="BNB13" s="12"/>
      <c r="BNC13" s="12"/>
      <c r="BND13" s="12"/>
      <c r="BNE13" s="12"/>
      <c r="BNF13" s="12"/>
      <c r="BNG13" s="12"/>
      <c r="BNH13" s="12"/>
      <c r="BNI13" s="12"/>
      <c r="BNJ13" s="12"/>
      <c r="BNK13" s="12"/>
      <c r="BNL13" s="12"/>
      <c r="BNM13" s="12"/>
      <c r="BNN13" s="12"/>
      <c r="BNO13" s="12"/>
      <c r="BNP13" s="12"/>
      <c r="BNQ13" s="12"/>
      <c r="BNR13" s="12"/>
      <c r="BNS13" s="12"/>
      <c r="BNT13" s="12"/>
      <c r="BNU13" s="12"/>
      <c r="BNV13" s="12"/>
      <c r="BNW13" s="12"/>
      <c r="BNX13" s="12"/>
      <c r="BNY13" s="12"/>
      <c r="BNZ13" s="12"/>
      <c r="BOA13" s="12"/>
      <c r="BOB13" s="12"/>
      <c r="BOC13" s="12"/>
      <c r="BOD13" s="12"/>
      <c r="BOE13" s="12"/>
      <c r="BOF13" s="12"/>
      <c r="BOG13" s="12"/>
      <c r="BOH13" s="12"/>
      <c r="BOI13" s="12"/>
      <c r="BOJ13" s="12"/>
      <c r="BOK13" s="12"/>
      <c r="BOL13" s="12"/>
      <c r="BOM13" s="12"/>
      <c r="BON13" s="12"/>
      <c r="BOO13" s="12"/>
      <c r="BOP13" s="12"/>
      <c r="BOQ13" s="12"/>
      <c r="BOR13" s="12"/>
      <c r="BOS13" s="12"/>
      <c r="BOT13" s="12"/>
      <c r="BOU13" s="12"/>
      <c r="BOV13" s="12"/>
      <c r="BOW13" s="12"/>
      <c r="BOX13" s="12"/>
      <c r="BOY13" s="12"/>
      <c r="BOZ13" s="12"/>
      <c r="BPA13" s="12"/>
      <c r="BPB13" s="12"/>
      <c r="BPC13" s="12"/>
      <c r="BPD13" s="12"/>
      <c r="BPE13" s="12"/>
      <c r="BPF13" s="12"/>
      <c r="BPG13" s="12"/>
      <c r="BPH13" s="12"/>
      <c r="BPI13" s="12"/>
      <c r="BPJ13" s="12"/>
      <c r="BPK13" s="12"/>
      <c r="BPL13" s="12"/>
      <c r="BPM13" s="12"/>
      <c r="BPN13" s="12"/>
      <c r="BPO13" s="12"/>
      <c r="BPP13" s="12"/>
      <c r="BPQ13" s="12"/>
      <c r="BPR13" s="12"/>
      <c r="BPS13" s="12"/>
      <c r="BPT13" s="12"/>
      <c r="BPU13" s="12"/>
      <c r="BPV13" s="12"/>
      <c r="BPW13" s="12"/>
      <c r="BPX13" s="12"/>
      <c r="BPY13" s="12"/>
      <c r="BPZ13" s="12"/>
      <c r="BQA13" s="12"/>
      <c r="BQB13" s="12"/>
      <c r="BQC13" s="12"/>
      <c r="BQD13" s="12"/>
      <c r="BQE13" s="12"/>
      <c r="BQF13" s="12"/>
      <c r="BQG13" s="12"/>
      <c r="BQH13" s="12"/>
      <c r="BQI13" s="12"/>
      <c r="BQJ13" s="12"/>
      <c r="BQK13" s="12"/>
      <c r="BQL13" s="12"/>
      <c r="BQM13" s="12"/>
      <c r="BQN13" s="12"/>
      <c r="BQO13" s="12"/>
      <c r="BQP13" s="12"/>
      <c r="BQQ13" s="12"/>
      <c r="BQR13" s="12"/>
      <c r="BQS13" s="12"/>
      <c r="BQT13" s="12"/>
      <c r="BQU13" s="12"/>
      <c r="BQV13" s="12"/>
      <c r="BQW13" s="12"/>
      <c r="BQX13" s="12"/>
      <c r="BQY13" s="12"/>
      <c r="BQZ13" s="12"/>
      <c r="BRA13" s="12"/>
      <c r="BRB13" s="12"/>
      <c r="BRC13" s="12"/>
      <c r="BRD13" s="12"/>
      <c r="BRE13" s="12"/>
      <c r="BRF13" s="12"/>
      <c r="BRG13" s="12"/>
      <c r="BRH13" s="12"/>
      <c r="BRI13" s="12"/>
      <c r="BRJ13" s="12"/>
      <c r="BRK13" s="12"/>
      <c r="BRL13" s="12"/>
      <c r="BRM13" s="12"/>
      <c r="BRN13" s="12"/>
      <c r="BRO13" s="12"/>
      <c r="BRP13" s="12"/>
      <c r="BRQ13" s="12"/>
      <c r="BRR13" s="12"/>
      <c r="BRS13" s="12"/>
      <c r="BRT13" s="12"/>
      <c r="BRU13" s="12"/>
      <c r="BRV13" s="12"/>
      <c r="BRW13" s="12"/>
      <c r="BRX13" s="12"/>
      <c r="BRY13" s="12"/>
      <c r="BRZ13" s="12"/>
      <c r="BSA13" s="12"/>
      <c r="BSB13" s="12"/>
      <c r="BSC13" s="12"/>
      <c r="BSD13" s="12"/>
      <c r="BSE13" s="12"/>
      <c r="BSF13" s="12"/>
      <c r="BSG13" s="12"/>
      <c r="BSH13" s="12"/>
      <c r="BSI13" s="12"/>
      <c r="BSJ13" s="12"/>
      <c r="BSK13" s="12"/>
      <c r="BSL13" s="12"/>
      <c r="BSM13" s="12"/>
      <c r="BSN13" s="12"/>
      <c r="BSO13" s="12"/>
      <c r="BSP13" s="12"/>
      <c r="BSQ13" s="12"/>
      <c r="BSR13" s="12"/>
      <c r="BSS13" s="12"/>
      <c r="BST13" s="12"/>
      <c r="BSU13" s="12"/>
      <c r="BSV13" s="12"/>
      <c r="BSW13" s="12"/>
      <c r="BSX13" s="12"/>
      <c r="BSY13" s="12"/>
      <c r="BSZ13" s="12"/>
      <c r="BTA13" s="12"/>
      <c r="BTB13" s="12"/>
      <c r="BTC13" s="12"/>
      <c r="BTD13" s="12"/>
      <c r="BTE13" s="12"/>
      <c r="BTF13" s="12"/>
      <c r="BTG13" s="12"/>
      <c r="BTH13" s="12"/>
      <c r="BTI13" s="12"/>
      <c r="BTJ13" s="12"/>
      <c r="BTK13" s="12"/>
      <c r="BTL13" s="12"/>
      <c r="BTM13" s="12"/>
      <c r="BTN13" s="12"/>
      <c r="BTO13" s="12"/>
      <c r="BTP13" s="12"/>
      <c r="BTQ13" s="12"/>
      <c r="BTR13" s="12"/>
      <c r="BTS13" s="12"/>
      <c r="BTT13" s="12"/>
      <c r="BTU13" s="12"/>
      <c r="BTV13" s="12"/>
      <c r="BTW13" s="12"/>
      <c r="BTX13" s="12"/>
      <c r="BTY13" s="12"/>
      <c r="BTZ13" s="12"/>
      <c r="BUA13" s="12"/>
      <c r="BUB13" s="12"/>
      <c r="BUC13" s="12"/>
      <c r="BUD13" s="12"/>
      <c r="BUE13" s="12"/>
      <c r="BUF13" s="12"/>
      <c r="BUG13" s="12"/>
      <c r="BUH13" s="12"/>
      <c r="BUI13" s="12"/>
      <c r="BUJ13" s="12"/>
      <c r="BUK13" s="12"/>
      <c r="BUL13" s="12"/>
      <c r="BUM13" s="12"/>
      <c r="BUN13" s="12"/>
      <c r="BUO13" s="12"/>
      <c r="BUP13" s="12"/>
      <c r="BUQ13" s="12"/>
      <c r="BUR13" s="12"/>
      <c r="BUS13" s="12"/>
      <c r="BUT13" s="12"/>
      <c r="BUU13" s="12"/>
      <c r="BUV13" s="12"/>
      <c r="BUW13" s="12"/>
      <c r="BUX13" s="12"/>
      <c r="BUY13" s="12"/>
      <c r="BUZ13" s="12"/>
      <c r="BVA13" s="12"/>
      <c r="BVB13" s="12"/>
      <c r="BVC13" s="12"/>
      <c r="BVD13" s="12"/>
      <c r="BVE13" s="12"/>
      <c r="BVF13" s="12"/>
      <c r="BVG13" s="12"/>
      <c r="BVH13" s="12"/>
      <c r="BVI13" s="12"/>
      <c r="BVJ13" s="12"/>
      <c r="BVK13" s="12"/>
      <c r="BVL13" s="12"/>
      <c r="BVM13" s="12"/>
      <c r="BVN13" s="12"/>
      <c r="BVO13" s="12"/>
      <c r="BVP13" s="12"/>
      <c r="BVQ13" s="12"/>
      <c r="BVR13" s="12"/>
      <c r="BVS13" s="12"/>
      <c r="BVT13" s="12"/>
      <c r="BVU13" s="12"/>
      <c r="BVV13" s="12"/>
      <c r="BVW13" s="12"/>
      <c r="BVX13" s="12"/>
      <c r="BVY13" s="12"/>
      <c r="BVZ13" s="12"/>
      <c r="BWA13" s="12"/>
      <c r="BWB13" s="12"/>
      <c r="BWC13" s="12"/>
      <c r="BWD13" s="12"/>
      <c r="BWE13" s="12"/>
      <c r="BWF13" s="12"/>
      <c r="BWG13" s="12"/>
      <c r="BWH13" s="12"/>
      <c r="BWI13" s="12"/>
      <c r="BWJ13" s="12"/>
      <c r="BWK13" s="12"/>
      <c r="BWL13" s="12"/>
      <c r="BWM13" s="12"/>
      <c r="BWN13" s="12"/>
      <c r="BWO13" s="12"/>
      <c r="BWP13" s="12"/>
      <c r="BWQ13" s="12"/>
      <c r="BWR13" s="12"/>
      <c r="BWS13" s="12"/>
      <c r="BWT13" s="12"/>
      <c r="BWU13" s="12"/>
      <c r="BWV13" s="12"/>
      <c r="BWW13" s="12"/>
      <c r="BWX13" s="12"/>
      <c r="BWY13" s="12"/>
      <c r="BWZ13" s="12"/>
      <c r="BXA13" s="12"/>
      <c r="BXB13" s="12"/>
      <c r="BXC13" s="12"/>
      <c r="BXD13" s="12"/>
      <c r="BXE13" s="12"/>
      <c r="BXF13" s="12"/>
      <c r="BXG13" s="12"/>
      <c r="BXH13" s="12"/>
      <c r="BXI13" s="12"/>
      <c r="BXJ13" s="12"/>
      <c r="BXK13" s="12"/>
      <c r="BXL13" s="12"/>
      <c r="BXM13" s="12"/>
      <c r="BXN13" s="12"/>
      <c r="BXO13" s="12"/>
      <c r="BXP13" s="12"/>
      <c r="BXQ13" s="12"/>
      <c r="BXR13" s="12"/>
      <c r="BXS13" s="12"/>
      <c r="BXT13" s="12"/>
      <c r="BXU13" s="12"/>
      <c r="BXV13" s="12"/>
      <c r="BXW13" s="12"/>
      <c r="BXX13" s="12"/>
      <c r="BXY13" s="12"/>
      <c r="BXZ13" s="12"/>
      <c r="BYA13" s="12"/>
      <c r="BYB13" s="12"/>
      <c r="BYC13" s="12"/>
      <c r="BYD13" s="12"/>
      <c r="BYE13" s="12"/>
      <c r="BYF13" s="12"/>
      <c r="BYG13" s="12"/>
      <c r="BYH13" s="12"/>
      <c r="BYI13" s="12"/>
      <c r="BYJ13" s="12"/>
      <c r="BYK13" s="12"/>
      <c r="BYL13" s="12"/>
      <c r="BYM13" s="12"/>
      <c r="BYN13" s="12"/>
      <c r="BYO13" s="12"/>
      <c r="BYP13" s="12"/>
      <c r="BYQ13" s="12"/>
      <c r="BYR13" s="12"/>
      <c r="BYS13" s="12"/>
      <c r="BYT13" s="12"/>
      <c r="BYU13" s="12"/>
      <c r="BYV13" s="12"/>
      <c r="BYW13" s="12"/>
      <c r="BYX13" s="12"/>
      <c r="BYY13" s="12"/>
      <c r="BYZ13" s="12"/>
      <c r="BZA13" s="12"/>
      <c r="BZB13" s="12"/>
      <c r="BZC13" s="12"/>
      <c r="BZD13" s="12"/>
      <c r="BZE13" s="12"/>
      <c r="BZF13" s="12"/>
      <c r="BZG13" s="12"/>
      <c r="BZH13" s="12"/>
      <c r="BZI13" s="12"/>
      <c r="BZJ13" s="12"/>
      <c r="BZK13" s="12"/>
      <c r="BZL13" s="12"/>
      <c r="BZM13" s="12"/>
      <c r="BZN13" s="12"/>
      <c r="BZO13" s="12"/>
      <c r="BZP13" s="12"/>
      <c r="BZQ13" s="12"/>
      <c r="BZR13" s="12"/>
      <c r="BZS13" s="12"/>
      <c r="BZT13" s="12"/>
      <c r="BZU13" s="12"/>
      <c r="BZV13" s="12"/>
      <c r="BZW13" s="12"/>
      <c r="BZX13" s="12"/>
      <c r="BZY13" s="12"/>
      <c r="BZZ13" s="12"/>
      <c r="CAA13" s="12"/>
      <c r="CAB13" s="12"/>
      <c r="CAC13" s="12"/>
      <c r="CAD13" s="12"/>
      <c r="CAE13" s="12"/>
      <c r="CAF13" s="12"/>
      <c r="CAG13" s="12"/>
      <c r="CAH13" s="12"/>
      <c r="CAI13" s="12"/>
      <c r="CAJ13" s="12"/>
      <c r="CAK13" s="12"/>
      <c r="CAL13" s="12"/>
      <c r="CAM13" s="12"/>
      <c r="CAN13" s="12"/>
      <c r="CAO13" s="12"/>
      <c r="CAP13" s="12"/>
      <c r="CAQ13" s="12"/>
      <c r="CAR13" s="12"/>
      <c r="CAS13" s="12"/>
      <c r="CAT13" s="12"/>
      <c r="CAU13" s="12"/>
      <c r="CAV13" s="12"/>
      <c r="CAW13" s="12"/>
      <c r="CAX13" s="12"/>
      <c r="CAY13" s="12"/>
      <c r="CAZ13" s="12"/>
      <c r="CBA13" s="12"/>
      <c r="CBB13" s="12"/>
      <c r="CBC13" s="12"/>
      <c r="CBD13" s="12"/>
      <c r="CBE13" s="12"/>
      <c r="CBF13" s="12"/>
      <c r="CBG13" s="12"/>
      <c r="CBH13" s="12"/>
      <c r="CBI13" s="12"/>
      <c r="CBJ13" s="12"/>
      <c r="CBK13" s="12"/>
      <c r="CBL13" s="12"/>
      <c r="CBM13" s="12"/>
      <c r="CBN13" s="12"/>
      <c r="CBO13" s="12"/>
      <c r="CBP13" s="12"/>
      <c r="CBQ13" s="12"/>
      <c r="CBR13" s="12"/>
      <c r="CBS13" s="12"/>
      <c r="CBT13" s="12"/>
      <c r="CBU13" s="12"/>
      <c r="CBV13" s="12"/>
      <c r="CBW13" s="12"/>
      <c r="CBX13" s="12"/>
      <c r="CBY13" s="12"/>
      <c r="CBZ13" s="12"/>
      <c r="CCA13" s="12"/>
      <c r="CCB13" s="12"/>
      <c r="CCC13" s="12"/>
      <c r="CCD13" s="12"/>
      <c r="CCE13" s="12"/>
      <c r="CCF13" s="12"/>
      <c r="CCG13" s="12"/>
      <c r="CCH13" s="12"/>
      <c r="CCI13" s="12"/>
      <c r="CCJ13" s="12"/>
      <c r="CCK13" s="12"/>
      <c r="CCL13" s="12"/>
      <c r="CCM13" s="12"/>
      <c r="CCN13" s="12"/>
      <c r="CCO13" s="12"/>
      <c r="CCP13" s="12"/>
      <c r="CCQ13" s="12"/>
      <c r="CCR13" s="12"/>
      <c r="CCS13" s="12"/>
      <c r="CCT13" s="12"/>
      <c r="CCU13" s="12"/>
      <c r="CCV13" s="12"/>
      <c r="CCW13" s="12"/>
      <c r="CCX13" s="12"/>
      <c r="CCY13" s="12"/>
      <c r="CCZ13" s="12"/>
      <c r="CDA13" s="12"/>
      <c r="CDB13" s="12"/>
      <c r="CDC13" s="12"/>
      <c r="CDD13" s="12"/>
      <c r="CDE13" s="12"/>
      <c r="CDF13" s="12"/>
      <c r="CDG13" s="12"/>
      <c r="CDH13" s="12"/>
      <c r="CDI13" s="12"/>
      <c r="CDJ13" s="12"/>
      <c r="CDK13" s="12"/>
      <c r="CDL13" s="12"/>
      <c r="CDM13" s="12"/>
      <c r="CDN13" s="12"/>
      <c r="CDO13" s="12"/>
      <c r="CDP13" s="12"/>
      <c r="CDQ13" s="12"/>
      <c r="CDR13" s="12"/>
      <c r="CDS13" s="12"/>
      <c r="CDT13" s="12"/>
      <c r="CDU13" s="12"/>
      <c r="CDV13" s="12"/>
      <c r="CDW13" s="12"/>
      <c r="CDX13" s="12"/>
      <c r="CDY13" s="12"/>
      <c r="CDZ13" s="12"/>
      <c r="CEA13" s="12"/>
      <c r="CEB13" s="12"/>
      <c r="CEC13" s="12"/>
      <c r="CED13" s="12"/>
      <c r="CEE13" s="12"/>
      <c r="CEF13" s="12"/>
      <c r="CEG13" s="12"/>
      <c r="CEH13" s="12"/>
      <c r="CEI13" s="12"/>
      <c r="CEJ13" s="12"/>
      <c r="CEK13" s="12"/>
      <c r="CEL13" s="12"/>
      <c r="CEM13" s="12"/>
      <c r="CEN13" s="12"/>
      <c r="CEO13" s="12"/>
      <c r="CEP13" s="12"/>
      <c r="CEQ13" s="12"/>
      <c r="CER13" s="12"/>
      <c r="CES13" s="12"/>
      <c r="CET13" s="12"/>
      <c r="CEU13" s="12"/>
      <c r="CEV13" s="12"/>
      <c r="CEW13" s="12"/>
      <c r="CEX13" s="12"/>
      <c r="CEY13" s="12"/>
      <c r="CEZ13" s="12"/>
      <c r="CFA13" s="12"/>
      <c r="CFB13" s="12"/>
      <c r="CFC13" s="12"/>
      <c r="CFD13" s="12"/>
      <c r="CFE13" s="12"/>
      <c r="CFF13" s="12"/>
      <c r="CFG13" s="12"/>
      <c r="CFH13" s="12"/>
      <c r="CFI13" s="12"/>
      <c r="CFJ13" s="12"/>
      <c r="CFK13" s="12"/>
      <c r="CFL13" s="12"/>
      <c r="CFM13" s="12"/>
      <c r="CFN13" s="12"/>
      <c r="CFO13" s="12"/>
      <c r="CFP13" s="12"/>
      <c r="CFQ13" s="12"/>
      <c r="CFR13" s="12"/>
      <c r="CFS13" s="12"/>
      <c r="CFT13" s="12"/>
      <c r="CFU13" s="12"/>
      <c r="CFV13" s="12"/>
      <c r="CFW13" s="12"/>
      <c r="CFX13" s="12"/>
      <c r="CFY13" s="12"/>
      <c r="CFZ13" s="12"/>
      <c r="CGA13" s="12"/>
      <c r="CGB13" s="12"/>
      <c r="CGC13" s="12"/>
      <c r="CGD13" s="12"/>
      <c r="CGE13" s="12"/>
      <c r="CGF13" s="12"/>
      <c r="CGG13" s="12"/>
      <c r="CGH13" s="12"/>
      <c r="CGI13" s="12"/>
      <c r="CGJ13" s="12"/>
      <c r="CGK13" s="12"/>
      <c r="CGL13" s="12"/>
      <c r="CGM13" s="12"/>
      <c r="CGN13" s="12"/>
      <c r="CGO13" s="12"/>
      <c r="CGP13" s="12"/>
      <c r="CGQ13" s="12"/>
      <c r="CGR13" s="12"/>
      <c r="CGS13" s="12"/>
      <c r="CGT13" s="12"/>
      <c r="CGU13" s="12"/>
      <c r="CGV13" s="12"/>
      <c r="CGW13" s="12"/>
      <c r="CGX13" s="12"/>
      <c r="CGY13" s="12"/>
      <c r="CGZ13" s="12"/>
      <c r="CHA13" s="12"/>
      <c r="CHB13" s="12"/>
      <c r="CHC13" s="12"/>
      <c r="CHD13" s="12"/>
      <c r="CHE13" s="12"/>
      <c r="CHF13" s="12"/>
      <c r="CHG13" s="12"/>
      <c r="CHH13" s="12"/>
      <c r="CHI13" s="12"/>
      <c r="CHJ13" s="12"/>
      <c r="CHK13" s="12"/>
      <c r="CHL13" s="12"/>
      <c r="CHM13" s="12"/>
      <c r="CHN13" s="12"/>
      <c r="CHO13" s="12"/>
      <c r="CHP13" s="12"/>
      <c r="CHQ13" s="12"/>
      <c r="CHR13" s="12"/>
      <c r="CHS13" s="12"/>
      <c r="CHT13" s="12"/>
      <c r="CHU13" s="12"/>
      <c r="CHV13" s="12"/>
      <c r="CHW13" s="12"/>
      <c r="CHX13" s="12"/>
      <c r="CHY13" s="12"/>
      <c r="CHZ13" s="12"/>
      <c r="CIA13" s="12"/>
      <c r="CIB13" s="12"/>
      <c r="CIC13" s="12"/>
      <c r="CID13" s="12"/>
      <c r="CIE13" s="12"/>
      <c r="CIF13" s="12"/>
      <c r="CIG13" s="12"/>
      <c r="CIH13" s="12"/>
      <c r="CII13" s="12"/>
      <c r="CIJ13" s="12"/>
      <c r="CIK13" s="12"/>
      <c r="CIL13" s="12"/>
      <c r="CIM13" s="12"/>
      <c r="CIN13" s="12"/>
      <c r="CIO13" s="12"/>
      <c r="CIP13" s="12"/>
      <c r="CIQ13" s="12"/>
      <c r="CIR13" s="12"/>
      <c r="CIS13" s="12"/>
      <c r="CIT13" s="12"/>
      <c r="CIU13" s="12"/>
      <c r="CIV13" s="12"/>
      <c r="CIW13" s="12"/>
      <c r="CIX13" s="12"/>
      <c r="CIY13" s="12"/>
      <c r="CIZ13" s="12"/>
      <c r="CJA13" s="12"/>
      <c r="CJB13" s="12"/>
      <c r="CJC13" s="12"/>
      <c r="CJD13" s="12"/>
      <c r="CJE13" s="12"/>
      <c r="CJF13" s="12"/>
      <c r="CJG13" s="12"/>
      <c r="CJH13" s="12"/>
      <c r="CJI13" s="12"/>
      <c r="CJJ13" s="12"/>
      <c r="CJK13" s="12"/>
      <c r="CJL13" s="12"/>
      <c r="CJM13" s="12"/>
      <c r="CJN13" s="12"/>
      <c r="CJO13" s="12"/>
      <c r="CJP13" s="12"/>
      <c r="CJQ13" s="12"/>
      <c r="CJR13" s="12"/>
      <c r="CJS13" s="12"/>
      <c r="CJT13" s="12"/>
      <c r="CJU13" s="12"/>
      <c r="CJV13" s="12"/>
      <c r="CJW13" s="12"/>
      <c r="CJX13" s="12"/>
      <c r="CJY13" s="12"/>
      <c r="CJZ13" s="12"/>
      <c r="CKA13" s="12"/>
      <c r="CKB13" s="12"/>
      <c r="CKC13" s="12"/>
      <c r="CKD13" s="12"/>
      <c r="CKE13" s="12"/>
      <c r="CKF13" s="12"/>
      <c r="CKG13" s="12"/>
      <c r="CKH13" s="12"/>
      <c r="CKI13" s="12"/>
      <c r="CKJ13" s="12"/>
      <c r="CKK13" s="12"/>
      <c r="CKL13" s="12"/>
      <c r="CKM13" s="12"/>
      <c r="CKN13" s="12"/>
      <c r="CKO13" s="12"/>
      <c r="CKP13" s="12"/>
      <c r="CKQ13" s="12"/>
      <c r="CKR13" s="12"/>
      <c r="CKS13" s="12"/>
      <c r="CKT13" s="12"/>
      <c r="CKU13" s="12"/>
      <c r="CKV13" s="12"/>
      <c r="CKW13" s="12"/>
      <c r="CKX13" s="12"/>
      <c r="CKY13" s="12"/>
      <c r="CKZ13" s="12"/>
      <c r="CLA13" s="12"/>
      <c r="CLB13" s="12"/>
      <c r="CLC13" s="12"/>
      <c r="CLD13" s="12"/>
      <c r="CLE13" s="12"/>
      <c r="CLF13" s="12"/>
      <c r="CLG13" s="12"/>
      <c r="CLH13" s="12"/>
      <c r="CLI13" s="12"/>
      <c r="CLJ13" s="12"/>
      <c r="CLK13" s="12"/>
      <c r="CLL13" s="12"/>
      <c r="CLM13" s="12"/>
      <c r="CLN13" s="12"/>
      <c r="CLO13" s="12"/>
      <c r="CLP13" s="12"/>
      <c r="CLQ13" s="12"/>
      <c r="CLR13" s="12"/>
      <c r="CLS13" s="12"/>
      <c r="CLT13" s="12"/>
      <c r="CLU13" s="12"/>
      <c r="CLV13" s="12"/>
      <c r="CLW13" s="12"/>
      <c r="CLX13" s="12"/>
      <c r="CLY13" s="12"/>
      <c r="CLZ13" s="12"/>
      <c r="CMA13" s="12"/>
      <c r="CMB13" s="12"/>
      <c r="CMC13" s="12"/>
      <c r="CMD13" s="12"/>
      <c r="CME13" s="12"/>
      <c r="CMF13" s="12"/>
      <c r="CMG13" s="12"/>
      <c r="CMH13" s="12"/>
      <c r="CMI13" s="12"/>
      <c r="CMJ13" s="12"/>
      <c r="CMK13" s="12"/>
      <c r="CML13" s="12"/>
      <c r="CMM13" s="12"/>
      <c r="CMN13" s="12"/>
      <c r="CMO13" s="12"/>
      <c r="CMP13" s="12"/>
      <c r="CMQ13" s="12"/>
      <c r="CMR13" s="12"/>
      <c r="CMS13" s="12"/>
      <c r="CMT13" s="12"/>
      <c r="CMU13" s="12"/>
      <c r="CMV13" s="12"/>
      <c r="CMW13" s="12"/>
      <c r="CMX13" s="12"/>
      <c r="CMY13" s="12"/>
      <c r="CMZ13" s="12"/>
      <c r="CNA13" s="12"/>
      <c r="CNB13" s="12"/>
      <c r="CNC13" s="12"/>
      <c r="CND13" s="12"/>
      <c r="CNE13" s="12"/>
      <c r="CNF13" s="12"/>
      <c r="CNG13" s="12"/>
      <c r="CNH13" s="12"/>
      <c r="CNI13" s="12"/>
      <c r="CNJ13" s="12"/>
      <c r="CNK13" s="12"/>
      <c r="CNL13" s="12"/>
      <c r="CNM13" s="12"/>
      <c r="CNN13" s="12"/>
      <c r="CNO13" s="12"/>
      <c r="CNP13" s="12"/>
      <c r="CNQ13" s="12"/>
      <c r="CNR13" s="12"/>
      <c r="CNS13" s="12"/>
      <c r="CNT13" s="12"/>
      <c r="CNU13" s="12"/>
      <c r="CNV13" s="12"/>
      <c r="CNW13" s="12"/>
      <c r="CNX13" s="12"/>
      <c r="CNY13" s="12"/>
      <c r="CNZ13" s="12"/>
      <c r="COA13" s="12"/>
      <c r="COB13" s="12"/>
      <c r="COC13" s="12"/>
      <c r="COD13" s="12"/>
      <c r="COE13" s="12"/>
      <c r="COF13" s="12"/>
      <c r="COG13" s="12"/>
      <c r="COH13" s="12"/>
      <c r="COI13" s="12"/>
      <c r="COJ13" s="12"/>
      <c r="COK13" s="12"/>
      <c r="COL13" s="12"/>
      <c r="COM13" s="12"/>
      <c r="CON13" s="12"/>
      <c r="COO13" s="12"/>
      <c r="COP13" s="12"/>
      <c r="COQ13" s="12"/>
      <c r="COR13" s="12"/>
      <c r="COS13" s="12"/>
      <c r="COT13" s="12"/>
      <c r="COU13" s="12"/>
      <c r="COV13" s="12"/>
      <c r="COW13" s="12"/>
      <c r="COX13" s="12"/>
      <c r="COY13" s="12"/>
      <c r="COZ13" s="12"/>
      <c r="CPA13" s="12"/>
      <c r="CPB13" s="12"/>
      <c r="CPC13" s="12"/>
      <c r="CPD13" s="12"/>
      <c r="CPE13" s="12"/>
      <c r="CPF13" s="12"/>
      <c r="CPG13" s="12"/>
      <c r="CPH13" s="12"/>
      <c r="CPI13" s="12"/>
      <c r="CPJ13" s="12"/>
      <c r="CPK13" s="12"/>
      <c r="CPL13" s="12"/>
      <c r="CPM13" s="12"/>
      <c r="CPN13" s="12"/>
      <c r="CPO13" s="12"/>
      <c r="CPP13" s="12"/>
      <c r="CPQ13" s="12"/>
      <c r="CPR13" s="12"/>
      <c r="CPS13" s="12"/>
      <c r="CPT13" s="12"/>
      <c r="CPU13" s="12"/>
      <c r="CPV13" s="12"/>
      <c r="CPW13" s="12"/>
      <c r="CPX13" s="12"/>
      <c r="CPY13" s="12"/>
      <c r="CPZ13" s="12"/>
      <c r="CQA13" s="12"/>
      <c r="CQB13" s="12"/>
      <c r="CQC13" s="12"/>
      <c r="CQD13" s="12"/>
      <c r="CQE13" s="12"/>
      <c r="CQF13" s="12"/>
      <c r="CQG13" s="12"/>
      <c r="CQH13" s="12"/>
      <c r="CQI13" s="12"/>
      <c r="CQJ13" s="12"/>
      <c r="CQK13" s="12"/>
      <c r="CQL13" s="12"/>
      <c r="CQM13" s="12"/>
      <c r="CQN13" s="12"/>
      <c r="CQO13" s="12"/>
      <c r="CQP13" s="12"/>
      <c r="CQQ13" s="12"/>
      <c r="CQR13" s="12"/>
      <c r="CQS13" s="12"/>
      <c r="CQT13" s="12"/>
      <c r="CQU13" s="12"/>
      <c r="CQV13" s="12"/>
      <c r="CQW13" s="12"/>
      <c r="CQX13" s="12"/>
      <c r="CQY13" s="12"/>
      <c r="CQZ13" s="12"/>
      <c r="CRA13" s="12"/>
      <c r="CRB13" s="12"/>
      <c r="CRC13" s="12"/>
      <c r="CRD13" s="12"/>
      <c r="CRE13" s="12"/>
      <c r="CRF13" s="12"/>
      <c r="CRG13" s="12"/>
      <c r="CRH13" s="12"/>
      <c r="CRI13" s="12"/>
      <c r="CRJ13" s="12"/>
      <c r="CRK13" s="12"/>
      <c r="CRL13" s="12"/>
      <c r="CRM13" s="12"/>
      <c r="CRN13" s="12"/>
      <c r="CRO13" s="12"/>
      <c r="CRP13" s="12"/>
      <c r="CRQ13" s="12"/>
      <c r="CRR13" s="12"/>
      <c r="CRS13" s="12"/>
      <c r="CRT13" s="12"/>
      <c r="CRU13" s="12"/>
      <c r="CRV13" s="12"/>
      <c r="CRW13" s="12"/>
      <c r="CRX13" s="12"/>
      <c r="CRY13" s="12"/>
      <c r="CRZ13" s="12"/>
      <c r="CSA13" s="12"/>
      <c r="CSB13" s="12"/>
      <c r="CSC13" s="12"/>
      <c r="CSD13" s="12"/>
      <c r="CSE13" s="12"/>
      <c r="CSF13" s="12"/>
      <c r="CSG13" s="12"/>
      <c r="CSH13" s="12"/>
      <c r="CSI13" s="12"/>
      <c r="CSJ13" s="12"/>
      <c r="CSK13" s="12"/>
      <c r="CSL13" s="12"/>
      <c r="CSM13" s="12"/>
      <c r="CSN13" s="12"/>
      <c r="CSO13" s="12"/>
      <c r="CSP13" s="12"/>
      <c r="CSQ13" s="12"/>
      <c r="CSR13" s="12"/>
      <c r="CSS13" s="12"/>
      <c r="CST13" s="12"/>
      <c r="CSU13" s="12"/>
      <c r="CSV13" s="12"/>
      <c r="CSW13" s="12"/>
      <c r="CSX13" s="12"/>
      <c r="CSY13" s="12"/>
      <c r="CSZ13" s="12"/>
      <c r="CTA13" s="12"/>
      <c r="CTB13" s="12"/>
      <c r="CTC13" s="12"/>
      <c r="CTD13" s="12"/>
      <c r="CTE13" s="12"/>
      <c r="CTF13" s="12"/>
      <c r="CTG13" s="12"/>
      <c r="CTH13" s="12"/>
      <c r="CTI13" s="12"/>
      <c r="CTJ13" s="12"/>
      <c r="CTK13" s="12"/>
      <c r="CTL13" s="12"/>
      <c r="CTM13" s="12"/>
      <c r="CTN13" s="12"/>
      <c r="CTO13" s="12"/>
      <c r="CTP13" s="12"/>
      <c r="CTQ13" s="12"/>
      <c r="CTR13" s="12"/>
      <c r="CTS13" s="12"/>
      <c r="CTT13" s="12"/>
      <c r="CTU13" s="12"/>
      <c r="CTV13" s="12"/>
      <c r="CTW13" s="12"/>
      <c r="CTX13" s="12"/>
      <c r="CTY13" s="12"/>
      <c r="CTZ13" s="12"/>
      <c r="CUA13" s="12"/>
      <c r="CUB13" s="12"/>
      <c r="CUC13" s="12"/>
      <c r="CUD13" s="12"/>
      <c r="CUE13" s="12"/>
      <c r="CUF13" s="12"/>
      <c r="CUG13" s="12"/>
      <c r="CUH13" s="12"/>
      <c r="CUI13" s="12"/>
      <c r="CUJ13" s="12"/>
      <c r="CUK13" s="12"/>
      <c r="CUL13" s="12"/>
      <c r="CUM13" s="12"/>
      <c r="CUN13" s="12"/>
      <c r="CUO13" s="12"/>
      <c r="CUP13" s="12"/>
      <c r="CUQ13" s="12"/>
      <c r="CUR13" s="12"/>
      <c r="CUS13" s="12"/>
      <c r="CUT13" s="12"/>
      <c r="CUU13" s="12"/>
      <c r="CUV13" s="12"/>
      <c r="CUW13" s="12"/>
      <c r="CUX13" s="12"/>
      <c r="CUY13" s="12"/>
      <c r="CUZ13" s="12"/>
      <c r="CVA13" s="12"/>
      <c r="CVB13" s="12"/>
      <c r="CVC13" s="12"/>
      <c r="CVD13" s="12"/>
      <c r="CVE13" s="12"/>
      <c r="CVF13" s="12"/>
      <c r="CVG13" s="12"/>
      <c r="CVH13" s="12"/>
      <c r="CVI13" s="12"/>
      <c r="CVJ13" s="12"/>
      <c r="CVK13" s="12"/>
      <c r="CVL13" s="12"/>
      <c r="CVM13" s="12"/>
      <c r="CVN13" s="12"/>
      <c r="CVO13" s="12"/>
      <c r="CVP13" s="12"/>
      <c r="CVQ13" s="12"/>
      <c r="CVR13" s="12"/>
      <c r="CVS13" s="12"/>
      <c r="CVT13" s="12"/>
      <c r="CVU13" s="12"/>
      <c r="CVV13" s="12"/>
      <c r="CVW13" s="12"/>
      <c r="CVX13" s="12"/>
      <c r="CVY13" s="12"/>
      <c r="CVZ13" s="12"/>
      <c r="CWA13" s="12"/>
      <c r="CWB13" s="12"/>
      <c r="CWC13" s="12"/>
      <c r="CWD13" s="12"/>
      <c r="CWE13" s="12"/>
      <c r="CWF13" s="12"/>
      <c r="CWG13" s="12"/>
      <c r="CWH13" s="12"/>
      <c r="CWI13" s="12"/>
      <c r="CWJ13" s="12"/>
      <c r="CWK13" s="12"/>
      <c r="CWL13" s="12"/>
      <c r="CWM13" s="12"/>
      <c r="CWN13" s="12"/>
      <c r="CWO13" s="12"/>
      <c r="CWP13" s="12"/>
      <c r="CWQ13" s="12"/>
      <c r="CWR13" s="12"/>
      <c r="CWS13" s="12"/>
      <c r="CWT13" s="12"/>
      <c r="CWU13" s="12"/>
      <c r="CWV13" s="12"/>
      <c r="CWW13" s="12"/>
      <c r="CWX13" s="12"/>
      <c r="CWY13" s="12"/>
      <c r="CWZ13" s="12"/>
      <c r="CXA13" s="12"/>
      <c r="CXB13" s="12"/>
      <c r="CXC13" s="12"/>
      <c r="CXD13" s="12"/>
      <c r="CXE13" s="12"/>
      <c r="CXF13" s="12"/>
      <c r="CXG13" s="12"/>
      <c r="CXH13" s="12"/>
      <c r="CXI13" s="12"/>
      <c r="CXJ13" s="12"/>
      <c r="CXK13" s="12"/>
      <c r="CXL13" s="12"/>
      <c r="CXM13" s="12"/>
      <c r="CXN13" s="12"/>
      <c r="CXO13" s="12"/>
      <c r="CXP13" s="12"/>
      <c r="CXQ13" s="12"/>
      <c r="CXR13" s="12"/>
      <c r="CXS13" s="12"/>
      <c r="CXT13" s="12"/>
      <c r="CXU13" s="12"/>
      <c r="CXV13" s="12"/>
      <c r="CXW13" s="12"/>
      <c r="CXX13" s="12"/>
      <c r="CXY13" s="12"/>
      <c r="CXZ13" s="12"/>
      <c r="CYA13" s="12"/>
      <c r="CYB13" s="12"/>
      <c r="CYC13" s="12"/>
      <c r="CYD13" s="12"/>
      <c r="CYE13" s="12"/>
      <c r="CYF13" s="12"/>
      <c r="CYG13" s="12"/>
      <c r="CYH13" s="12"/>
      <c r="CYI13" s="12"/>
      <c r="CYJ13" s="12"/>
      <c r="CYK13" s="12"/>
      <c r="CYL13" s="12"/>
      <c r="CYM13" s="12"/>
      <c r="CYN13" s="12"/>
      <c r="CYO13" s="12"/>
      <c r="CYP13" s="12"/>
      <c r="CYQ13" s="12"/>
      <c r="CYR13" s="12"/>
      <c r="CYS13" s="12"/>
      <c r="CYT13" s="12"/>
      <c r="CYU13" s="12"/>
      <c r="CYV13" s="12"/>
      <c r="CYW13" s="12"/>
      <c r="CYX13" s="12"/>
      <c r="CYY13" s="12"/>
      <c r="CYZ13" s="12"/>
      <c r="CZA13" s="12"/>
      <c r="CZB13" s="12"/>
      <c r="CZC13" s="12"/>
      <c r="CZD13" s="12"/>
      <c r="CZE13" s="12"/>
      <c r="CZF13" s="12"/>
      <c r="CZG13" s="12"/>
      <c r="CZH13" s="12"/>
      <c r="CZI13" s="12"/>
      <c r="CZJ13" s="12"/>
      <c r="CZK13" s="12"/>
      <c r="CZL13" s="12"/>
      <c r="CZM13" s="12"/>
      <c r="CZN13" s="12"/>
      <c r="CZO13" s="12"/>
      <c r="CZP13" s="12"/>
      <c r="CZQ13" s="12"/>
      <c r="CZR13" s="12"/>
      <c r="CZS13" s="12"/>
      <c r="CZT13" s="12"/>
      <c r="CZU13" s="12"/>
      <c r="CZV13" s="12"/>
      <c r="CZW13" s="12"/>
      <c r="CZX13" s="12"/>
      <c r="CZY13" s="12"/>
      <c r="CZZ13" s="12"/>
      <c r="DAA13" s="12"/>
      <c r="DAB13" s="12"/>
      <c r="DAC13" s="12"/>
      <c r="DAD13" s="12"/>
      <c r="DAE13" s="12"/>
      <c r="DAF13" s="12"/>
      <c r="DAG13" s="12"/>
      <c r="DAH13" s="12"/>
      <c r="DAI13" s="12"/>
      <c r="DAJ13" s="12"/>
      <c r="DAK13" s="12"/>
      <c r="DAL13" s="12"/>
      <c r="DAM13" s="12"/>
      <c r="DAN13" s="12"/>
      <c r="DAO13" s="12"/>
      <c r="DAP13" s="12"/>
      <c r="DAQ13" s="12"/>
      <c r="DAR13" s="12"/>
      <c r="DAS13" s="12"/>
      <c r="DAT13" s="12"/>
      <c r="DAU13" s="12"/>
      <c r="DAV13" s="12"/>
      <c r="DAW13" s="12"/>
      <c r="DAX13" s="12"/>
      <c r="DAY13" s="12"/>
      <c r="DAZ13" s="12"/>
      <c r="DBA13" s="12"/>
      <c r="DBB13" s="12"/>
      <c r="DBC13" s="12"/>
      <c r="DBD13" s="12"/>
      <c r="DBE13" s="12"/>
      <c r="DBF13" s="12"/>
      <c r="DBG13" s="12"/>
      <c r="DBH13" s="12"/>
      <c r="DBI13" s="12"/>
      <c r="DBJ13" s="12"/>
      <c r="DBK13" s="12"/>
      <c r="DBL13" s="12"/>
      <c r="DBM13" s="12"/>
      <c r="DBN13" s="12"/>
      <c r="DBO13" s="12"/>
      <c r="DBP13" s="12"/>
      <c r="DBQ13" s="12"/>
      <c r="DBR13" s="12"/>
      <c r="DBS13" s="12"/>
      <c r="DBT13" s="12"/>
      <c r="DBU13" s="12"/>
      <c r="DBV13" s="12"/>
      <c r="DBW13" s="12"/>
      <c r="DBX13" s="12"/>
      <c r="DBY13" s="12"/>
      <c r="DBZ13" s="12"/>
      <c r="DCA13" s="12"/>
      <c r="DCB13" s="12"/>
      <c r="DCC13" s="12"/>
      <c r="DCD13" s="12"/>
      <c r="DCE13" s="12"/>
      <c r="DCF13" s="12"/>
      <c r="DCG13" s="12"/>
      <c r="DCH13" s="12"/>
      <c r="DCI13" s="12"/>
      <c r="DCJ13" s="12"/>
      <c r="DCK13" s="12"/>
      <c r="DCL13" s="12"/>
      <c r="DCM13" s="12"/>
      <c r="DCN13" s="12"/>
      <c r="DCO13" s="12"/>
      <c r="DCP13" s="12"/>
      <c r="DCQ13" s="12"/>
      <c r="DCR13" s="12"/>
      <c r="DCS13" s="12"/>
      <c r="DCT13" s="12"/>
      <c r="DCU13" s="12"/>
      <c r="DCV13" s="12"/>
      <c r="DCW13" s="12"/>
      <c r="DCX13" s="12"/>
      <c r="DCY13" s="12"/>
      <c r="DCZ13" s="12"/>
      <c r="DDA13" s="12"/>
      <c r="DDB13" s="12"/>
      <c r="DDC13" s="12"/>
      <c r="DDD13" s="12"/>
      <c r="DDE13" s="12"/>
      <c r="DDF13" s="12"/>
      <c r="DDG13" s="12"/>
      <c r="DDH13" s="12"/>
      <c r="DDI13" s="12"/>
      <c r="DDJ13" s="12"/>
      <c r="DDK13" s="12"/>
      <c r="DDL13" s="12"/>
      <c r="DDM13" s="12"/>
      <c r="DDN13" s="12"/>
      <c r="DDO13" s="12"/>
      <c r="DDP13" s="12"/>
      <c r="DDQ13" s="12"/>
      <c r="DDR13" s="12"/>
      <c r="DDS13" s="12"/>
      <c r="DDT13" s="12"/>
      <c r="DDU13" s="12"/>
      <c r="DDV13" s="12"/>
      <c r="DDW13" s="12"/>
      <c r="DDX13" s="12"/>
      <c r="DDY13" s="12"/>
      <c r="DDZ13" s="12"/>
      <c r="DEA13" s="12"/>
      <c r="DEB13" s="12"/>
      <c r="DEC13" s="12"/>
      <c r="DED13" s="12"/>
      <c r="DEE13" s="12"/>
      <c r="DEF13" s="12"/>
      <c r="DEG13" s="12"/>
      <c r="DEH13" s="12"/>
      <c r="DEI13" s="12"/>
      <c r="DEJ13" s="12"/>
      <c r="DEK13" s="12"/>
      <c r="DEL13" s="12"/>
      <c r="DEM13" s="12"/>
      <c r="DEN13" s="12"/>
      <c r="DEO13" s="12"/>
      <c r="DEP13" s="12"/>
      <c r="DEQ13" s="12"/>
      <c r="DER13" s="12"/>
      <c r="DES13" s="12"/>
      <c r="DET13" s="12"/>
      <c r="DEU13" s="12"/>
      <c r="DEV13" s="12"/>
      <c r="DEW13" s="12"/>
      <c r="DEX13" s="12"/>
      <c r="DEY13" s="12"/>
      <c r="DEZ13" s="12"/>
      <c r="DFA13" s="12"/>
      <c r="DFB13" s="12"/>
      <c r="DFC13" s="12"/>
      <c r="DFD13" s="12"/>
      <c r="DFE13" s="12"/>
      <c r="DFF13" s="12"/>
      <c r="DFG13" s="12"/>
      <c r="DFH13" s="12"/>
      <c r="DFI13" s="12"/>
      <c r="DFJ13" s="12"/>
      <c r="DFK13" s="12"/>
      <c r="DFL13" s="12"/>
      <c r="DFM13" s="12"/>
      <c r="DFN13" s="12"/>
      <c r="DFO13" s="12"/>
      <c r="DFP13" s="12"/>
      <c r="DFQ13" s="12"/>
      <c r="DFR13" s="12"/>
      <c r="DFS13" s="12"/>
      <c r="DFT13" s="12"/>
      <c r="DFU13" s="12"/>
      <c r="DFV13" s="12"/>
      <c r="DFW13" s="12"/>
      <c r="DFX13" s="12"/>
      <c r="DFY13" s="12"/>
      <c r="DFZ13" s="12"/>
      <c r="DGA13" s="12"/>
      <c r="DGB13" s="12"/>
      <c r="DGC13" s="12"/>
      <c r="DGD13" s="12"/>
      <c r="DGE13" s="12"/>
      <c r="DGF13" s="12"/>
      <c r="DGG13" s="12"/>
      <c r="DGH13" s="12"/>
      <c r="DGI13" s="12"/>
      <c r="DGJ13" s="12"/>
      <c r="DGK13" s="12"/>
      <c r="DGL13" s="12"/>
      <c r="DGM13" s="12"/>
      <c r="DGN13" s="12"/>
      <c r="DGO13" s="12"/>
      <c r="DGP13" s="12"/>
      <c r="DGQ13" s="12"/>
      <c r="DGR13" s="12"/>
      <c r="DGS13" s="12"/>
      <c r="DGT13" s="12"/>
      <c r="DGU13" s="12"/>
      <c r="DGV13" s="12"/>
      <c r="DGW13" s="12"/>
      <c r="DGX13" s="12"/>
      <c r="DGY13" s="12"/>
      <c r="DGZ13" s="12"/>
      <c r="DHA13" s="12"/>
      <c r="DHB13" s="12"/>
      <c r="DHC13" s="12"/>
      <c r="DHD13" s="12"/>
      <c r="DHE13" s="12"/>
      <c r="DHF13" s="12"/>
      <c r="DHG13" s="12"/>
      <c r="DHH13" s="12"/>
      <c r="DHI13" s="12"/>
      <c r="DHJ13" s="12"/>
      <c r="DHK13" s="12"/>
      <c r="DHL13" s="12"/>
      <c r="DHM13" s="12"/>
      <c r="DHN13" s="12"/>
      <c r="DHO13" s="12"/>
      <c r="DHP13" s="12"/>
      <c r="DHQ13" s="12"/>
      <c r="DHR13" s="12"/>
      <c r="DHS13" s="12"/>
      <c r="DHT13" s="12"/>
      <c r="DHU13" s="12"/>
      <c r="DHV13" s="12"/>
      <c r="DHW13" s="12"/>
      <c r="DHX13" s="12"/>
      <c r="DHY13" s="12"/>
      <c r="DHZ13" s="12"/>
      <c r="DIA13" s="12"/>
      <c r="DIB13" s="12"/>
      <c r="DIC13" s="12"/>
      <c r="DID13" s="12"/>
      <c r="DIE13" s="12"/>
      <c r="DIF13" s="12"/>
      <c r="DIG13" s="12"/>
      <c r="DIH13" s="12"/>
      <c r="DII13" s="12"/>
      <c r="DIJ13" s="12"/>
      <c r="DIK13" s="12"/>
      <c r="DIL13" s="12"/>
      <c r="DIM13" s="12"/>
      <c r="DIN13" s="12"/>
      <c r="DIO13" s="12"/>
      <c r="DIP13" s="12"/>
      <c r="DIQ13" s="12"/>
      <c r="DIR13" s="12"/>
      <c r="DIS13" s="12"/>
      <c r="DIT13" s="12"/>
      <c r="DIU13" s="12"/>
      <c r="DIV13" s="12"/>
      <c r="DIW13" s="12"/>
      <c r="DIX13" s="12"/>
      <c r="DIY13" s="12"/>
      <c r="DIZ13" s="12"/>
      <c r="DJA13" s="12"/>
      <c r="DJB13" s="12"/>
      <c r="DJC13" s="12"/>
      <c r="DJD13" s="12"/>
      <c r="DJE13" s="12"/>
      <c r="DJF13" s="12"/>
      <c r="DJG13" s="12"/>
      <c r="DJH13" s="12"/>
      <c r="DJI13" s="12"/>
      <c r="DJJ13" s="12"/>
      <c r="DJK13" s="12"/>
      <c r="DJL13" s="12"/>
      <c r="DJM13" s="12"/>
      <c r="DJN13" s="12"/>
      <c r="DJO13" s="12"/>
      <c r="DJP13" s="12"/>
      <c r="DJQ13" s="12"/>
      <c r="DJR13" s="12"/>
      <c r="DJS13" s="12"/>
      <c r="DJT13" s="12"/>
      <c r="DJU13" s="12"/>
      <c r="DJV13" s="12"/>
      <c r="DJW13" s="12"/>
      <c r="DJX13" s="12"/>
      <c r="DJY13" s="12"/>
      <c r="DJZ13" s="12"/>
      <c r="DKA13" s="12"/>
      <c r="DKB13" s="12"/>
      <c r="DKC13" s="12"/>
      <c r="DKD13" s="12"/>
      <c r="DKE13" s="12"/>
      <c r="DKF13" s="12"/>
      <c r="DKG13" s="12"/>
      <c r="DKH13" s="12"/>
      <c r="DKI13" s="12"/>
      <c r="DKJ13" s="12"/>
      <c r="DKK13" s="12"/>
      <c r="DKL13" s="12"/>
      <c r="DKM13" s="12"/>
      <c r="DKN13" s="12"/>
      <c r="DKO13" s="12"/>
      <c r="DKP13" s="12"/>
      <c r="DKQ13" s="12"/>
      <c r="DKR13" s="12"/>
      <c r="DKS13" s="12"/>
      <c r="DKT13" s="12"/>
      <c r="DKU13" s="12"/>
      <c r="DKV13" s="12"/>
      <c r="DKW13" s="12"/>
      <c r="DKX13" s="12"/>
      <c r="DKY13" s="12"/>
      <c r="DKZ13" s="12"/>
      <c r="DLA13" s="12"/>
      <c r="DLB13" s="12"/>
      <c r="DLC13" s="12"/>
      <c r="DLD13" s="12"/>
      <c r="DLE13" s="12"/>
      <c r="DLF13" s="12"/>
      <c r="DLG13" s="12"/>
      <c r="DLH13" s="12"/>
      <c r="DLI13" s="12"/>
      <c r="DLJ13" s="12"/>
      <c r="DLK13" s="12"/>
      <c r="DLL13" s="12"/>
      <c r="DLM13" s="12"/>
      <c r="DLN13" s="12"/>
      <c r="DLO13" s="12"/>
      <c r="DLP13" s="12"/>
      <c r="DLQ13" s="12"/>
      <c r="DLR13" s="12"/>
      <c r="DLS13" s="12"/>
      <c r="DLT13" s="12"/>
      <c r="DLU13" s="12"/>
      <c r="DLV13" s="12"/>
      <c r="DLW13" s="12"/>
      <c r="DLX13" s="12"/>
      <c r="DLY13" s="12"/>
      <c r="DLZ13" s="12"/>
      <c r="DMA13" s="12"/>
      <c r="DMB13" s="12"/>
      <c r="DMC13" s="12"/>
      <c r="DMD13" s="12"/>
      <c r="DME13" s="12"/>
      <c r="DMF13" s="12"/>
      <c r="DMG13" s="12"/>
      <c r="DMH13" s="12"/>
      <c r="DMI13" s="12"/>
      <c r="DMJ13" s="12"/>
      <c r="DMK13" s="12"/>
      <c r="DML13" s="12"/>
      <c r="DMM13" s="12"/>
      <c r="DMN13" s="12"/>
      <c r="DMO13" s="12"/>
      <c r="DMP13" s="12"/>
      <c r="DMQ13" s="12"/>
      <c r="DMR13" s="12"/>
      <c r="DMS13" s="12"/>
      <c r="DMT13" s="12"/>
      <c r="DMU13" s="12"/>
      <c r="DMV13" s="12"/>
      <c r="DMW13" s="12"/>
      <c r="DMX13" s="12"/>
      <c r="DMY13" s="12"/>
      <c r="DMZ13" s="12"/>
      <c r="DNA13" s="12"/>
      <c r="DNB13" s="12"/>
      <c r="DNC13" s="12"/>
      <c r="DND13" s="12"/>
      <c r="DNE13" s="12"/>
      <c r="DNF13" s="12"/>
      <c r="DNG13" s="12"/>
      <c r="DNH13" s="12"/>
      <c r="DNI13" s="12"/>
      <c r="DNJ13" s="12"/>
      <c r="DNK13" s="12"/>
      <c r="DNL13" s="12"/>
      <c r="DNM13" s="12"/>
      <c r="DNN13" s="12"/>
      <c r="DNO13" s="12"/>
      <c r="DNP13" s="12"/>
      <c r="DNQ13" s="12"/>
      <c r="DNR13" s="12"/>
      <c r="DNS13" s="12"/>
      <c r="DNT13" s="12"/>
      <c r="DNU13" s="12"/>
      <c r="DNV13" s="12"/>
      <c r="DNW13" s="12"/>
      <c r="DNX13" s="12"/>
      <c r="DNY13" s="12"/>
      <c r="DNZ13" s="12"/>
      <c r="DOA13" s="12"/>
      <c r="DOB13" s="12"/>
      <c r="DOC13" s="12"/>
      <c r="DOD13" s="12"/>
      <c r="DOE13" s="12"/>
      <c r="DOF13" s="12"/>
      <c r="DOG13" s="12"/>
      <c r="DOH13" s="12"/>
      <c r="DOI13" s="12"/>
      <c r="DOJ13" s="12"/>
      <c r="DOK13" s="12"/>
      <c r="DOL13" s="12"/>
      <c r="DOM13" s="12"/>
      <c r="DON13" s="12"/>
      <c r="DOO13" s="12"/>
      <c r="DOP13" s="12"/>
      <c r="DOQ13" s="12"/>
      <c r="DOR13" s="12"/>
      <c r="DOS13" s="12"/>
      <c r="DOT13" s="12"/>
      <c r="DOU13" s="12"/>
      <c r="DOV13" s="12"/>
      <c r="DOW13" s="12"/>
      <c r="DOX13" s="12"/>
      <c r="DOY13" s="12"/>
      <c r="DOZ13" s="12"/>
      <c r="DPA13" s="12"/>
      <c r="DPB13" s="12"/>
      <c r="DPC13" s="12"/>
      <c r="DPD13" s="12"/>
      <c r="DPE13" s="12"/>
      <c r="DPF13" s="12"/>
      <c r="DPG13" s="12"/>
      <c r="DPH13" s="12"/>
      <c r="DPI13" s="12"/>
      <c r="DPJ13" s="12"/>
      <c r="DPK13" s="12"/>
      <c r="DPL13" s="12"/>
      <c r="DPM13" s="12"/>
      <c r="DPN13" s="12"/>
      <c r="DPO13" s="12"/>
      <c r="DPP13" s="12"/>
      <c r="DPQ13" s="12"/>
      <c r="DPR13" s="12"/>
      <c r="DPS13" s="12"/>
      <c r="DPT13" s="12"/>
      <c r="DPU13" s="12"/>
      <c r="DPV13" s="12"/>
      <c r="DPW13" s="12"/>
      <c r="DPX13" s="12"/>
      <c r="DPY13" s="12"/>
      <c r="DPZ13" s="12"/>
      <c r="DQA13" s="12"/>
      <c r="DQB13" s="12"/>
      <c r="DQC13" s="12"/>
      <c r="DQD13" s="12"/>
      <c r="DQE13" s="12"/>
      <c r="DQF13" s="12"/>
      <c r="DQG13" s="12"/>
      <c r="DQH13" s="12"/>
      <c r="DQI13" s="12"/>
      <c r="DQJ13" s="12"/>
      <c r="DQK13" s="12"/>
      <c r="DQL13" s="12"/>
      <c r="DQM13" s="12"/>
      <c r="DQN13" s="12"/>
      <c r="DQO13" s="12"/>
      <c r="DQP13" s="12"/>
      <c r="DQQ13" s="12"/>
      <c r="DQR13" s="12"/>
      <c r="DQS13" s="12"/>
      <c r="DQT13" s="12"/>
      <c r="DQU13" s="12"/>
      <c r="DQV13" s="12"/>
      <c r="DQW13" s="12"/>
      <c r="DQX13" s="12"/>
      <c r="DQY13" s="12"/>
      <c r="DQZ13" s="12"/>
      <c r="DRA13" s="12"/>
      <c r="DRB13" s="12"/>
      <c r="DRC13" s="12"/>
      <c r="DRD13" s="12"/>
      <c r="DRE13" s="12"/>
      <c r="DRF13" s="12"/>
      <c r="DRG13" s="12"/>
      <c r="DRH13" s="12"/>
      <c r="DRI13" s="12"/>
      <c r="DRJ13" s="12"/>
      <c r="DRK13" s="12"/>
      <c r="DRL13" s="12"/>
      <c r="DRM13" s="12"/>
      <c r="DRN13" s="12"/>
      <c r="DRO13" s="12"/>
      <c r="DRP13" s="12"/>
      <c r="DRQ13" s="12"/>
      <c r="DRR13" s="12"/>
      <c r="DRS13" s="12"/>
      <c r="DRT13" s="12"/>
      <c r="DRU13" s="12"/>
      <c r="DRV13" s="12"/>
      <c r="DRW13" s="12"/>
      <c r="DRX13" s="12"/>
      <c r="DRY13" s="12"/>
      <c r="DRZ13" s="12"/>
      <c r="DSA13" s="12"/>
      <c r="DSB13" s="12"/>
      <c r="DSC13" s="12"/>
      <c r="DSD13" s="12"/>
      <c r="DSE13" s="12"/>
      <c r="DSF13" s="12"/>
      <c r="DSG13" s="12"/>
      <c r="DSH13" s="12"/>
      <c r="DSI13" s="12"/>
      <c r="DSJ13" s="12"/>
      <c r="DSK13" s="12"/>
      <c r="DSL13" s="12"/>
      <c r="DSM13" s="12"/>
      <c r="DSN13" s="12"/>
      <c r="DSO13" s="12"/>
      <c r="DSP13" s="12"/>
      <c r="DSQ13" s="12"/>
      <c r="DSR13" s="12"/>
      <c r="DSS13" s="12"/>
      <c r="DST13" s="12"/>
      <c r="DSU13" s="12"/>
      <c r="DSV13" s="12"/>
      <c r="DSW13" s="12"/>
      <c r="DSX13" s="12"/>
      <c r="DSY13" s="12"/>
      <c r="DSZ13" s="12"/>
      <c r="DTA13" s="12"/>
      <c r="DTB13" s="12"/>
      <c r="DTC13" s="12"/>
      <c r="DTD13" s="12"/>
      <c r="DTE13" s="12"/>
      <c r="DTF13" s="12"/>
      <c r="DTG13" s="12"/>
      <c r="DTH13" s="12"/>
      <c r="DTI13" s="12"/>
      <c r="DTJ13" s="12"/>
      <c r="DTK13" s="12"/>
      <c r="DTL13" s="12"/>
      <c r="DTM13" s="12"/>
      <c r="DTN13" s="12"/>
      <c r="DTO13" s="12"/>
      <c r="DTP13" s="12"/>
      <c r="DTQ13" s="12"/>
      <c r="DTR13" s="12"/>
      <c r="DTS13" s="12"/>
      <c r="DTT13" s="12"/>
      <c r="DTU13" s="12"/>
      <c r="DTV13" s="12"/>
      <c r="DTW13" s="12"/>
      <c r="DTX13" s="12"/>
      <c r="DTY13" s="12"/>
      <c r="DTZ13" s="12"/>
      <c r="DUA13" s="12"/>
      <c r="DUB13" s="12"/>
      <c r="DUC13" s="12"/>
      <c r="DUD13" s="12"/>
      <c r="DUE13" s="12"/>
      <c r="DUF13" s="12"/>
      <c r="DUG13" s="12"/>
      <c r="DUH13" s="12"/>
      <c r="DUI13" s="12"/>
      <c r="DUJ13" s="12"/>
      <c r="DUK13" s="12"/>
      <c r="DUL13" s="12"/>
      <c r="DUM13" s="12"/>
      <c r="DUN13" s="12"/>
      <c r="DUO13" s="12"/>
      <c r="DUP13" s="12"/>
      <c r="DUQ13" s="12"/>
      <c r="DUR13" s="12"/>
      <c r="DUS13" s="12"/>
      <c r="DUT13" s="12"/>
      <c r="DUU13" s="12"/>
      <c r="DUV13" s="12"/>
      <c r="DUW13" s="12"/>
      <c r="DUX13" s="12"/>
      <c r="DUY13" s="12"/>
      <c r="DUZ13" s="12"/>
      <c r="DVA13" s="12"/>
      <c r="DVB13" s="12"/>
      <c r="DVC13" s="12"/>
      <c r="DVD13" s="12"/>
      <c r="DVE13" s="12"/>
      <c r="DVF13" s="12"/>
      <c r="DVG13" s="12"/>
      <c r="DVH13" s="12"/>
      <c r="DVI13" s="12"/>
      <c r="DVJ13" s="12"/>
      <c r="DVK13" s="12"/>
      <c r="DVL13" s="12"/>
      <c r="DVM13" s="12"/>
      <c r="DVN13" s="12"/>
      <c r="DVO13" s="12"/>
      <c r="DVP13" s="12"/>
      <c r="DVQ13" s="12"/>
      <c r="DVR13" s="12"/>
      <c r="DVS13" s="12"/>
      <c r="DVT13" s="12"/>
      <c r="DVU13" s="12"/>
      <c r="DVV13" s="12"/>
      <c r="DVW13" s="12"/>
      <c r="DVX13" s="12"/>
      <c r="DVY13" s="12"/>
      <c r="DVZ13" s="12"/>
      <c r="DWA13" s="12"/>
      <c r="DWB13" s="12"/>
      <c r="DWC13" s="12"/>
      <c r="DWD13" s="12"/>
      <c r="DWE13" s="12"/>
      <c r="DWF13" s="12"/>
      <c r="DWG13" s="12"/>
      <c r="DWH13" s="12"/>
      <c r="DWI13" s="12"/>
      <c r="DWJ13" s="12"/>
      <c r="DWK13" s="12"/>
      <c r="DWL13" s="12"/>
      <c r="DWM13" s="12"/>
      <c r="DWN13" s="12"/>
      <c r="DWO13" s="12"/>
      <c r="DWP13" s="12"/>
      <c r="DWQ13" s="12"/>
      <c r="DWR13" s="12"/>
      <c r="DWS13" s="12"/>
      <c r="DWT13" s="12"/>
      <c r="DWU13" s="12"/>
      <c r="DWV13" s="12"/>
      <c r="DWW13" s="12"/>
      <c r="DWX13" s="12"/>
      <c r="DWY13" s="12"/>
      <c r="DWZ13" s="12"/>
      <c r="DXA13" s="12"/>
      <c r="DXB13" s="12"/>
      <c r="DXC13" s="12"/>
      <c r="DXD13" s="12"/>
      <c r="DXE13" s="12"/>
      <c r="DXF13" s="12"/>
      <c r="DXG13" s="12"/>
      <c r="DXH13" s="12"/>
      <c r="DXI13" s="12"/>
      <c r="DXJ13" s="12"/>
      <c r="DXK13" s="12"/>
      <c r="DXL13" s="12"/>
      <c r="DXM13" s="12"/>
      <c r="DXN13" s="12"/>
      <c r="DXO13" s="12"/>
      <c r="DXP13" s="12"/>
      <c r="DXQ13" s="12"/>
      <c r="DXR13" s="12"/>
      <c r="DXS13" s="12"/>
      <c r="DXT13" s="12"/>
      <c r="DXU13" s="12"/>
      <c r="DXV13" s="12"/>
      <c r="DXW13" s="12"/>
      <c r="DXX13" s="12"/>
      <c r="DXY13" s="12"/>
      <c r="DXZ13" s="12"/>
      <c r="DYA13" s="12"/>
      <c r="DYB13" s="12"/>
      <c r="DYC13" s="12"/>
      <c r="DYD13" s="12"/>
      <c r="DYE13" s="12"/>
      <c r="DYF13" s="12"/>
      <c r="DYG13" s="12"/>
      <c r="DYH13" s="12"/>
      <c r="DYI13" s="12"/>
      <c r="DYJ13" s="12"/>
      <c r="DYK13" s="12"/>
      <c r="DYL13" s="12"/>
      <c r="DYM13" s="12"/>
      <c r="DYN13" s="12"/>
      <c r="DYO13" s="12"/>
      <c r="DYP13" s="12"/>
      <c r="DYQ13" s="12"/>
      <c r="DYR13" s="12"/>
      <c r="DYS13" s="12"/>
      <c r="DYT13" s="12"/>
      <c r="DYU13" s="12"/>
      <c r="DYV13" s="12"/>
      <c r="DYW13" s="12"/>
      <c r="DYX13" s="12"/>
      <c r="DYY13" s="12"/>
      <c r="DYZ13" s="12"/>
      <c r="DZA13" s="12"/>
      <c r="DZB13" s="12"/>
      <c r="DZC13" s="12"/>
      <c r="DZD13" s="12"/>
      <c r="DZE13" s="12"/>
      <c r="DZF13" s="12"/>
      <c r="DZG13" s="12"/>
      <c r="DZH13" s="12"/>
      <c r="DZI13" s="12"/>
      <c r="DZJ13" s="12"/>
      <c r="DZK13" s="12"/>
      <c r="DZL13" s="12"/>
      <c r="DZM13" s="12"/>
      <c r="DZN13" s="12"/>
      <c r="DZO13" s="12"/>
      <c r="DZP13" s="12"/>
      <c r="DZQ13" s="12"/>
      <c r="DZR13" s="12"/>
      <c r="DZS13" s="12"/>
      <c r="DZT13" s="12"/>
      <c r="DZU13" s="12"/>
      <c r="DZV13" s="12"/>
      <c r="DZW13" s="12"/>
      <c r="DZX13" s="12"/>
      <c r="DZY13" s="12"/>
      <c r="DZZ13" s="12"/>
      <c r="EAA13" s="12"/>
      <c r="EAB13" s="12"/>
      <c r="EAC13" s="12"/>
      <c r="EAD13" s="12"/>
      <c r="EAE13" s="12"/>
      <c r="EAF13" s="12"/>
      <c r="EAG13" s="12"/>
      <c r="EAH13" s="12"/>
      <c r="EAI13" s="12"/>
      <c r="EAJ13" s="12"/>
      <c r="EAK13" s="12"/>
      <c r="EAL13" s="12"/>
      <c r="EAM13" s="12"/>
      <c r="EAN13" s="12"/>
      <c r="EAO13" s="12"/>
      <c r="EAP13" s="12"/>
      <c r="EAQ13" s="12"/>
      <c r="EAR13" s="12"/>
      <c r="EAS13" s="12"/>
      <c r="EAT13" s="12"/>
      <c r="EAU13" s="12"/>
      <c r="EAV13" s="12"/>
      <c r="EAW13" s="12"/>
      <c r="EAX13" s="12"/>
      <c r="EAY13" s="12"/>
      <c r="EAZ13" s="12"/>
      <c r="EBA13" s="12"/>
      <c r="EBB13" s="12"/>
      <c r="EBC13" s="12"/>
      <c r="EBD13" s="12"/>
      <c r="EBE13" s="12"/>
      <c r="EBF13" s="12"/>
      <c r="EBG13" s="12"/>
      <c r="EBH13" s="12"/>
      <c r="EBI13" s="12"/>
      <c r="EBJ13" s="12"/>
      <c r="EBK13" s="12"/>
      <c r="EBL13" s="12"/>
      <c r="EBM13" s="12"/>
      <c r="EBN13" s="12"/>
      <c r="EBO13" s="12"/>
      <c r="EBP13" s="12"/>
      <c r="EBQ13" s="12"/>
      <c r="EBR13" s="12"/>
      <c r="EBS13" s="12"/>
      <c r="EBT13" s="12"/>
      <c r="EBU13" s="12"/>
      <c r="EBV13" s="12"/>
      <c r="EBW13" s="12"/>
      <c r="EBX13" s="12"/>
      <c r="EBY13" s="12"/>
      <c r="EBZ13" s="12"/>
      <c r="ECA13" s="12"/>
      <c r="ECB13" s="12"/>
      <c r="ECC13" s="12"/>
      <c r="ECD13" s="12"/>
      <c r="ECE13" s="12"/>
      <c r="ECF13" s="12"/>
      <c r="ECG13" s="12"/>
      <c r="ECH13" s="12"/>
      <c r="ECI13" s="12"/>
      <c r="ECJ13" s="12"/>
      <c r="ECK13" s="12"/>
      <c r="ECL13" s="12"/>
      <c r="ECM13" s="12"/>
      <c r="ECN13" s="12"/>
      <c r="ECO13" s="12"/>
      <c r="ECP13" s="12"/>
      <c r="ECQ13" s="12"/>
      <c r="ECR13" s="12"/>
      <c r="ECS13" s="12"/>
      <c r="ECT13" s="12"/>
      <c r="ECU13" s="12"/>
      <c r="ECV13" s="12"/>
      <c r="ECW13" s="12"/>
      <c r="ECX13" s="12"/>
      <c r="ECY13" s="12"/>
      <c r="ECZ13" s="12"/>
      <c r="EDA13" s="12"/>
      <c r="EDB13" s="12"/>
      <c r="EDC13" s="12"/>
      <c r="EDD13" s="12"/>
      <c r="EDE13" s="12"/>
      <c r="EDF13" s="12"/>
      <c r="EDG13" s="12"/>
      <c r="EDH13" s="12"/>
      <c r="EDI13" s="12"/>
      <c r="EDJ13" s="12"/>
      <c r="EDK13" s="12"/>
      <c r="EDL13" s="12"/>
      <c r="EDM13" s="12"/>
      <c r="EDN13" s="12"/>
      <c r="EDO13" s="12"/>
      <c r="EDP13" s="12"/>
      <c r="EDQ13" s="12"/>
      <c r="EDR13" s="12"/>
      <c r="EDS13" s="12"/>
      <c r="EDT13" s="12"/>
      <c r="EDU13" s="12"/>
      <c r="EDV13" s="12"/>
      <c r="EDW13" s="12"/>
      <c r="EDX13" s="12"/>
      <c r="EDY13" s="12"/>
      <c r="EDZ13" s="12"/>
      <c r="EEA13" s="12"/>
      <c r="EEB13" s="12"/>
      <c r="EEC13" s="12"/>
      <c r="EED13" s="12"/>
      <c r="EEE13" s="12"/>
      <c r="EEF13" s="12"/>
      <c r="EEG13" s="12"/>
      <c r="EEH13" s="12"/>
      <c r="EEI13" s="12"/>
      <c r="EEJ13" s="12"/>
      <c r="EEK13" s="12"/>
      <c r="EEL13" s="12"/>
      <c r="EEM13" s="12"/>
      <c r="EEN13" s="12"/>
      <c r="EEO13" s="12"/>
      <c r="EEP13" s="12"/>
      <c r="EEQ13" s="12"/>
      <c r="EER13" s="12"/>
      <c r="EES13" s="12"/>
      <c r="EET13" s="12"/>
      <c r="EEU13" s="12"/>
      <c r="EEV13" s="12"/>
      <c r="EEW13" s="12"/>
      <c r="EEX13" s="12"/>
      <c r="EEY13" s="12"/>
      <c r="EEZ13" s="12"/>
      <c r="EFA13" s="12"/>
      <c r="EFB13" s="12"/>
      <c r="EFC13" s="12"/>
      <c r="EFD13" s="12"/>
      <c r="EFE13" s="12"/>
      <c r="EFF13" s="12"/>
      <c r="EFG13" s="12"/>
      <c r="EFH13" s="12"/>
      <c r="EFI13" s="12"/>
      <c r="EFJ13" s="12"/>
      <c r="EFK13" s="12"/>
      <c r="EFL13" s="12"/>
      <c r="EFM13" s="12"/>
      <c r="EFN13" s="12"/>
      <c r="EFO13" s="12"/>
      <c r="EFP13" s="12"/>
      <c r="EFQ13" s="12"/>
      <c r="EFR13" s="12"/>
      <c r="EFS13" s="12"/>
      <c r="EFT13" s="12"/>
      <c r="EFU13" s="12"/>
      <c r="EFV13" s="12"/>
      <c r="EFW13" s="12"/>
      <c r="EFX13" s="12"/>
      <c r="EFY13" s="12"/>
      <c r="EFZ13" s="12"/>
      <c r="EGA13" s="12"/>
      <c r="EGB13" s="12"/>
      <c r="EGC13" s="12"/>
      <c r="EGD13" s="12"/>
      <c r="EGE13" s="12"/>
      <c r="EGF13" s="12"/>
      <c r="EGG13" s="12"/>
      <c r="EGH13" s="12"/>
      <c r="EGI13" s="12"/>
      <c r="EGJ13" s="12"/>
      <c r="EGK13" s="12"/>
      <c r="EGL13" s="12"/>
      <c r="EGM13" s="12"/>
      <c r="EGN13" s="12"/>
      <c r="EGO13" s="12"/>
      <c r="EGP13" s="12"/>
      <c r="EGQ13" s="12"/>
      <c r="EGR13" s="12"/>
      <c r="EGS13" s="12"/>
      <c r="EGT13" s="12"/>
      <c r="EGU13" s="12"/>
      <c r="EGV13" s="12"/>
      <c r="EGW13" s="12"/>
      <c r="EGX13" s="12"/>
      <c r="EGY13" s="12"/>
      <c r="EGZ13" s="12"/>
      <c r="EHA13" s="12"/>
      <c r="EHB13" s="12"/>
      <c r="EHC13" s="12"/>
      <c r="EHD13" s="12"/>
      <c r="EHE13" s="12"/>
      <c r="EHF13" s="12"/>
      <c r="EHG13" s="12"/>
      <c r="EHH13" s="12"/>
      <c r="EHI13" s="12"/>
      <c r="EHJ13" s="12"/>
      <c r="EHK13" s="12"/>
      <c r="EHL13" s="12"/>
      <c r="EHM13" s="12"/>
      <c r="EHN13" s="12"/>
      <c r="EHO13" s="12"/>
      <c r="EHP13" s="12"/>
      <c r="EHQ13" s="12"/>
      <c r="EHR13" s="12"/>
      <c r="EHS13" s="12"/>
      <c r="EHT13" s="12"/>
      <c r="EHU13" s="12"/>
      <c r="EHV13" s="12"/>
      <c r="EHW13" s="12"/>
      <c r="EHX13" s="12"/>
      <c r="EHY13" s="12"/>
      <c r="EHZ13" s="12"/>
      <c r="EIA13" s="12"/>
      <c r="EIB13" s="12"/>
      <c r="EIC13" s="12"/>
      <c r="EID13" s="12"/>
      <c r="EIE13" s="12"/>
      <c r="EIF13" s="12"/>
      <c r="EIG13" s="12"/>
      <c r="EIH13" s="12"/>
      <c r="EII13" s="12"/>
      <c r="EIJ13" s="12"/>
      <c r="EIK13" s="12"/>
      <c r="EIL13" s="12"/>
      <c r="EIM13" s="12"/>
      <c r="EIN13" s="12"/>
      <c r="EIO13" s="12"/>
      <c r="EIP13" s="12"/>
      <c r="EIQ13" s="12"/>
      <c r="EIR13" s="12"/>
      <c r="EIS13" s="12"/>
      <c r="EIT13" s="12"/>
      <c r="EIU13" s="12"/>
      <c r="EIV13" s="12"/>
      <c r="EIW13" s="12"/>
      <c r="EIX13" s="12"/>
      <c r="EIY13" s="12"/>
      <c r="EIZ13" s="12"/>
      <c r="EJA13" s="12"/>
      <c r="EJB13" s="12"/>
      <c r="EJC13" s="12"/>
      <c r="EJD13" s="12"/>
      <c r="EJE13" s="12"/>
      <c r="EJF13" s="12"/>
      <c r="EJG13" s="12"/>
      <c r="EJH13" s="12"/>
      <c r="EJI13" s="12"/>
      <c r="EJJ13" s="12"/>
      <c r="EJK13" s="12"/>
      <c r="EJL13" s="12"/>
      <c r="EJM13" s="12"/>
      <c r="EJN13" s="12"/>
      <c r="EJO13" s="12"/>
      <c r="EJP13" s="12"/>
      <c r="EJQ13" s="12"/>
      <c r="EJR13" s="12"/>
      <c r="EJS13" s="12"/>
      <c r="EJT13" s="12"/>
      <c r="EJU13" s="12"/>
      <c r="EJV13" s="12"/>
      <c r="EJW13" s="12"/>
      <c r="EJX13" s="12"/>
      <c r="EJY13" s="12"/>
      <c r="EJZ13" s="12"/>
      <c r="EKA13" s="12"/>
      <c r="EKB13" s="12"/>
      <c r="EKC13" s="12"/>
      <c r="EKD13" s="12"/>
      <c r="EKE13" s="12"/>
      <c r="EKF13" s="12"/>
      <c r="EKG13" s="12"/>
      <c r="EKH13" s="12"/>
      <c r="EKI13" s="12"/>
      <c r="EKJ13" s="12"/>
      <c r="EKK13" s="12"/>
      <c r="EKL13" s="12"/>
      <c r="EKM13" s="12"/>
      <c r="EKN13" s="12"/>
      <c r="EKO13" s="12"/>
      <c r="EKP13" s="12"/>
      <c r="EKQ13" s="12"/>
      <c r="EKR13" s="12"/>
      <c r="EKS13" s="12"/>
      <c r="EKT13" s="12"/>
      <c r="EKU13" s="12"/>
      <c r="EKV13" s="12"/>
      <c r="EKW13" s="12"/>
      <c r="EKX13" s="12"/>
      <c r="EKY13" s="12"/>
      <c r="EKZ13" s="12"/>
      <c r="ELA13" s="12"/>
      <c r="ELB13" s="12"/>
      <c r="ELC13" s="12"/>
      <c r="ELD13" s="12"/>
      <c r="ELE13" s="12"/>
      <c r="ELF13" s="12"/>
      <c r="ELG13" s="12"/>
      <c r="ELH13" s="12"/>
      <c r="ELI13" s="12"/>
      <c r="ELJ13" s="12"/>
      <c r="ELK13" s="12"/>
      <c r="ELL13" s="12"/>
      <c r="ELM13" s="12"/>
      <c r="ELN13" s="12"/>
      <c r="ELO13" s="12"/>
      <c r="ELP13" s="12"/>
      <c r="ELQ13" s="12"/>
      <c r="ELR13" s="12"/>
      <c r="ELS13" s="12"/>
      <c r="ELT13" s="12"/>
      <c r="ELU13" s="12"/>
      <c r="ELV13" s="12"/>
      <c r="ELW13" s="12"/>
      <c r="ELX13" s="12"/>
      <c r="ELY13" s="12"/>
      <c r="ELZ13" s="12"/>
      <c r="EMA13" s="12"/>
      <c r="EMB13" s="12"/>
      <c r="EMC13" s="12"/>
      <c r="EMD13" s="12"/>
      <c r="EME13" s="12"/>
      <c r="EMF13" s="12"/>
      <c r="EMG13" s="12"/>
      <c r="EMH13" s="12"/>
      <c r="EMI13" s="12"/>
      <c r="EMJ13" s="12"/>
      <c r="EMK13" s="12"/>
      <c r="EML13" s="12"/>
      <c r="EMM13" s="12"/>
      <c r="EMN13" s="12"/>
      <c r="EMO13" s="12"/>
      <c r="EMP13" s="12"/>
      <c r="EMQ13" s="12"/>
      <c r="EMR13" s="12"/>
      <c r="EMS13" s="12"/>
      <c r="EMT13" s="12"/>
      <c r="EMU13" s="12"/>
      <c r="EMV13" s="12"/>
      <c r="EMW13" s="12"/>
      <c r="EMX13" s="12"/>
      <c r="EMY13" s="12"/>
      <c r="EMZ13" s="12"/>
      <c r="ENA13" s="12"/>
      <c r="ENB13" s="12"/>
      <c r="ENC13" s="12"/>
      <c r="END13" s="12"/>
      <c r="ENE13" s="12"/>
      <c r="ENF13" s="12"/>
      <c r="ENG13" s="12"/>
      <c r="ENH13" s="12"/>
      <c r="ENI13" s="12"/>
      <c r="ENJ13" s="12"/>
      <c r="ENK13" s="12"/>
      <c r="ENL13" s="12"/>
      <c r="ENM13" s="12"/>
      <c r="ENN13" s="12"/>
      <c r="ENO13" s="12"/>
      <c r="ENP13" s="12"/>
      <c r="ENQ13" s="12"/>
      <c r="ENR13" s="12"/>
      <c r="ENS13" s="12"/>
      <c r="ENT13" s="12"/>
      <c r="ENU13" s="12"/>
      <c r="ENV13" s="12"/>
      <c r="ENW13" s="12"/>
      <c r="ENX13" s="12"/>
      <c r="ENY13" s="12"/>
      <c r="ENZ13" s="12"/>
      <c r="EOA13" s="12"/>
      <c r="EOB13" s="12"/>
      <c r="EOC13" s="12"/>
      <c r="EOD13" s="12"/>
      <c r="EOE13" s="12"/>
      <c r="EOF13" s="12"/>
      <c r="EOG13" s="12"/>
      <c r="EOH13" s="12"/>
      <c r="EOI13" s="12"/>
      <c r="EOJ13" s="12"/>
      <c r="EOK13" s="12"/>
      <c r="EOL13" s="12"/>
      <c r="EOM13" s="12"/>
      <c r="EON13" s="12"/>
      <c r="EOO13" s="12"/>
      <c r="EOP13" s="12"/>
      <c r="EOQ13" s="12"/>
      <c r="EOR13" s="12"/>
      <c r="EOS13" s="12"/>
      <c r="EOT13" s="12"/>
      <c r="EOU13" s="12"/>
      <c r="EOV13" s="12"/>
      <c r="EOW13" s="12"/>
      <c r="EOX13" s="12"/>
      <c r="EOY13" s="12"/>
      <c r="EOZ13" s="12"/>
      <c r="EPA13" s="12"/>
      <c r="EPB13" s="12"/>
      <c r="EPC13" s="12"/>
      <c r="EPD13" s="12"/>
      <c r="EPE13" s="12"/>
      <c r="EPF13" s="12"/>
      <c r="EPG13" s="12"/>
      <c r="EPH13" s="12"/>
      <c r="EPI13" s="12"/>
      <c r="EPJ13" s="12"/>
      <c r="EPK13" s="12"/>
      <c r="EPL13" s="12"/>
      <c r="EPM13" s="12"/>
      <c r="EPN13" s="12"/>
      <c r="EPO13" s="12"/>
      <c r="EPP13" s="12"/>
      <c r="EPQ13" s="12"/>
      <c r="EPR13" s="12"/>
      <c r="EPS13" s="12"/>
      <c r="EPT13" s="12"/>
      <c r="EPU13" s="12"/>
      <c r="EPV13" s="12"/>
      <c r="EPW13" s="12"/>
      <c r="EPX13" s="12"/>
      <c r="EPY13" s="12"/>
      <c r="EPZ13" s="12"/>
      <c r="EQA13" s="12"/>
      <c r="EQB13" s="12"/>
      <c r="EQC13" s="12"/>
      <c r="EQD13" s="12"/>
      <c r="EQE13" s="12"/>
      <c r="EQF13" s="12"/>
      <c r="EQG13" s="12"/>
      <c r="EQH13" s="12"/>
      <c r="EQI13" s="12"/>
      <c r="EQJ13" s="12"/>
      <c r="EQK13" s="12"/>
      <c r="EQL13" s="12"/>
      <c r="EQM13" s="12"/>
      <c r="EQN13" s="12"/>
      <c r="EQO13" s="12"/>
      <c r="EQP13" s="12"/>
      <c r="EQQ13" s="12"/>
      <c r="EQR13" s="12"/>
      <c r="EQS13" s="12"/>
      <c r="EQT13" s="12"/>
      <c r="EQU13" s="12"/>
      <c r="EQV13" s="12"/>
      <c r="EQW13" s="12"/>
      <c r="EQX13" s="12"/>
      <c r="EQY13" s="12"/>
      <c r="EQZ13" s="12"/>
      <c r="ERA13" s="12"/>
      <c r="ERB13" s="12"/>
      <c r="ERC13" s="12"/>
      <c r="ERD13" s="12"/>
      <c r="ERE13" s="12"/>
      <c r="ERF13" s="12"/>
      <c r="ERG13" s="12"/>
      <c r="ERH13" s="12"/>
      <c r="ERI13" s="12"/>
      <c r="ERJ13" s="12"/>
      <c r="ERK13" s="12"/>
      <c r="ERL13" s="12"/>
      <c r="ERM13" s="12"/>
      <c r="ERN13" s="12"/>
      <c r="ERO13" s="12"/>
      <c r="ERP13" s="12"/>
      <c r="ERQ13" s="12"/>
      <c r="ERR13" s="12"/>
      <c r="ERS13" s="12"/>
      <c r="ERT13" s="12"/>
      <c r="ERU13" s="12"/>
      <c r="ERV13" s="12"/>
      <c r="ERW13" s="12"/>
      <c r="ERX13" s="12"/>
      <c r="ERY13" s="12"/>
      <c r="ERZ13" s="12"/>
      <c r="ESA13" s="12"/>
      <c r="ESB13" s="12"/>
      <c r="ESC13" s="12"/>
      <c r="ESD13" s="12"/>
      <c r="ESE13" s="12"/>
      <c r="ESF13" s="12"/>
      <c r="ESG13" s="12"/>
      <c r="ESH13" s="12"/>
      <c r="ESI13" s="12"/>
      <c r="ESJ13" s="12"/>
      <c r="ESK13" s="12"/>
      <c r="ESL13" s="12"/>
      <c r="ESM13" s="12"/>
      <c r="ESN13" s="12"/>
      <c r="ESO13" s="12"/>
      <c r="ESP13" s="12"/>
      <c r="ESQ13" s="12"/>
      <c r="ESR13" s="12"/>
      <c r="ESS13" s="12"/>
      <c r="EST13" s="12"/>
      <c r="ESU13" s="12"/>
      <c r="ESV13" s="12"/>
      <c r="ESW13" s="12"/>
      <c r="ESX13" s="12"/>
      <c r="ESY13" s="12"/>
      <c r="ESZ13" s="12"/>
      <c r="ETA13" s="12"/>
      <c r="ETB13" s="12"/>
      <c r="ETC13" s="12"/>
      <c r="ETD13" s="12"/>
      <c r="ETE13" s="12"/>
      <c r="ETF13" s="12"/>
      <c r="ETG13" s="12"/>
      <c r="ETH13" s="12"/>
      <c r="ETI13" s="12"/>
      <c r="ETJ13" s="12"/>
      <c r="ETK13" s="12"/>
      <c r="ETL13" s="12"/>
      <c r="ETM13" s="12"/>
      <c r="ETN13" s="12"/>
      <c r="ETO13" s="12"/>
      <c r="ETP13" s="12"/>
      <c r="ETQ13" s="12"/>
      <c r="ETR13" s="12"/>
      <c r="ETS13" s="12"/>
      <c r="ETT13" s="12"/>
      <c r="ETU13" s="12"/>
      <c r="ETV13" s="12"/>
      <c r="ETW13" s="12"/>
      <c r="ETX13" s="12"/>
      <c r="ETY13" s="12"/>
      <c r="ETZ13" s="12"/>
      <c r="EUA13" s="12"/>
      <c r="EUB13" s="12"/>
      <c r="EUC13" s="12"/>
      <c r="EUD13" s="12"/>
      <c r="EUE13" s="12"/>
      <c r="EUF13" s="12"/>
      <c r="EUG13" s="12"/>
      <c r="EUH13" s="12"/>
      <c r="EUI13" s="12"/>
      <c r="EUJ13" s="12"/>
      <c r="EUK13" s="12"/>
      <c r="EUL13" s="12"/>
      <c r="EUM13" s="12"/>
      <c r="EUN13" s="12"/>
      <c r="EUO13" s="12"/>
      <c r="EUP13" s="12"/>
      <c r="EUQ13" s="12"/>
      <c r="EUR13" s="12"/>
      <c r="EUS13" s="12"/>
      <c r="EUT13" s="12"/>
      <c r="EUU13" s="12"/>
      <c r="EUV13" s="12"/>
      <c r="EUW13" s="12"/>
      <c r="EUX13" s="12"/>
      <c r="EUY13" s="12"/>
      <c r="EUZ13" s="12"/>
      <c r="EVA13" s="12"/>
      <c r="EVB13" s="12"/>
      <c r="EVC13" s="12"/>
      <c r="EVD13" s="12"/>
      <c r="EVE13" s="12"/>
      <c r="EVF13" s="12"/>
      <c r="EVG13" s="12"/>
      <c r="EVH13" s="12"/>
      <c r="EVI13" s="12"/>
      <c r="EVJ13" s="12"/>
      <c r="EVK13" s="12"/>
      <c r="EVL13" s="12"/>
      <c r="EVM13" s="12"/>
      <c r="EVN13" s="12"/>
      <c r="EVO13" s="12"/>
      <c r="EVP13" s="12"/>
      <c r="EVQ13" s="12"/>
      <c r="EVR13" s="12"/>
      <c r="EVS13" s="12"/>
      <c r="EVT13" s="12"/>
      <c r="EVU13" s="12"/>
      <c r="EVV13" s="12"/>
      <c r="EVW13" s="12"/>
      <c r="EVX13" s="12"/>
      <c r="EVY13" s="12"/>
      <c r="EVZ13" s="12"/>
      <c r="EWA13" s="12"/>
      <c r="EWB13" s="12"/>
      <c r="EWC13" s="12"/>
      <c r="EWD13" s="12"/>
      <c r="EWE13" s="12"/>
      <c r="EWF13" s="12"/>
      <c r="EWG13" s="12"/>
      <c r="EWH13" s="12"/>
      <c r="EWI13" s="12"/>
      <c r="EWJ13" s="12"/>
      <c r="EWK13" s="12"/>
      <c r="EWL13" s="12"/>
      <c r="EWM13" s="12"/>
      <c r="EWN13" s="12"/>
      <c r="EWO13" s="12"/>
      <c r="EWP13" s="12"/>
      <c r="EWQ13" s="12"/>
      <c r="EWR13" s="12"/>
      <c r="EWS13" s="12"/>
      <c r="EWT13" s="12"/>
      <c r="EWU13" s="12"/>
      <c r="EWV13" s="12"/>
      <c r="EWW13" s="12"/>
      <c r="EWX13" s="12"/>
      <c r="EWY13" s="12"/>
      <c r="EWZ13" s="12"/>
      <c r="EXA13" s="12"/>
      <c r="EXB13" s="12"/>
      <c r="EXC13" s="12"/>
      <c r="EXD13" s="12"/>
      <c r="EXE13" s="12"/>
      <c r="EXF13" s="12"/>
      <c r="EXG13" s="12"/>
      <c r="EXH13" s="12"/>
      <c r="EXI13" s="12"/>
      <c r="EXJ13" s="12"/>
      <c r="EXK13" s="12"/>
      <c r="EXL13" s="12"/>
      <c r="EXM13" s="12"/>
      <c r="EXN13" s="12"/>
      <c r="EXO13" s="12"/>
      <c r="EXP13" s="12"/>
      <c r="EXQ13" s="12"/>
      <c r="EXR13" s="12"/>
      <c r="EXS13" s="12"/>
      <c r="EXT13" s="12"/>
      <c r="EXU13" s="12"/>
      <c r="EXV13" s="12"/>
      <c r="EXW13" s="12"/>
      <c r="EXX13" s="12"/>
      <c r="EXY13" s="12"/>
      <c r="EXZ13" s="12"/>
      <c r="EYA13" s="12"/>
      <c r="EYB13" s="12"/>
      <c r="EYC13" s="12"/>
      <c r="EYD13" s="12"/>
      <c r="EYE13" s="12"/>
      <c r="EYF13" s="12"/>
      <c r="EYG13" s="12"/>
      <c r="EYH13" s="12"/>
      <c r="EYI13" s="12"/>
      <c r="EYJ13" s="12"/>
      <c r="EYK13" s="12"/>
      <c r="EYL13" s="12"/>
      <c r="EYM13" s="12"/>
      <c r="EYN13" s="12"/>
      <c r="EYO13" s="12"/>
      <c r="EYP13" s="12"/>
      <c r="EYQ13" s="12"/>
      <c r="EYR13" s="12"/>
      <c r="EYS13" s="12"/>
      <c r="EYT13" s="12"/>
      <c r="EYU13" s="12"/>
      <c r="EYV13" s="12"/>
      <c r="EYW13" s="12"/>
      <c r="EYX13" s="12"/>
      <c r="EYY13" s="12"/>
      <c r="EYZ13" s="12"/>
      <c r="EZA13" s="12"/>
      <c r="EZB13" s="12"/>
      <c r="EZC13" s="12"/>
      <c r="EZD13" s="12"/>
      <c r="EZE13" s="12"/>
      <c r="EZF13" s="12"/>
      <c r="EZG13" s="12"/>
      <c r="EZH13" s="12"/>
      <c r="EZI13" s="12"/>
      <c r="EZJ13" s="12"/>
      <c r="EZK13" s="12"/>
      <c r="EZL13" s="12"/>
      <c r="EZM13" s="12"/>
      <c r="EZN13" s="12"/>
      <c r="EZO13" s="12"/>
      <c r="EZP13" s="12"/>
      <c r="EZQ13" s="12"/>
      <c r="EZR13" s="12"/>
      <c r="EZS13" s="12"/>
      <c r="EZT13" s="12"/>
      <c r="EZU13" s="12"/>
      <c r="EZV13" s="12"/>
      <c r="EZW13" s="12"/>
      <c r="EZX13" s="12"/>
      <c r="EZY13" s="12"/>
      <c r="EZZ13" s="12"/>
      <c r="FAA13" s="12"/>
      <c r="FAB13" s="12"/>
      <c r="FAC13" s="12"/>
      <c r="FAD13" s="12"/>
      <c r="FAE13" s="12"/>
      <c r="FAF13" s="12"/>
      <c r="FAG13" s="12"/>
      <c r="FAH13" s="12"/>
      <c r="FAI13" s="12"/>
      <c r="FAJ13" s="12"/>
      <c r="FAK13" s="12"/>
      <c r="FAL13" s="12"/>
      <c r="FAM13" s="12"/>
      <c r="FAN13" s="12"/>
      <c r="FAO13" s="12"/>
      <c r="FAP13" s="12"/>
      <c r="FAQ13" s="12"/>
      <c r="FAR13" s="12"/>
      <c r="FAS13" s="12"/>
      <c r="FAT13" s="12"/>
      <c r="FAU13" s="12"/>
      <c r="FAV13" s="12"/>
      <c r="FAW13" s="12"/>
      <c r="FAX13" s="12"/>
      <c r="FAY13" s="12"/>
      <c r="FAZ13" s="12"/>
      <c r="FBA13" s="12"/>
      <c r="FBB13" s="12"/>
      <c r="FBC13" s="12"/>
      <c r="FBD13" s="12"/>
      <c r="FBE13" s="12"/>
      <c r="FBF13" s="12"/>
      <c r="FBG13" s="12"/>
      <c r="FBH13" s="12"/>
      <c r="FBI13" s="12"/>
      <c r="FBJ13" s="12"/>
      <c r="FBK13" s="12"/>
      <c r="FBL13" s="12"/>
      <c r="FBM13" s="12"/>
      <c r="FBN13" s="12"/>
      <c r="FBO13" s="12"/>
      <c r="FBP13" s="12"/>
      <c r="FBQ13" s="12"/>
      <c r="FBR13" s="12"/>
      <c r="FBS13" s="12"/>
      <c r="FBT13" s="12"/>
      <c r="FBU13" s="12"/>
      <c r="FBV13" s="12"/>
      <c r="FBW13" s="12"/>
      <c r="FBX13" s="12"/>
      <c r="FBY13" s="12"/>
      <c r="FBZ13" s="12"/>
      <c r="FCA13" s="12"/>
      <c r="FCB13" s="12"/>
      <c r="FCC13" s="12"/>
      <c r="FCD13" s="12"/>
      <c r="FCE13" s="12"/>
      <c r="FCF13" s="12"/>
      <c r="FCG13" s="12"/>
      <c r="FCH13" s="12"/>
      <c r="FCI13" s="12"/>
      <c r="FCJ13" s="12"/>
      <c r="FCK13" s="12"/>
      <c r="FCL13" s="12"/>
      <c r="FCM13" s="12"/>
      <c r="FCN13" s="12"/>
      <c r="FCO13" s="12"/>
      <c r="FCP13" s="12"/>
      <c r="FCQ13" s="12"/>
      <c r="FCR13" s="12"/>
      <c r="FCS13" s="12"/>
      <c r="FCT13" s="12"/>
      <c r="FCU13" s="12"/>
      <c r="FCV13" s="12"/>
      <c r="FCW13" s="12"/>
      <c r="FCX13" s="12"/>
      <c r="FCY13" s="12"/>
      <c r="FCZ13" s="12"/>
      <c r="FDA13" s="12"/>
      <c r="FDB13" s="12"/>
      <c r="FDC13" s="12"/>
      <c r="FDD13" s="12"/>
      <c r="FDE13" s="12"/>
      <c r="FDF13" s="12"/>
      <c r="FDG13" s="12"/>
      <c r="FDH13" s="12"/>
      <c r="FDI13" s="12"/>
      <c r="FDJ13" s="12"/>
      <c r="FDK13" s="12"/>
      <c r="FDL13" s="12"/>
      <c r="FDM13" s="12"/>
      <c r="FDN13" s="12"/>
      <c r="FDO13" s="12"/>
      <c r="FDP13" s="12"/>
      <c r="FDQ13" s="12"/>
      <c r="FDR13" s="12"/>
      <c r="FDS13" s="12"/>
      <c r="FDT13" s="12"/>
      <c r="FDU13" s="12"/>
      <c r="FDV13" s="12"/>
      <c r="FDW13" s="12"/>
      <c r="FDX13" s="12"/>
      <c r="FDY13" s="12"/>
      <c r="FDZ13" s="12"/>
      <c r="FEA13" s="12"/>
      <c r="FEB13" s="12"/>
      <c r="FEC13" s="12"/>
      <c r="FED13" s="12"/>
      <c r="FEE13" s="12"/>
      <c r="FEF13" s="12"/>
      <c r="FEG13" s="12"/>
      <c r="FEH13" s="12"/>
      <c r="FEI13" s="12"/>
      <c r="FEJ13" s="12"/>
      <c r="FEK13" s="12"/>
      <c r="FEL13" s="12"/>
      <c r="FEM13" s="12"/>
      <c r="FEN13" s="12"/>
      <c r="FEO13" s="12"/>
      <c r="FEP13" s="12"/>
      <c r="FEQ13" s="12"/>
      <c r="FER13" s="12"/>
      <c r="FES13" s="12"/>
      <c r="FET13" s="12"/>
      <c r="FEU13" s="12"/>
      <c r="FEV13" s="12"/>
      <c r="FEW13" s="12"/>
      <c r="FEX13" s="12"/>
      <c r="FEY13" s="12"/>
      <c r="FEZ13" s="12"/>
      <c r="FFA13" s="12"/>
      <c r="FFB13" s="12"/>
      <c r="FFC13" s="12"/>
      <c r="FFD13" s="12"/>
      <c r="FFE13" s="12"/>
      <c r="FFF13" s="12"/>
      <c r="FFG13" s="12"/>
      <c r="FFH13" s="12"/>
      <c r="FFI13" s="12"/>
      <c r="FFJ13" s="12"/>
      <c r="FFK13" s="12"/>
      <c r="FFL13" s="12"/>
      <c r="FFM13" s="12"/>
      <c r="FFN13" s="12"/>
      <c r="FFO13" s="12"/>
      <c r="FFP13" s="12"/>
      <c r="FFQ13" s="12"/>
      <c r="FFR13" s="12"/>
      <c r="FFS13" s="12"/>
      <c r="FFT13" s="12"/>
      <c r="FFU13" s="12"/>
      <c r="FFV13" s="12"/>
      <c r="FFW13" s="12"/>
      <c r="FFX13" s="12"/>
      <c r="FFY13" s="12"/>
      <c r="FFZ13" s="12"/>
      <c r="FGA13" s="12"/>
      <c r="FGB13" s="12"/>
      <c r="FGC13" s="12"/>
      <c r="FGD13" s="12"/>
      <c r="FGE13" s="12"/>
      <c r="FGF13" s="12"/>
      <c r="FGG13" s="12"/>
      <c r="FGH13" s="12"/>
      <c r="FGI13" s="12"/>
      <c r="FGJ13" s="12"/>
      <c r="FGK13" s="12"/>
      <c r="FGL13" s="12"/>
      <c r="FGM13" s="12"/>
      <c r="FGN13" s="12"/>
      <c r="FGO13" s="12"/>
      <c r="FGP13" s="12"/>
      <c r="FGQ13" s="12"/>
      <c r="FGR13" s="12"/>
      <c r="FGS13" s="12"/>
      <c r="FGT13" s="12"/>
      <c r="FGU13" s="12"/>
      <c r="FGV13" s="12"/>
      <c r="FGW13" s="12"/>
      <c r="FGX13" s="12"/>
      <c r="FGY13" s="12"/>
      <c r="FGZ13" s="12"/>
      <c r="FHA13" s="12"/>
      <c r="FHB13" s="12"/>
      <c r="FHC13" s="12"/>
      <c r="FHD13" s="12"/>
      <c r="FHE13" s="12"/>
      <c r="FHF13" s="12"/>
      <c r="FHG13" s="12"/>
      <c r="FHH13" s="12"/>
      <c r="FHI13" s="12"/>
      <c r="FHJ13" s="12"/>
      <c r="FHK13" s="12"/>
      <c r="FHL13" s="12"/>
      <c r="FHM13" s="12"/>
      <c r="FHN13" s="12"/>
      <c r="FHO13" s="12"/>
      <c r="FHP13" s="12"/>
      <c r="FHQ13" s="12"/>
      <c r="FHR13" s="12"/>
      <c r="FHS13" s="12"/>
      <c r="FHT13" s="12"/>
      <c r="FHU13" s="12"/>
      <c r="FHV13" s="12"/>
      <c r="FHW13" s="12"/>
      <c r="FHX13" s="12"/>
      <c r="FHY13" s="12"/>
      <c r="FHZ13" s="12"/>
      <c r="FIA13" s="12"/>
      <c r="FIB13" s="12"/>
      <c r="FIC13" s="12"/>
      <c r="FID13" s="12"/>
      <c r="FIE13" s="12"/>
      <c r="FIF13" s="12"/>
      <c r="FIG13" s="12"/>
      <c r="FIH13" s="12"/>
      <c r="FII13" s="12"/>
      <c r="FIJ13" s="12"/>
      <c r="FIK13" s="12"/>
      <c r="FIL13" s="12"/>
      <c r="FIM13" s="12"/>
      <c r="FIN13" s="12"/>
      <c r="FIO13" s="12"/>
      <c r="FIP13" s="12"/>
      <c r="FIQ13" s="12"/>
      <c r="FIR13" s="12"/>
      <c r="FIS13" s="12"/>
      <c r="FIT13" s="12"/>
      <c r="FIU13" s="12"/>
      <c r="FIV13" s="12"/>
      <c r="FIW13" s="12"/>
      <c r="FIX13" s="12"/>
      <c r="FIY13" s="12"/>
      <c r="FIZ13" s="12"/>
      <c r="FJA13" s="12"/>
      <c r="FJB13" s="12"/>
      <c r="FJC13" s="12"/>
      <c r="FJD13" s="12"/>
      <c r="FJE13" s="12"/>
      <c r="FJF13" s="12"/>
      <c r="FJG13" s="12"/>
      <c r="FJH13" s="12"/>
      <c r="FJI13" s="12"/>
      <c r="FJJ13" s="12"/>
      <c r="FJK13" s="12"/>
      <c r="FJL13" s="12"/>
      <c r="FJM13" s="12"/>
      <c r="FJN13" s="12"/>
      <c r="FJO13" s="12"/>
      <c r="FJP13" s="12"/>
      <c r="FJQ13" s="12"/>
      <c r="FJR13" s="12"/>
      <c r="FJS13" s="12"/>
      <c r="FJT13" s="12"/>
      <c r="FJU13" s="12"/>
      <c r="FJV13" s="12"/>
      <c r="FJW13" s="12"/>
      <c r="FJX13" s="12"/>
      <c r="FJY13" s="12"/>
      <c r="FJZ13" s="12"/>
      <c r="FKA13" s="12"/>
      <c r="FKB13" s="12"/>
      <c r="FKC13" s="12"/>
      <c r="FKD13" s="12"/>
      <c r="FKE13" s="12"/>
      <c r="FKF13" s="12"/>
      <c r="FKG13" s="12"/>
      <c r="FKH13" s="12"/>
      <c r="FKI13" s="12"/>
      <c r="FKJ13" s="12"/>
      <c r="FKK13" s="12"/>
      <c r="FKL13" s="12"/>
      <c r="FKM13" s="12"/>
      <c r="FKN13" s="12"/>
      <c r="FKO13" s="12"/>
      <c r="FKP13" s="12"/>
      <c r="FKQ13" s="12"/>
      <c r="FKR13" s="12"/>
      <c r="FKS13" s="12"/>
      <c r="FKT13" s="12"/>
      <c r="FKU13" s="12"/>
      <c r="FKV13" s="12"/>
      <c r="FKW13" s="12"/>
      <c r="FKX13" s="12"/>
      <c r="FKY13" s="12"/>
      <c r="FKZ13" s="12"/>
      <c r="FLA13" s="12"/>
      <c r="FLB13" s="12"/>
      <c r="FLC13" s="12"/>
      <c r="FLD13" s="12"/>
      <c r="FLE13" s="12"/>
      <c r="FLF13" s="12"/>
      <c r="FLG13" s="12"/>
      <c r="FLH13" s="12"/>
      <c r="FLI13" s="12"/>
      <c r="FLJ13" s="12"/>
      <c r="FLK13" s="12"/>
      <c r="FLL13" s="12"/>
      <c r="FLM13" s="12"/>
      <c r="FLN13" s="12"/>
      <c r="FLO13" s="12"/>
      <c r="FLP13" s="12"/>
      <c r="FLQ13" s="12"/>
      <c r="FLR13" s="12"/>
      <c r="FLS13" s="12"/>
      <c r="FLT13" s="12"/>
      <c r="FLU13" s="12"/>
      <c r="FLV13" s="12"/>
      <c r="FLW13" s="12"/>
      <c r="FLX13" s="12"/>
      <c r="FLY13" s="12"/>
      <c r="FLZ13" s="12"/>
      <c r="FMA13" s="12"/>
      <c r="FMB13" s="12"/>
      <c r="FMC13" s="12"/>
      <c r="FMD13" s="12"/>
      <c r="FME13" s="12"/>
      <c r="FMF13" s="12"/>
      <c r="FMG13" s="12"/>
      <c r="FMH13" s="12"/>
      <c r="FMI13" s="12"/>
      <c r="FMJ13" s="12"/>
      <c r="FMK13" s="12"/>
      <c r="FML13" s="12"/>
      <c r="FMM13" s="12"/>
      <c r="FMN13" s="12"/>
      <c r="FMO13" s="12"/>
      <c r="FMP13" s="12"/>
      <c r="FMQ13" s="12"/>
      <c r="FMR13" s="12"/>
      <c r="FMS13" s="12"/>
      <c r="FMT13" s="12"/>
      <c r="FMU13" s="12"/>
      <c r="FMV13" s="12"/>
      <c r="FMW13" s="12"/>
      <c r="FMX13" s="12"/>
      <c r="FMY13" s="12"/>
      <c r="FMZ13" s="12"/>
      <c r="FNA13" s="12"/>
      <c r="FNB13" s="12"/>
      <c r="FNC13" s="12"/>
      <c r="FND13" s="12"/>
      <c r="FNE13" s="12"/>
      <c r="FNF13" s="12"/>
      <c r="FNG13" s="12"/>
      <c r="FNH13" s="12"/>
      <c r="FNI13" s="12"/>
      <c r="FNJ13" s="12"/>
      <c r="FNK13" s="12"/>
      <c r="FNL13" s="12"/>
      <c r="FNM13" s="12"/>
      <c r="FNN13" s="12"/>
      <c r="FNO13" s="12"/>
      <c r="FNP13" s="12"/>
      <c r="FNQ13" s="12"/>
      <c r="FNR13" s="12"/>
      <c r="FNS13" s="12"/>
      <c r="FNT13" s="12"/>
      <c r="FNU13" s="12"/>
      <c r="FNV13" s="12"/>
      <c r="FNW13" s="12"/>
      <c r="FNX13" s="12"/>
      <c r="FNY13" s="12"/>
      <c r="FNZ13" s="12"/>
      <c r="FOA13" s="12"/>
      <c r="FOB13" s="12"/>
      <c r="FOC13" s="12"/>
      <c r="FOD13" s="12"/>
      <c r="FOE13" s="12"/>
      <c r="FOF13" s="12"/>
      <c r="FOG13" s="12"/>
      <c r="FOH13" s="12"/>
      <c r="FOI13" s="12"/>
      <c r="FOJ13" s="12"/>
      <c r="FOK13" s="12"/>
      <c r="FOL13" s="12"/>
      <c r="FOM13" s="12"/>
      <c r="FON13" s="12"/>
      <c r="FOO13" s="12"/>
      <c r="FOP13" s="12"/>
      <c r="FOQ13" s="12"/>
      <c r="FOR13" s="12"/>
      <c r="FOS13" s="12"/>
      <c r="FOT13" s="12"/>
      <c r="FOU13" s="12"/>
      <c r="FOV13" s="12"/>
      <c r="FOW13" s="12"/>
      <c r="FOX13" s="12"/>
      <c r="FOY13" s="12"/>
      <c r="FOZ13" s="12"/>
      <c r="FPA13" s="12"/>
      <c r="FPB13" s="12"/>
      <c r="FPC13" s="12"/>
      <c r="FPD13" s="12"/>
      <c r="FPE13" s="12"/>
      <c r="FPF13" s="12"/>
      <c r="FPG13" s="12"/>
      <c r="FPH13" s="12"/>
      <c r="FPI13" s="12"/>
      <c r="FPJ13" s="12"/>
      <c r="FPK13" s="12"/>
      <c r="FPL13" s="12"/>
      <c r="FPM13" s="12"/>
      <c r="FPN13" s="12"/>
      <c r="FPO13" s="12"/>
      <c r="FPP13" s="12"/>
      <c r="FPQ13" s="12"/>
      <c r="FPR13" s="12"/>
      <c r="FPS13" s="12"/>
      <c r="FPT13" s="12"/>
      <c r="FPU13" s="12"/>
      <c r="FPV13" s="12"/>
      <c r="FPW13" s="12"/>
      <c r="FPX13" s="12"/>
      <c r="FPY13" s="12"/>
      <c r="FPZ13" s="12"/>
      <c r="FQA13" s="12"/>
      <c r="FQB13" s="12"/>
      <c r="FQC13" s="12"/>
      <c r="FQD13" s="12"/>
      <c r="FQE13" s="12"/>
      <c r="FQF13" s="12"/>
      <c r="FQG13" s="12"/>
      <c r="FQH13" s="12"/>
      <c r="FQI13" s="12"/>
      <c r="FQJ13" s="12"/>
      <c r="FQK13" s="12"/>
      <c r="FQL13" s="12"/>
      <c r="FQM13" s="12"/>
      <c r="FQN13" s="12"/>
      <c r="FQO13" s="12"/>
      <c r="FQP13" s="12"/>
      <c r="FQQ13" s="12"/>
      <c r="FQR13" s="12"/>
      <c r="FQS13" s="12"/>
      <c r="FQT13" s="12"/>
      <c r="FQU13" s="12"/>
      <c r="FQV13" s="12"/>
      <c r="FQW13" s="12"/>
      <c r="FQX13" s="12"/>
      <c r="FQY13" s="12"/>
      <c r="FQZ13" s="12"/>
      <c r="FRA13" s="12"/>
      <c r="FRB13" s="12"/>
      <c r="FRC13" s="12"/>
      <c r="FRD13" s="12"/>
      <c r="FRE13" s="12"/>
      <c r="FRF13" s="12"/>
      <c r="FRG13" s="12"/>
      <c r="FRH13" s="12"/>
      <c r="FRI13" s="12"/>
      <c r="FRJ13" s="12"/>
      <c r="FRK13" s="12"/>
      <c r="FRL13" s="12"/>
      <c r="FRM13" s="12"/>
      <c r="FRN13" s="12"/>
      <c r="FRO13" s="12"/>
      <c r="FRP13" s="12"/>
      <c r="FRQ13" s="12"/>
      <c r="FRR13" s="12"/>
      <c r="FRS13" s="12"/>
      <c r="FRT13" s="12"/>
      <c r="FRU13" s="12"/>
      <c r="FRV13" s="12"/>
      <c r="FRW13" s="12"/>
      <c r="FRX13" s="12"/>
      <c r="FRY13" s="12"/>
      <c r="FRZ13" s="12"/>
      <c r="FSA13" s="12"/>
      <c r="FSB13" s="12"/>
      <c r="FSC13" s="12"/>
      <c r="FSD13" s="12"/>
      <c r="FSE13" s="12"/>
      <c r="FSF13" s="12"/>
      <c r="FSG13" s="12"/>
      <c r="FSH13" s="12"/>
      <c r="FSI13" s="12"/>
      <c r="FSJ13" s="12"/>
      <c r="FSK13" s="12"/>
      <c r="FSL13" s="12"/>
      <c r="FSM13" s="12"/>
      <c r="FSN13" s="12"/>
      <c r="FSO13" s="12"/>
      <c r="FSP13" s="12"/>
      <c r="FSQ13" s="12"/>
      <c r="FSR13" s="12"/>
      <c r="FSS13" s="12"/>
      <c r="FST13" s="12"/>
      <c r="FSU13" s="12"/>
      <c r="FSV13" s="12"/>
      <c r="FSW13" s="12"/>
      <c r="FSX13" s="12"/>
      <c r="FSY13" s="12"/>
      <c r="FSZ13" s="12"/>
      <c r="FTA13" s="12"/>
      <c r="FTB13" s="12"/>
      <c r="FTC13" s="12"/>
      <c r="FTD13" s="12"/>
      <c r="FTE13" s="12"/>
      <c r="FTF13" s="12"/>
      <c r="FTG13" s="12"/>
      <c r="FTH13" s="12"/>
      <c r="FTI13" s="12"/>
      <c r="FTJ13" s="12"/>
      <c r="FTK13" s="12"/>
      <c r="FTL13" s="12"/>
      <c r="FTM13" s="12"/>
      <c r="FTN13" s="12"/>
      <c r="FTO13" s="12"/>
      <c r="FTP13" s="12"/>
      <c r="FTQ13" s="12"/>
      <c r="FTR13" s="12"/>
      <c r="FTS13" s="12"/>
      <c r="FTT13" s="12"/>
      <c r="FTU13" s="12"/>
      <c r="FTV13" s="12"/>
      <c r="FTW13" s="12"/>
      <c r="FTX13" s="12"/>
      <c r="FTY13" s="12"/>
      <c r="FTZ13" s="12"/>
      <c r="FUA13" s="12"/>
      <c r="FUB13" s="12"/>
      <c r="FUC13" s="12"/>
      <c r="FUD13" s="12"/>
      <c r="FUE13" s="12"/>
      <c r="FUF13" s="12"/>
      <c r="FUG13" s="12"/>
      <c r="FUH13" s="12"/>
      <c r="FUI13" s="12"/>
      <c r="FUJ13" s="12"/>
      <c r="FUK13" s="12"/>
      <c r="FUL13" s="12"/>
      <c r="FUM13" s="12"/>
      <c r="FUN13" s="12"/>
      <c r="FUO13" s="12"/>
      <c r="FUP13" s="12"/>
      <c r="FUQ13" s="12"/>
      <c r="FUR13" s="12"/>
      <c r="FUS13" s="12"/>
      <c r="FUT13" s="12"/>
      <c r="FUU13" s="12"/>
      <c r="FUV13" s="12"/>
      <c r="FUW13" s="12"/>
      <c r="FUX13" s="12"/>
      <c r="FUY13" s="12"/>
      <c r="FUZ13" s="12"/>
      <c r="FVA13" s="12"/>
      <c r="FVB13" s="12"/>
      <c r="FVC13" s="12"/>
      <c r="FVD13" s="12"/>
      <c r="FVE13" s="12"/>
      <c r="FVF13" s="12"/>
      <c r="FVG13" s="12"/>
      <c r="FVH13" s="12"/>
      <c r="FVI13" s="12"/>
      <c r="FVJ13" s="12"/>
      <c r="FVK13" s="12"/>
      <c r="FVL13" s="12"/>
      <c r="FVM13" s="12"/>
      <c r="FVN13" s="12"/>
      <c r="FVO13" s="12"/>
      <c r="FVP13" s="12"/>
      <c r="FVQ13" s="12"/>
      <c r="FVR13" s="12"/>
      <c r="FVS13" s="12"/>
      <c r="FVT13" s="12"/>
      <c r="FVU13" s="12"/>
      <c r="FVV13" s="12"/>
      <c r="FVW13" s="12"/>
      <c r="FVX13" s="12"/>
      <c r="FVY13" s="12"/>
      <c r="FVZ13" s="12"/>
      <c r="FWA13" s="12"/>
      <c r="FWB13" s="12"/>
      <c r="FWC13" s="12"/>
      <c r="FWD13" s="12"/>
      <c r="FWE13" s="12"/>
      <c r="FWF13" s="12"/>
      <c r="FWG13" s="12"/>
      <c r="FWH13" s="12"/>
      <c r="FWI13" s="12"/>
      <c r="FWJ13" s="12"/>
      <c r="FWK13" s="12"/>
      <c r="FWL13" s="12"/>
      <c r="FWM13" s="12"/>
      <c r="FWN13" s="12"/>
      <c r="FWO13" s="12"/>
      <c r="FWP13" s="12"/>
      <c r="FWQ13" s="12"/>
      <c r="FWR13" s="12"/>
      <c r="FWS13" s="12"/>
      <c r="FWT13" s="12"/>
      <c r="FWU13" s="12"/>
      <c r="FWV13" s="12"/>
      <c r="FWW13" s="12"/>
      <c r="FWX13" s="12"/>
      <c r="FWY13" s="12"/>
      <c r="FWZ13" s="12"/>
      <c r="FXA13" s="12"/>
      <c r="FXB13" s="12"/>
      <c r="FXC13" s="12"/>
      <c r="FXD13" s="12"/>
      <c r="FXE13" s="12"/>
      <c r="FXF13" s="12"/>
      <c r="FXG13" s="12"/>
      <c r="FXH13" s="12"/>
      <c r="FXI13" s="12"/>
      <c r="FXJ13" s="12"/>
      <c r="FXK13" s="12"/>
      <c r="FXL13" s="12"/>
      <c r="FXM13" s="12"/>
      <c r="FXN13" s="12"/>
      <c r="FXO13" s="12"/>
      <c r="FXP13" s="12"/>
      <c r="FXQ13" s="12"/>
      <c r="FXR13" s="12"/>
      <c r="FXS13" s="12"/>
      <c r="FXT13" s="12"/>
      <c r="FXU13" s="12"/>
      <c r="FXV13" s="12"/>
      <c r="FXW13" s="12"/>
      <c r="FXX13" s="12"/>
      <c r="FXY13" s="12"/>
      <c r="FXZ13" s="12"/>
      <c r="FYA13" s="12"/>
      <c r="FYB13" s="12"/>
      <c r="FYC13" s="12"/>
      <c r="FYD13" s="12"/>
      <c r="FYE13" s="12"/>
      <c r="FYF13" s="12"/>
      <c r="FYG13" s="12"/>
      <c r="FYH13" s="12"/>
      <c r="FYI13" s="12"/>
      <c r="FYJ13" s="12"/>
      <c r="FYK13" s="12"/>
      <c r="FYL13" s="12"/>
      <c r="FYM13" s="12"/>
      <c r="FYN13" s="12"/>
      <c r="FYO13" s="12"/>
      <c r="FYP13" s="12"/>
      <c r="FYQ13" s="12"/>
      <c r="FYR13" s="12"/>
      <c r="FYS13" s="12"/>
      <c r="FYT13" s="12"/>
      <c r="FYU13" s="12"/>
      <c r="FYV13" s="12"/>
      <c r="FYW13" s="12"/>
      <c r="FYX13" s="12"/>
      <c r="FYY13" s="12"/>
      <c r="FYZ13" s="12"/>
      <c r="FZA13" s="12"/>
      <c r="FZB13" s="12"/>
      <c r="FZC13" s="12"/>
      <c r="FZD13" s="12"/>
      <c r="FZE13" s="12"/>
      <c r="FZF13" s="12"/>
      <c r="FZG13" s="12"/>
      <c r="FZH13" s="12"/>
      <c r="FZI13" s="12"/>
      <c r="FZJ13" s="12"/>
      <c r="FZK13" s="12"/>
      <c r="FZL13" s="12"/>
      <c r="FZM13" s="12"/>
      <c r="FZN13" s="12"/>
      <c r="FZO13" s="12"/>
      <c r="FZP13" s="12"/>
      <c r="FZQ13" s="12"/>
      <c r="FZR13" s="12"/>
      <c r="FZS13" s="12"/>
      <c r="FZT13" s="12"/>
      <c r="FZU13" s="12"/>
      <c r="FZV13" s="12"/>
      <c r="FZW13" s="12"/>
      <c r="FZX13" s="12"/>
      <c r="FZY13" s="12"/>
      <c r="FZZ13" s="12"/>
      <c r="GAA13" s="12"/>
      <c r="GAB13" s="12"/>
      <c r="GAC13" s="12"/>
      <c r="GAD13" s="12"/>
      <c r="GAE13" s="12"/>
      <c r="GAF13" s="12"/>
      <c r="GAG13" s="12"/>
      <c r="GAH13" s="12"/>
      <c r="GAI13" s="12"/>
      <c r="GAJ13" s="12"/>
      <c r="GAK13" s="12"/>
      <c r="GAL13" s="12"/>
      <c r="GAM13" s="12"/>
      <c r="GAN13" s="12"/>
      <c r="GAO13" s="12"/>
      <c r="GAP13" s="12"/>
      <c r="GAQ13" s="12"/>
      <c r="GAR13" s="12"/>
      <c r="GAS13" s="12"/>
      <c r="GAT13" s="12"/>
      <c r="GAU13" s="12"/>
      <c r="GAV13" s="12"/>
      <c r="GAW13" s="12"/>
      <c r="GAX13" s="12"/>
      <c r="GAY13" s="12"/>
      <c r="GAZ13" s="12"/>
      <c r="GBA13" s="12"/>
      <c r="GBB13" s="12"/>
      <c r="GBC13" s="12"/>
      <c r="GBD13" s="12"/>
      <c r="GBE13" s="12"/>
      <c r="GBF13" s="12"/>
      <c r="GBG13" s="12"/>
      <c r="GBH13" s="12"/>
      <c r="GBI13" s="12"/>
      <c r="GBJ13" s="12"/>
      <c r="GBK13" s="12"/>
      <c r="GBL13" s="12"/>
      <c r="GBM13" s="12"/>
      <c r="GBN13" s="12"/>
      <c r="GBO13" s="12"/>
      <c r="GBP13" s="12"/>
      <c r="GBQ13" s="12"/>
      <c r="GBR13" s="12"/>
      <c r="GBS13" s="12"/>
      <c r="GBT13" s="12"/>
      <c r="GBU13" s="12"/>
      <c r="GBV13" s="12"/>
      <c r="GBW13" s="12"/>
      <c r="GBX13" s="12"/>
      <c r="GBY13" s="12"/>
      <c r="GBZ13" s="12"/>
      <c r="GCA13" s="12"/>
      <c r="GCB13" s="12"/>
      <c r="GCC13" s="12"/>
      <c r="GCD13" s="12"/>
      <c r="GCE13" s="12"/>
      <c r="GCF13" s="12"/>
      <c r="GCG13" s="12"/>
      <c r="GCH13" s="12"/>
      <c r="GCI13" s="12"/>
      <c r="GCJ13" s="12"/>
      <c r="GCK13" s="12"/>
      <c r="GCL13" s="12"/>
      <c r="GCM13" s="12"/>
      <c r="GCN13" s="12"/>
      <c r="GCO13" s="12"/>
      <c r="GCP13" s="12"/>
      <c r="GCQ13" s="12"/>
      <c r="GCR13" s="12"/>
      <c r="GCS13" s="12"/>
      <c r="GCT13" s="12"/>
      <c r="GCU13" s="12"/>
      <c r="GCV13" s="12"/>
      <c r="GCW13" s="12"/>
      <c r="GCX13" s="12"/>
      <c r="GCY13" s="12"/>
      <c r="GCZ13" s="12"/>
      <c r="GDA13" s="12"/>
      <c r="GDB13" s="12"/>
      <c r="GDC13" s="12"/>
      <c r="GDD13" s="12"/>
      <c r="GDE13" s="12"/>
      <c r="GDF13" s="12"/>
      <c r="GDG13" s="12"/>
      <c r="GDH13" s="12"/>
      <c r="GDI13" s="12"/>
      <c r="GDJ13" s="12"/>
      <c r="GDK13" s="12"/>
      <c r="GDL13" s="12"/>
      <c r="GDM13" s="12"/>
      <c r="GDN13" s="12"/>
      <c r="GDO13" s="12"/>
      <c r="GDP13" s="12"/>
      <c r="GDQ13" s="12"/>
      <c r="GDR13" s="12"/>
      <c r="GDS13" s="12"/>
      <c r="GDT13" s="12"/>
      <c r="GDU13" s="12"/>
      <c r="GDV13" s="12"/>
      <c r="GDW13" s="12"/>
      <c r="GDX13" s="12"/>
      <c r="GDY13" s="12"/>
      <c r="GDZ13" s="12"/>
      <c r="GEA13" s="12"/>
      <c r="GEB13" s="12"/>
      <c r="GEC13" s="12"/>
      <c r="GED13" s="12"/>
      <c r="GEE13" s="12"/>
      <c r="GEF13" s="12"/>
      <c r="GEG13" s="12"/>
      <c r="GEH13" s="12"/>
      <c r="GEI13" s="12"/>
      <c r="GEJ13" s="12"/>
      <c r="GEK13" s="12"/>
      <c r="GEL13" s="12"/>
      <c r="GEM13" s="12"/>
      <c r="GEN13" s="12"/>
      <c r="GEO13" s="12"/>
      <c r="GEP13" s="12"/>
      <c r="GEQ13" s="12"/>
      <c r="GER13" s="12"/>
      <c r="GES13" s="12"/>
      <c r="GET13" s="12"/>
      <c r="GEU13" s="12"/>
      <c r="GEV13" s="12"/>
      <c r="GEW13" s="12"/>
      <c r="GEX13" s="12"/>
      <c r="GEY13" s="12"/>
      <c r="GEZ13" s="12"/>
      <c r="GFA13" s="12"/>
      <c r="GFB13" s="12"/>
      <c r="GFC13" s="12"/>
      <c r="GFD13" s="12"/>
      <c r="GFE13" s="12"/>
      <c r="GFF13" s="12"/>
      <c r="GFG13" s="12"/>
      <c r="GFH13" s="12"/>
      <c r="GFI13" s="12"/>
      <c r="GFJ13" s="12"/>
      <c r="GFK13" s="12"/>
      <c r="GFL13" s="12"/>
      <c r="GFM13" s="12"/>
      <c r="GFN13" s="12"/>
      <c r="GFO13" s="12"/>
      <c r="GFP13" s="12"/>
      <c r="GFQ13" s="12"/>
      <c r="GFR13" s="12"/>
      <c r="GFS13" s="12"/>
      <c r="GFT13" s="12"/>
      <c r="GFU13" s="12"/>
      <c r="GFV13" s="12"/>
      <c r="GFW13" s="12"/>
      <c r="GFX13" s="12"/>
      <c r="GFY13" s="12"/>
      <c r="GFZ13" s="12"/>
      <c r="GGA13" s="12"/>
      <c r="GGB13" s="12"/>
      <c r="GGC13" s="12"/>
      <c r="GGD13" s="12"/>
      <c r="GGE13" s="12"/>
      <c r="GGF13" s="12"/>
      <c r="GGG13" s="12"/>
      <c r="GGH13" s="12"/>
      <c r="GGI13" s="12"/>
      <c r="GGJ13" s="12"/>
      <c r="GGK13" s="12"/>
      <c r="GGL13" s="12"/>
      <c r="GGM13" s="12"/>
      <c r="GGN13" s="12"/>
      <c r="GGO13" s="12"/>
      <c r="GGP13" s="12"/>
      <c r="GGQ13" s="12"/>
      <c r="GGR13" s="12"/>
      <c r="GGS13" s="12"/>
      <c r="GGT13" s="12"/>
      <c r="GGU13" s="12"/>
      <c r="GGV13" s="12"/>
      <c r="GGW13" s="12"/>
      <c r="GGX13" s="12"/>
      <c r="GGY13" s="12"/>
      <c r="GGZ13" s="12"/>
      <c r="GHA13" s="12"/>
      <c r="GHB13" s="12"/>
      <c r="GHC13" s="12"/>
      <c r="GHD13" s="12"/>
      <c r="GHE13" s="12"/>
      <c r="GHF13" s="12"/>
      <c r="GHG13" s="12"/>
      <c r="GHH13" s="12"/>
      <c r="GHI13" s="12"/>
      <c r="GHJ13" s="12"/>
      <c r="GHK13" s="12"/>
      <c r="GHL13" s="12"/>
      <c r="GHM13" s="12"/>
      <c r="GHN13" s="12"/>
      <c r="GHO13" s="12"/>
      <c r="GHP13" s="12"/>
      <c r="GHQ13" s="12"/>
      <c r="GHR13" s="12"/>
      <c r="GHS13" s="12"/>
      <c r="GHT13" s="12"/>
      <c r="GHU13" s="12"/>
      <c r="GHV13" s="12"/>
      <c r="GHW13" s="12"/>
      <c r="GHX13" s="12"/>
      <c r="GHY13" s="12"/>
      <c r="GHZ13" s="12"/>
      <c r="GIA13" s="12"/>
      <c r="GIB13" s="12"/>
      <c r="GIC13" s="12"/>
      <c r="GID13" s="12"/>
      <c r="GIE13" s="12"/>
      <c r="GIF13" s="12"/>
      <c r="GIG13" s="12"/>
      <c r="GIH13" s="12"/>
      <c r="GII13" s="12"/>
      <c r="GIJ13" s="12"/>
      <c r="GIK13" s="12"/>
      <c r="GIL13" s="12"/>
      <c r="GIM13" s="12"/>
      <c r="GIN13" s="12"/>
      <c r="GIO13" s="12"/>
      <c r="GIP13" s="12"/>
      <c r="GIQ13" s="12"/>
      <c r="GIR13" s="12"/>
      <c r="GIS13" s="12"/>
      <c r="GIT13" s="12"/>
      <c r="GIU13" s="12"/>
      <c r="GIV13" s="12"/>
      <c r="GIW13" s="12"/>
      <c r="GIX13" s="12"/>
      <c r="GIY13" s="12"/>
      <c r="GIZ13" s="12"/>
      <c r="GJA13" s="12"/>
      <c r="GJB13" s="12"/>
      <c r="GJC13" s="12"/>
      <c r="GJD13" s="12"/>
      <c r="GJE13" s="12"/>
      <c r="GJF13" s="12"/>
      <c r="GJG13" s="12"/>
      <c r="GJH13" s="12"/>
      <c r="GJI13" s="12"/>
      <c r="GJJ13" s="12"/>
      <c r="GJK13" s="12"/>
      <c r="GJL13" s="12"/>
      <c r="GJM13" s="12"/>
      <c r="GJN13" s="12"/>
      <c r="GJO13" s="12"/>
      <c r="GJP13" s="12"/>
      <c r="GJQ13" s="12"/>
      <c r="GJR13" s="12"/>
      <c r="GJS13" s="12"/>
      <c r="GJT13" s="12"/>
      <c r="GJU13" s="12"/>
      <c r="GJV13" s="12"/>
      <c r="GJW13" s="12"/>
      <c r="GJX13" s="12"/>
      <c r="GJY13" s="12"/>
      <c r="GJZ13" s="12"/>
      <c r="GKA13" s="12"/>
      <c r="GKB13" s="12"/>
      <c r="GKC13" s="12"/>
      <c r="GKD13" s="12"/>
      <c r="GKE13" s="12"/>
      <c r="GKF13" s="12"/>
      <c r="GKG13" s="12"/>
      <c r="GKH13" s="12"/>
      <c r="GKI13" s="12"/>
      <c r="GKJ13" s="12"/>
      <c r="GKK13" s="12"/>
      <c r="GKL13" s="12"/>
      <c r="GKM13" s="12"/>
      <c r="GKN13" s="12"/>
      <c r="GKO13" s="12"/>
      <c r="GKP13" s="12"/>
      <c r="GKQ13" s="12"/>
      <c r="GKR13" s="12"/>
      <c r="GKS13" s="12"/>
      <c r="GKT13" s="12"/>
      <c r="GKU13" s="12"/>
      <c r="GKV13" s="12"/>
      <c r="GKW13" s="12"/>
      <c r="GKX13" s="12"/>
      <c r="GKY13" s="12"/>
      <c r="GKZ13" s="12"/>
      <c r="GLA13" s="12"/>
      <c r="GLB13" s="12"/>
      <c r="GLC13" s="12"/>
      <c r="GLD13" s="12"/>
      <c r="GLE13" s="12"/>
      <c r="GLF13" s="12"/>
      <c r="GLG13" s="12"/>
      <c r="GLH13" s="12"/>
      <c r="GLI13" s="12"/>
      <c r="GLJ13" s="12"/>
      <c r="GLK13" s="12"/>
      <c r="GLL13" s="12"/>
      <c r="GLM13" s="12"/>
      <c r="GLN13" s="12"/>
      <c r="GLO13" s="12"/>
      <c r="GLP13" s="12"/>
      <c r="GLQ13" s="12"/>
      <c r="GLR13" s="12"/>
      <c r="GLS13" s="12"/>
      <c r="GLT13" s="12"/>
      <c r="GLU13" s="12"/>
      <c r="GLV13" s="12"/>
      <c r="GLW13" s="12"/>
      <c r="GLX13" s="12"/>
      <c r="GLY13" s="12"/>
      <c r="GLZ13" s="12"/>
      <c r="GMA13" s="12"/>
      <c r="GMB13" s="12"/>
      <c r="GMC13" s="12"/>
      <c r="GMD13" s="12"/>
      <c r="GME13" s="12"/>
      <c r="GMF13" s="12"/>
      <c r="GMG13" s="12"/>
      <c r="GMH13" s="12"/>
      <c r="GMI13" s="12"/>
      <c r="GMJ13" s="12"/>
      <c r="GMK13" s="12"/>
      <c r="GML13" s="12"/>
      <c r="GMM13" s="12"/>
      <c r="GMN13" s="12"/>
      <c r="GMO13" s="12"/>
      <c r="GMP13" s="12"/>
      <c r="GMQ13" s="12"/>
      <c r="GMR13" s="12"/>
      <c r="GMS13" s="12"/>
      <c r="GMT13" s="12"/>
      <c r="GMU13" s="12"/>
      <c r="GMV13" s="12"/>
      <c r="GMW13" s="12"/>
      <c r="GMX13" s="12"/>
      <c r="GMY13" s="12"/>
      <c r="GMZ13" s="12"/>
      <c r="GNA13" s="12"/>
      <c r="GNB13" s="12"/>
      <c r="GNC13" s="12"/>
      <c r="GND13" s="12"/>
      <c r="GNE13" s="12"/>
      <c r="GNF13" s="12"/>
      <c r="GNG13" s="12"/>
      <c r="GNH13" s="12"/>
      <c r="GNI13" s="12"/>
      <c r="GNJ13" s="12"/>
      <c r="GNK13" s="12"/>
      <c r="GNL13" s="12"/>
      <c r="GNM13" s="12"/>
      <c r="GNN13" s="12"/>
      <c r="GNO13" s="12"/>
      <c r="GNP13" s="12"/>
      <c r="GNQ13" s="12"/>
      <c r="GNR13" s="12"/>
      <c r="GNS13" s="12"/>
      <c r="GNT13" s="12"/>
      <c r="GNU13" s="12"/>
      <c r="GNV13" s="12"/>
      <c r="GNW13" s="12"/>
      <c r="GNX13" s="12"/>
      <c r="GNY13" s="12"/>
      <c r="GNZ13" s="12"/>
      <c r="GOA13" s="12"/>
      <c r="GOB13" s="12"/>
      <c r="GOC13" s="12"/>
      <c r="GOD13" s="12"/>
      <c r="GOE13" s="12"/>
      <c r="GOF13" s="12"/>
      <c r="GOG13" s="12"/>
      <c r="GOH13" s="12"/>
      <c r="GOI13" s="12"/>
      <c r="GOJ13" s="12"/>
      <c r="GOK13" s="12"/>
      <c r="GOL13" s="12"/>
      <c r="GOM13" s="12"/>
      <c r="GON13" s="12"/>
      <c r="GOO13" s="12"/>
      <c r="GOP13" s="12"/>
      <c r="GOQ13" s="12"/>
      <c r="GOR13" s="12"/>
      <c r="GOS13" s="12"/>
      <c r="GOT13" s="12"/>
      <c r="GOU13" s="12"/>
      <c r="GOV13" s="12"/>
      <c r="GOW13" s="12"/>
      <c r="GOX13" s="12"/>
      <c r="GOY13" s="12"/>
      <c r="GOZ13" s="12"/>
      <c r="GPA13" s="12"/>
      <c r="GPB13" s="12"/>
      <c r="GPC13" s="12"/>
      <c r="GPD13" s="12"/>
      <c r="GPE13" s="12"/>
      <c r="GPF13" s="12"/>
      <c r="GPG13" s="12"/>
      <c r="GPH13" s="12"/>
      <c r="GPI13" s="12"/>
      <c r="GPJ13" s="12"/>
      <c r="GPK13" s="12"/>
      <c r="GPL13" s="12"/>
      <c r="GPM13" s="12"/>
      <c r="GPN13" s="12"/>
      <c r="GPO13" s="12"/>
      <c r="GPP13" s="12"/>
      <c r="GPQ13" s="12"/>
      <c r="GPR13" s="12"/>
      <c r="GPS13" s="12"/>
      <c r="GPT13" s="12"/>
      <c r="GPU13" s="12"/>
      <c r="GPV13" s="12"/>
      <c r="GPW13" s="12"/>
      <c r="GPX13" s="12"/>
      <c r="GPY13" s="12"/>
      <c r="GPZ13" s="12"/>
      <c r="GQA13" s="12"/>
      <c r="GQB13" s="12"/>
      <c r="GQC13" s="12"/>
      <c r="GQD13" s="12"/>
      <c r="GQE13" s="12"/>
      <c r="GQF13" s="12"/>
      <c r="GQG13" s="12"/>
      <c r="GQH13" s="12"/>
      <c r="GQI13" s="12"/>
      <c r="GQJ13" s="12"/>
      <c r="GQK13" s="12"/>
      <c r="GQL13" s="12"/>
      <c r="GQM13" s="12"/>
      <c r="GQN13" s="12"/>
      <c r="GQO13" s="12"/>
      <c r="GQP13" s="12"/>
      <c r="GQQ13" s="12"/>
      <c r="GQR13" s="12"/>
      <c r="GQS13" s="12"/>
      <c r="GQT13" s="12"/>
      <c r="GQU13" s="12"/>
      <c r="GQV13" s="12"/>
      <c r="GQW13" s="12"/>
      <c r="GQX13" s="12"/>
      <c r="GQY13" s="12"/>
      <c r="GQZ13" s="12"/>
      <c r="GRA13" s="12"/>
      <c r="GRB13" s="12"/>
      <c r="GRC13" s="12"/>
      <c r="GRD13" s="12"/>
      <c r="GRE13" s="12"/>
      <c r="GRF13" s="12"/>
      <c r="GRG13" s="12"/>
      <c r="GRH13" s="12"/>
      <c r="GRI13" s="12"/>
      <c r="GRJ13" s="12"/>
      <c r="GRK13" s="12"/>
      <c r="GRL13" s="12"/>
      <c r="GRM13" s="12"/>
      <c r="GRN13" s="12"/>
      <c r="GRO13" s="12"/>
      <c r="GRP13" s="12"/>
      <c r="GRQ13" s="12"/>
      <c r="GRR13" s="12"/>
      <c r="GRS13" s="12"/>
      <c r="GRT13" s="12"/>
      <c r="GRU13" s="12"/>
      <c r="GRV13" s="12"/>
      <c r="GRW13" s="12"/>
      <c r="GRX13" s="12"/>
      <c r="GRY13" s="12"/>
      <c r="GRZ13" s="12"/>
      <c r="GSA13" s="12"/>
      <c r="GSB13" s="12"/>
      <c r="GSC13" s="12"/>
      <c r="GSD13" s="12"/>
      <c r="GSE13" s="12"/>
      <c r="GSF13" s="12"/>
      <c r="GSG13" s="12"/>
      <c r="GSH13" s="12"/>
      <c r="GSI13" s="12"/>
      <c r="GSJ13" s="12"/>
      <c r="GSK13" s="12"/>
      <c r="GSL13" s="12"/>
      <c r="GSM13" s="12"/>
      <c r="GSN13" s="12"/>
      <c r="GSO13" s="12"/>
      <c r="GSP13" s="12"/>
      <c r="GSQ13" s="12"/>
      <c r="GSR13" s="12"/>
      <c r="GSS13" s="12"/>
      <c r="GST13" s="12"/>
      <c r="GSU13" s="12"/>
      <c r="GSV13" s="12"/>
      <c r="GSW13" s="12"/>
      <c r="GSX13" s="12"/>
      <c r="GSY13" s="12"/>
      <c r="GSZ13" s="12"/>
      <c r="GTA13" s="12"/>
      <c r="GTB13" s="12"/>
      <c r="GTC13" s="12"/>
      <c r="GTD13" s="12"/>
      <c r="GTE13" s="12"/>
      <c r="GTF13" s="12"/>
      <c r="GTG13" s="12"/>
      <c r="GTH13" s="12"/>
      <c r="GTI13" s="12"/>
      <c r="GTJ13" s="12"/>
      <c r="GTK13" s="12"/>
      <c r="GTL13" s="12"/>
      <c r="GTM13" s="12"/>
      <c r="GTN13" s="12"/>
      <c r="GTO13" s="12"/>
      <c r="GTP13" s="12"/>
      <c r="GTQ13" s="12"/>
      <c r="GTR13" s="12"/>
      <c r="GTS13" s="12"/>
      <c r="GTT13" s="12"/>
      <c r="GTU13" s="12"/>
      <c r="GTV13" s="12"/>
      <c r="GTW13" s="12"/>
      <c r="GTX13" s="12"/>
      <c r="GTY13" s="12"/>
      <c r="GTZ13" s="12"/>
      <c r="GUA13" s="12"/>
      <c r="GUB13" s="12"/>
      <c r="GUC13" s="12"/>
      <c r="GUD13" s="12"/>
      <c r="GUE13" s="12"/>
      <c r="GUF13" s="12"/>
      <c r="GUG13" s="12"/>
      <c r="GUH13" s="12"/>
      <c r="GUI13" s="12"/>
      <c r="GUJ13" s="12"/>
      <c r="GUK13" s="12"/>
      <c r="GUL13" s="12"/>
      <c r="GUM13" s="12"/>
      <c r="GUN13" s="12"/>
      <c r="GUO13" s="12"/>
      <c r="GUP13" s="12"/>
      <c r="GUQ13" s="12"/>
      <c r="GUR13" s="12"/>
      <c r="GUS13" s="12"/>
      <c r="GUT13" s="12"/>
      <c r="GUU13" s="12"/>
      <c r="GUV13" s="12"/>
      <c r="GUW13" s="12"/>
      <c r="GUX13" s="12"/>
      <c r="GUY13" s="12"/>
      <c r="GUZ13" s="12"/>
      <c r="GVA13" s="12"/>
      <c r="GVB13" s="12"/>
      <c r="GVC13" s="12"/>
      <c r="GVD13" s="12"/>
      <c r="GVE13" s="12"/>
      <c r="GVF13" s="12"/>
      <c r="GVG13" s="12"/>
      <c r="GVH13" s="12"/>
      <c r="GVI13" s="12"/>
      <c r="GVJ13" s="12"/>
      <c r="GVK13" s="12"/>
      <c r="GVL13" s="12"/>
      <c r="GVM13" s="12"/>
      <c r="GVN13" s="12"/>
      <c r="GVO13" s="12"/>
      <c r="GVP13" s="12"/>
      <c r="GVQ13" s="12"/>
      <c r="GVR13" s="12"/>
      <c r="GVS13" s="12"/>
      <c r="GVT13" s="12"/>
      <c r="GVU13" s="12"/>
      <c r="GVV13" s="12"/>
      <c r="GVW13" s="12"/>
      <c r="GVX13" s="12"/>
      <c r="GVY13" s="12"/>
      <c r="GVZ13" s="12"/>
      <c r="GWA13" s="12"/>
      <c r="GWB13" s="12"/>
      <c r="GWC13" s="12"/>
      <c r="GWD13" s="12"/>
      <c r="GWE13" s="12"/>
      <c r="GWF13" s="12"/>
      <c r="GWG13" s="12"/>
      <c r="GWH13" s="12"/>
      <c r="GWI13" s="12"/>
      <c r="GWJ13" s="12"/>
      <c r="GWK13" s="12"/>
      <c r="GWL13" s="12"/>
      <c r="GWM13" s="12"/>
      <c r="GWN13" s="12"/>
      <c r="GWO13" s="12"/>
      <c r="GWP13" s="12"/>
      <c r="GWQ13" s="12"/>
      <c r="GWR13" s="12"/>
      <c r="GWS13" s="12"/>
      <c r="GWT13" s="12"/>
      <c r="GWU13" s="12"/>
      <c r="GWV13" s="12"/>
      <c r="GWW13" s="12"/>
      <c r="GWX13" s="12"/>
      <c r="GWY13" s="12"/>
      <c r="GWZ13" s="12"/>
      <c r="GXA13" s="12"/>
      <c r="GXB13" s="12"/>
      <c r="GXC13" s="12"/>
      <c r="GXD13" s="12"/>
      <c r="GXE13" s="12"/>
      <c r="GXF13" s="12"/>
      <c r="GXG13" s="12"/>
      <c r="GXH13" s="12"/>
      <c r="GXI13" s="12"/>
      <c r="GXJ13" s="12"/>
      <c r="GXK13" s="12"/>
      <c r="GXL13" s="12"/>
      <c r="GXM13" s="12"/>
      <c r="GXN13" s="12"/>
      <c r="GXO13" s="12"/>
      <c r="GXP13" s="12"/>
      <c r="GXQ13" s="12"/>
      <c r="GXR13" s="12"/>
      <c r="GXS13" s="12"/>
      <c r="GXT13" s="12"/>
      <c r="GXU13" s="12"/>
      <c r="GXV13" s="12"/>
      <c r="GXW13" s="12"/>
      <c r="GXX13" s="12"/>
      <c r="GXY13" s="12"/>
      <c r="GXZ13" s="12"/>
      <c r="GYA13" s="12"/>
      <c r="GYB13" s="12"/>
      <c r="GYC13" s="12"/>
      <c r="GYD13" s="12"/>
      <c r="GYE13" s="12"/>
      <c r="GYF13" s="12"/>
      <c r="GYG13" s="12"/>
      <c r="GYH13" s="12"/>
      <c r="GYI13" s="12"/>
      <c r="GYJ13" s="12"/>
      <c r="GYK13" s="12"/>
      <c r="GYL13" s="12"/>
      <c r="GYM13" s="12"/>
      <c r="GYN13" s="12"/>
      <c r="GYO13" s="12"/>
      <c r="GYP13" s="12"/>
      <c r="GYQ13" s="12"/>
      <c r="GYR13" s="12"/>
      <c r="GYS13" s="12"/>
      <c r="GYT13" s="12"/>
      <c r="GYU13" s="12"/>
      <c r="GYV13" s="12"/>
      <c r="GYW13" s="12"/>
      <c r="GYX13" s="12"/>
      <c r="GYY13" s="12"/>
      <c r="GYZ13" s="12"/>
      <c r="GZA13" s="12"/>
      <c r="GZB13" s="12"/>
      <c r="GZC13" s="12"/>
      <c r="GZD13" s="12"/>
      <c r="GZE13" s="12"/>
      <c r="GZF13" s="12"/>
      <c r="GZG13" s="12"/>
      <c r="GZH13" s="12"/>
      <c r="GZI13" s="12"/>
      <c r="GZJ13" s="12"/>
      <c r="GZK13" s="12"/>
      <c r="GZL13" s="12"/>
      <c r="GZM13" s="12"/>
      <c r="GZN13" s="12"/>
      <c r="GZO13" s="12"/>
      <c r="GZP13" s="12"/>
      <c r="GZQ13" s="12"/>
      <c r="GZR13" s="12"/>
      <c r="GZS13" s="12"/>
      <c r="GZT13" s="12"/>
      <c r="GZU13" s="12"/>
      <c r="GZV13" s="12"/>
      <c r="GZW13" s="12"/>
      <c r="GZX13" s="12"/>
      <c r="GZY13" s="12"/>
      <c r="GZZ13" s="12"/>
      <c r="HAA13" s="12"/>
      <c r="HAB13" s="12"/>
      <c r="HAC13" s="12"/>
      <c r="HAD13" s="12"/>
      <c r="HAE13" s="12"/>
      <c r="HAF13" s="12"/>
      <c r="HAG13" s="12"/>
      <c r="HAH13" s="12"/>
      <c r="HAI13" s="12"/>
      <c r="HAJ13" s="12"/>
      <c r="HAK13" s="12"/>
      <c r="HAL13" s="12"/>
      <c r="HAM13" s="12"/>
      <c r="HAN13" s="12"/>
      <c r="HAO13" s="12"/>
      <c r="HAP13" s="12"/>
      <c r="HAQ13" s="12"/>
      <c r="HAR13" s="12"/>
      <c r="HAS13" s="12"/>
      <c r="HAT13" s="12"/>
      <c r="HAU13" s="12"/>
      <c r="HAV13" s="12"/>
      <c r="HAW13" s="12"/>
      <c r="HAX13" s="12"/>
      <c r="HAY13" s="12"/>
      <c r="HAZ13" s="12"/>
      <c r="HBA13" s="12"/>
      <c r="HBB13" s="12"/>
      <c r="HBC13" s="12"/>
      <c r="HBD13" s="12"/>
      <c r="HBE13" s="12"/>
      <c r="HBF13" s="12"/>
      <c r="HBG13" s="12"/>
      <c r="HBH13" s="12"/>
      <c r="HBI13" s="12"/>
      <c r="HBJ13" s="12"/>
      <c r="HBK13" s="12"/>
      <c r="HBL13" s="12"/>
      <c r="HBM13" s="12"/>
      <c r="HBN13" s="12"/>
      <c r="HBO13" s="12"/>
      <c r="HBP13" s="12"/>
      <c r="HBQ13" s="12"/>
      <c r="HBR13" s="12"/>
      <c r="HBS13" s="12"/>
      <c r="HBT13" s="12"/>
      <c r="HBU13" s="12"/>
      <c r="HBV13" s="12"/>
      <c r="HBW13" s="12"/>
      <c r="HBX13" s="12"/>
      <c r="HBY13" s="12"/>
      <c r="HBZ13" s="12"/>
      <c r="HCA13" s="12"/>
      <c r="HCB13" s="12"/>
      <c r="HCC13" s="12"/>
      <c r="HCD13" s="12"/>
      <c r="HCE13" s="12"/>
      <c r="HCF13" s="12"/>
      <c r="HCG13" s="12"/>
      <c r="HCH13" s="12"/>
      <c r="HCI13" s="12"/>
      <c r="HCJ13" s="12"/>
      <c r="HCK13" s="12"/>
      <c r="HCL13" s="12"/>
      <c r="HCM13" s="12"/>
      <c r="HCN13" s="12"/>
      <c r="HCO13" s="12"/>
      <c r="HCP13" s="12"/>
      <c r="HCQ13" s="12"/>
      <c r="HCR13" s="12"/>
      <c r="HCS13" s="12"/>
      <c r="HCT13" s="12"/>
      <c r="HCU13" s="12"/>
      <c r="HCV13" s="12"/>
      <c r="HCW13" s="12"/>
      <c r="HCX13" s="12"/>
      <c r="HCY13" s="12"/>
      <c r="HCZ13" s="12"/>
      <c r="HDA13" s="12"/>
      <c r="HDB13" s="12"/>
      <c r="HDC13" s="12"/>
      <c r="HDD13" s="12"/>
      <c r="HDE13" s="12"/>
      <c r="HDF13" s="12"/>
      <c r="HDG13" s="12"/>
      <c r="HDH13" s="12"/>
      <c r="HDI13" s="12"/>
      <c r="HDJ13" s="12"/>
      <c r="HDK13" s="12"/>
      <c r="HDL13" s="12"/>
      <c r="HDM13" s="12"/>
      <c r="HDN13" s="12"/>
      <c r="HDO13" s="12"/>
      <c r="HDP13" s="12"/>
      <c r="HDQ13" s="12"/>
      <c r="HDR13" s="12"/>
      <c r="HDS13" s="12"/>
      <c r="HDT13" s="12"/>
      <c r="HDU13" s="12"/>
      <c r="HDV13" s="12"/>
      <c r="HDW13" s="12"/>
      <c r="HDX13" s="12"/>
      <c r="HDY13" s="12"/>
      <c r="HDZ13" s="12"/>
      <c r="HEA13" s="12"/>
      <c r="HEB13" s="12"/>
      <c r="HEC13" s="12"/>
      <c r="HED13" s="12"/>
      <c r="HEE13" s="12"/>
      <c r="HEF13" s="12"/>
      <c r="HEG13" s="12"/>
      <c r="HEH13" s="12"/>
      <c r="HEI13" s="12"/>
      <c r="HEJ13" s="12"/>
      <c r="HEK13" s="12"/>
      <c r="HEL13" s="12"/>
      <c r="HEM13" s="12"/>
      <c r="HEN13" s="12"/>
      <c r="HEO13" s="12"/>
      <c r="HEP13" s="12"/>
      <c r="HEQ13" s="12"/>
      <c r="HER13" s="12"/>
      <c r="HES13" s="12"/>
      <c r="HET13" s="12"/>
      <c r="HEU13" s="12"/>
      <c r="HEV13" s="12"/>
      <c r="HEW13" s="12"/>
      <c r="HEX13" s="12"/>
      <c r="HEY13" s="12"/>
      <c r="HEZ13" s="12"/>
      <c r="HFA13" s="12"/>
      <c r="HFB13" s="12"/>
      <c r="HFC13" s="12"/>
      <c r="HFD13" s="12"/>
      <c r="HFE13" s="12"/>
      <c r="HFF13" s="12"/>
      <c r="HFG13" s="12"/>
      <c r="HFH13" s="12"/>
      <c r="HFI13" s="12"/>
      <c r="HFJ13" s="12"/>
      <c r="HFK13" s="12"/>
      <c r="HFL13" s="12"/>
      <c r="HFM13" s="12"/>
      <c r="HFN13" s="12"/>
      <c r="HFO13" s="12"/>
      <c r="HFP13" s="12"/>
      <c r="HFQ13" s="12"/>
      <c r="HFR13" s="12"/>
      <c r="HFS13" s="12"/>
      <c r="HFT13" s="12"/>
      <c r="HFU13" s="12"/>
      <c r="HFV13" s="12"/>
      <c r="HFW13" s="12"/>
      <c r="HFX13" s="12"/>
      <c r="HFY13" s="12"/>
      <c r="HFZ13" s="12"/>
      <c r="HGA13" s="12"/>
      <c r="HGB13" s="12"/>
      <c r="HGC13" s="12"/>
      <c r="HGD13" s="12"/>
      <c r="HGE13" s="12"/>
      <c r="HGF13" s="12"/>
      <c r="HGG13" s="12"/>
      <c r="HGH13" s="12"/>
      <c r="HGI13" s="12"/>
      <c r="HGJ13" s="12"/>
      <c r="HGK13" s="12"/>
      <c r="HGL13" s="12"/>
      <c r="HGM13" s="12"/>
      <c r="HGN13" s="12"/>
      <c r="HGO13" s="12"/>
      <c r="HGP13" s="12"/>
      <c r="HGQ13" s="12"/>
      <c r="HGR13" s="12"/>
      <c r="HGS13" s="12"/>
      <c r="HGT13" s="12"/>
      <c r="HGU13" s="12"/>
      <c r="HGV13" s="12"/>
      <c r="HGW13" s="12"/>
      <c r="HGX13" s="12"/>
      <c r="HGY13" s="12"/>
      <c r="HGZ13" s="12"/>
      <c r="HHA13" s="12"/>
      <c r="HHB13" s="12"/>
      <c r="HHC13" s="12"/>
      <c r="HHD13" s="12"/>
      <c r="HHE13" s="12"/>
      <c r="HHF13" s="12"/>
      <c r="HHG13" s="12"/>
      <c r="HHH13" s="12"/>
      <c r="HHI13" s="12"/>
      <c r="HHJ13" s="12"/>
      <c r="HHK13" s="12"/>
      <c r="HHL13" s="12"/>
      <c r="HHM13" s="12"/>
      <c r="HHN13" s="12"/>
      <c r="HHO13" s="12"/>
      <c r="HHP13" s="12"/>
      <c r="HHQ13" s="12"/>
      <c r="HHR13" s="12"/>
      <c r="HHS13" s="12"/>
      <c r="HHT13" s="12"/>
      <c r="HHU13" s="12"/>
      <c r="HHV13" s="12"/>
      <c r="HHW13" s="12"/>
      <c r="HHX13" s="12"/>
      <c r="HHY13" s="12"/>
      <c r="HHZ13" s="12"/>
      <c r="HIA13" s="12"/>
      <c r="HIB13" s="12"/>
      <c r="HIC13" s="12"/>
      <c r="HID13" s="12"/>
      <c r="HIE13" s="12"/>
      <c r="HIF13" s="12"/>
      <c r="HIG13" s="12"/>
      <c r="HIH13" s="12"/>
      <c r="HII13" s="12"/>
      <c r="HIJ13" s="12"/>
      <c r="HIK13" s="12"/>
      <c r="HIL13" s="12"/>
      <c r="HIM13" s="12"/>
      <c r="HIN13" s="12"/>
      <c r="HIO13" s="12"/>
      <c r="HIP13" s="12"/>
      <c r="HIQ13" s="12"/>
      <c r="HIR13" s="12"/>
      <c r="HIS13" s="12"/>
      <c r="HIT13" s="12"/>
      <c r="HIU13" s="12"/>
      <c r="HIV13" s="12"/>
      <c r="HIW13" s="12"/>
      <c r="HIX13" s="12"/>
      <c r="HIY13" s="12"/>
      <c r="HIZ13" s="12"/>
      <c r="HJA13" s="12"/>
      <c r="HJB13" s="12"/>
      <c r="HJC13" s="12"/>
      <c r="HJD13" s="12"/>
      <c r="HJE13" s="12"/>
      <c r="HJF13" s="12"/>
      <c r="HJG13" s="12"/>
      <c r="HJH13" s="12"/>
      <c r="HJI13" s="12"/>
      <c r="HJJ13" s="12"/>
      <c r="HJK13" s="12"/>
      <c r="HJL13" s="12"/>
      <c r="HJM13" s="12"/>
      <c r="HJN13" s="12"/>
      <c r="HJO13" s="12"/>
      <c r="HJP13" s="12"/>
      <c r="HJQ13" s="12"/>
      <c r="HJR13" s="12"/>
      <c r="HJS13" s="12"/>
      <c r="HJT13" s="12"/>
      <c r="HJU13" s="12"/>
      <c r="HJV13" s="12"/>
      <c r="HJW13" s="12"/>
      <c r="HJX13" s="12"/>
      <c r="HJY13" s="12"/>
      <c r="HJZ13" s="12"/>
      <c r="HKA13" s="12"/>
      <c r="HKB13" s="12"/>
      <c r="HKC13" s="12"/>
      <c r="HKD13" s="12"/>
      <c r="HKE13" s="12"/>
      <c r="HKF13" s="12"/>
      <c r="HKG13" s="12"/>
      <c r="HKH13" s="12"/>
      <c r="HKI13" s="12"/>
      <c r="HKJ13" s="12"/>
      <c r="HKK13" s="12"/>
      <c r="HKL13" s="12"/>
      <c r="HKM13" s="12"/>
      <c r="HKN13" s="12"/>
      <c r="HKO13" s="12"/>
      <c r="HKP13" s="12"/>
      <c r="HKQ13" s="12"/>
      <c r="HKR13" s="12"/>
      <c r="HKS13" s="12"/>
      <c r="HKT13" s="12"/>
      <c r="HKU13" s="12"/>
      <c r="HKV13" s="12"/>
      <c r="HKW13" s="12"/>
      <c r="HKX13" s="12"/>
      <c r="HKY13" s="12"/>
      <c r="HKZ13" s="12"/>
      <c r="HLA13" s="12"/>
      <c r="HLB13" s="12"/>
      <c r="HLC13" s="12"/>
      <c r="HLD13" s="12"/>
      <c r="HLE13" s="12"/>
      <c r="HLF13" s="12"/>
      <c r="HLG13" s="12"/>
      <c r="HLH13" s="12"/>
      <c r="HLI13" s="12"/>
      <c r="HLJ13" s="12"/>
      <c r="HLK13" s="12"/>
      <c r="HLL13" s="12"/>
      <c r="HLM13" s="12"/>
      <c r="HLN13" s="12"/>
      <c r="HLO13" s="12"/>
      <c r="HLP13" s="12"/>
      <c r="HLQ13" s="12"/>
      <c r="HLR13" s="12"/>
      <c r="HLS13" s="12"/>
      <c r="HLT13" s="12"/>
      <c r="HLU13" s="12"/>
      <c r="HLV13" s="12"/>
      <c r="HLW13" s="12"/>
      <c r="HLX13" s="12"/>
      <c r="HLY13" s="12"/>
      <c r="HLZ13" s="12"/>
      <c r="HMA13" s="12"/>
      <c r="HMB13" s="12"/>
      <c r="HMC13" s="12"/>
      <c r="HMD13" s="12"/>
      <c r="HME13" s="12"/>
      <c r="HMF13" s="12"/>
      <c r="HMG13" s="12"/>
      <c r="HMH13" s="12"/>
      <c r="HMI13" s="12"/>
      <c r="HMJ13" s="12"/>
      <c r="HMK13" s="12"/>
      <c r="HML13" s="12"/>
      <c r="HMM13" s="12"/>
      <c r="HMN13" s="12"/>
      <c r="HMO13" s="12"/>
      <c r="HMP13" s="12"/>
      <c r="HMQ13" s="12"/>
      <c r="HMR13" s="12"/>
      <c r="HMS13" s="12"/>
      <c r="HMT13" s="12"/>
      <c r="HMU13" s="12"/>
      <c r="HMV13" s="12"/>
      <c r="HMW13" s="12"/>
      <c r="HMX13" s="12"/>
      <c r="HMY13" s="12"/>
      <c r="HMZ13" s="12"/>
      <c r="HNA13" s="12"/>
      <c r="HNB13" s="12"/>
      <c r="HNC13" s="12"/>
      <c r="HND13" s="12"/>
      <c r="HNE13" s="12"/>
      <c r="HNF13" s="12"/>
      <c r="HNG13" s="12"/>
      <c r="HNH13" s="12"/>
      <c r="HNI13" s="12"/>
      <c r="HNJ13" s="12"/>
      <c r="HNK13" s="12"/>
      <c r="HNL13" s="12"/>
      <c r="HNM13" s="12"/>
      <c r="HNN13" s="12"/>
      <c r="HNO13" s="12"/>
      <c r="HNP13" s="12"/>
      <c r="HNQ13" s="12"/>
      <c r="HNR13" s="12"/>
      <c r="HNS13" s="12"/>
      <c r="HNT13" s="12"/>
      <c r="HNU13" s="12"/>
      <c r="HNV13" s="12"/>
      <c r="HNW13" s="12"/>
      <c r="HNX13" s="12"/>
      <c r="HNY13" s="12"/>
      <c r="HNZ13" s="12"/>
      <c r="HOA13" s="12"/>
      <c r="HOB13" s="12"/>
      <c r="HOC13" s="12"/>
      <c r="HOD13" s="12"/>
      <c r="HOE13" s="12"/>
      <c r="HOF13" s="12"/>
      <c r="HOG13" s="12"/>
      <c r="HOH13" s="12"/>
      <c r="HOI13" s="12"/>
      <c r="HOJ13" s="12"/>
      <c r="HOK13" s="12"/>
      <c r="HOL13" s="12"/>
      <c r="HOM13" s="12"/>
      <c r="HON13" s="12"/>
      <c r="HOO13" s="12"/>
      <c r="HOP13" s="12"/>
      <c r="HOQ13" s="12"/>
      <c r="HOR13" s="12"/>
      <c r="HOS13" s="12"/>
      <c r="HOT13" s="12"/>
      <c r="HOU13" s="12"/>
      <c r="HOV13" s="12"/>
      <c r="HOW13" s="12"/>
      <c r="HOX13" s="12"/>
      <c r="HOY13" s="12"/>
      <c r="HOZ13" s="12"/>
      <c r="HPA13" s="12"/>
      <c r="HPB13" s="12"/>
      <c r="HPC13" s="12"/>
      <c r="HPD13" s="12"/>
      <c r="HPE13" s="12"/>
      <c r="HPF13" s="12"/>
      <c r="HPG13" s="12"/>
      <c r="HPH13" s="12"/>
      <c r="HPI13" s="12"/>
      <c r="HPJ13" s="12"/>
      <c r="HPK13" s="12"/>
      <c r="HPL13" s="12"/>
      <c r="HPM13" s="12"/>
      <c r="HPN13" s="12"/>
      <c r="HPO13" s="12"/>
      <c r="HPP13" s="12"/>
      <c r="HPQ13" s="12"/>
      <c r="HPR13" s="12"/>
      <c r="HPS13" s="12"/>
      <c r="HPT13" s="12"/>
      <c r="HPU13" s="12"/>
      <c r="HPV13" s="12"/>
      <c r="HPW13" s="12"/>
      <c r="HPX13" s="12"/>
      <c r="HPY13" s="12"/>
      <c r="HPZ13" s="12"/>
      <c r="HQA13" s="12"/>
      <c r="HQB13" s="12"/>
      <c r="HQC13" s="12"/>
      <c r="HQD13" s="12"/>
      <c r="HQE13" s="12"/>
      <c r="HQF13" s="12"/>
      <c r="HQG13" s="12"/>
      <c r="HQH13" s="12"/>
      <c r="HQI13" s="12"/>
      <c r="HQJ13" s="12"/>
      <c r="HQK13" s="12"/>
      <c r="HQL13" s="12"/>
      <c r="HQM13" s="12"/>
      <c r="HQN13" s="12"/>
      <c r="HQO13" s="12"/>
      <c r="HQP13" s="12"/>
      <c r="HQQ13" s="12"/>
      <c r="HQR13" s="12"/>
      <c r="HQS13" s="12"/>
      <c r="HQT13" s="12"/>
      <c r="HQU13" s="12"/>
      <c r="HQV13" s="12"/>
      <c r="HQW13" s="12"/>
      <c r="HQX13" s="12"/>
      <c r="HQY13" s="12"/>
      <c r="HQZ13" s="12"/>
      <c r="HRA13" s="12"/>
      <c r="HRB13" s="12"/>
      <c r="HRC13" s="12"/>
      <c r="HRD13" s="12"/>
      <c r="HRE13" s="12"/>
      <c r="HRF13" s="12"/>
      <c r="HRG13" s="12"/>
      <c r="HRH13" s="12"/>
      <c r="HRI13" s="12"/>
      <c r="HRJ13" s="12"/>
      <c r="HRK13" s="12"/>
      <c r="HRL13" s="12"/>
      <c r="HRM13" s="12"/>
      <c r="HRN13" s="12"/>
      <c r="HRO13" s="12"/>
      <c r="HRP13" s="12"/>
      <c r="HRQ13" s="12"/>
      <c r="HRR13" s="12"/>
      <c r="HRS13" s="12"/>
      <c r="HRT13" s="12"/>
      <c r="HRU13" s="12"/>
      <c r="HRV13" s="12"/>
      <c r="HRW13" s="12"/>
      <c r="HRX13" s="12"/>
      <c r="HRY13" s="12"/>
      <c r="HRZ13" s="12"/>
      <c r="HSA13" s="12"/>
      <c r="HSB13" s="12"/>
      <c r="HSC13" s="12"/>
      <c r="HSD13" s="12"/>
      <c r="HSE13" s="12"/>
      <c r="HSF13" s="12"/>
      <c r="HSG13" s="12"/>
      <c r="HSH13" s="12"/>
      <c r="HSI13" s="12"/>
      <c r="HSJ13" s="12"/>
      <c r="HSK13" s="12"/>
      <c r="HSL13" s="12"/>
      <c r="HSM13" s="12"/>
      <c r="HSN13" s="12"/>
      <c r="HSO13" s="12"/>
      <c r="HSP13" s="12"/>
      <c r="HSQ13" s="12"/>
      <c r="HSR13" s="12"/>
      <c r="HSS13" s="12"/>
      <c r="HST13" s="12"/>
      <c r="HSU13" s="12"/>
      <c r="HSV13" s="12"/>
      <c r="HSW13" s="12"/>
      <c r="HSX13" s="12"/>
      <c r="HSY13" s="12"/>
      <c r="HSZ13" s="12"/>
      <c r="HTA13" s="12"/>
      <c r="HTB13" s="12"/>
      <c r="HTC13" s="12"/>
      <c r="HTD13" s="12"/>
      <c r="HTE13" s="12"/>
      <c r="HTF13" s="12"/>
      <c r="HTG13" s="12"/>
      <c r="HTH13" s="12"/>
      <c r="HTI13" s="12"/>
      <c r="HTJ13" s="12"/>
      <c r="HTK13" s="12"/>
      <c r="HTL13" s="12"/>
      <c r="HTM13" s="12"/>
      <c r="HTN13" s="12"/>
      <c r="HTO13" s="12"/>
      <c r="HTP13" s="12"/>
      <c r="HTQ13" s="12"/>
      <c r="HTR13" s="12"/>
      <c r="HTS13" s="12"/>
      <c r="HTT13" s="12"/>
      <c r="HTU13" s="12"/>
      <c r="HTV13" s="12"/>
      <c r="HTW13" s="12"/>
      <c r="HTX13" s="12"/>
      <c r="HTY13" s="12"/>
      <c r="HTZ13" s="12"/>
      <c r="HUA13" s="12"/>
      <c r="HUB13" s="12"/>
      <c r="HUC13" s="12"/>
      <c r="HUD13" s="12"/>
      <c r="HUE13" s="12"/>
      <c r="HUF13" s="12"/>
      <c r="HUG13" s="12"/>
      <c r="HUH13" s="12"/>
      <c r="HUI13" s="12"/>
      <c r="HUJ13" s="12"/>
      <c r="HUK13" s="12"/>
      <c r="HUL13" s="12"/>
      <c r="HUM13" s="12"/>
      <c r="HUN13" s="12"/>
      <c r="HUO13" s="12"/>
      <c r="HUP13" s="12"/>
      <c r="HUQ13" s="12"/>
      <c r="HUR13" s="12"/>
      <c r="HUS13" s="12"/>
      <c r="HUT13" s="12"/>
      <c r="HUU13" s="12"/>
      <c r="HUV13" s="12"/>
      <c r="HUW13" s="12"/>
      <c r="HUX13" s="12"/>
      <c r="HUY13" s="12"/>
      <c r="HUZ13" s="12"/>
      <c r="HVA13" s="12"/>
      <c r="HVB13" s="12"/>
      <c r="HVC13" s="12"/>
      <c r="HVD13" s="12"/>
      <c r="HVE13" s="12"/>
      <c r="HVF13" s="12"/>
      <c r="HVG13" s="12"/>
      <c r="HVH13" s="12"/>
      <c r="HVI13" s="12"/>
      <c r="HVJ13" s="12"/>
      <c r="HVK13" s="12"/>
      <c r="HVL13" s="12"/>
      <c r="HVM13" s="12"/>
      <c r="HVN13" s="12"/>
      <c r="HVO13" s="12"/>
      <c r="HVP13" s="12"/>
      <c r="HVQ13" s="12"/>
      <c r="HVR13" s="12"/>
      <c r="HVS13" s="12"/>
      <c r="HVT13" s="12"/>
      <c r="HVU13" s="12"/>
      <c r="HVV13" s="12"/>
      <c r="HVW13" s="12"/>
      <c r="HVX13" s="12"/>
      <c r="HVY13" s="12"/>
      <c r="HVZ13" s="12"/>
      <c r="HWA13" s="12"/>
      <c r="HWB13" s="12"/>
      <c r="HWC13" s="12"/>
      <c r="HWD13" s="12"/>
      <c r="HWE13" s="12"/>
      <c r="HWF13" s="12"/>
      <c r="HWG13" s="12"/>
      <c r="HWH13" s="12"/>
      <c r="HWI13" s="12"/>
      <c r="HWJ13" s="12"/>
      <c r="HWK13" s="12"/>
      <c r="HWL13" s="12"/>
      <c r="HWM13" s="12"/>
      <c r="HWN13" s="12"/>
      <c r="HWO13" s="12"/>
      <c r="HWP13" s="12"/>
      <c r="HWQ13" s="12"/>
      <c r="HWR13" s="12"/>
      <c r="HWS13" s="12"/>
      <c r="HWT13" s="12"/>
      <c r="HWU13" s="12"/>
      <c r="HWV13" s="12"/>
      <c r="HWW13" s="12"/>
      <c r="HWX13" s="12"/>
      <c r="HWY13" s="12"/>
      <c r="HWZ13" s="12"/>
      <c r="HXA13" s="12"/>
      <c r="HXB13" s="12"/>
      <c r="HXC13" s="12"/>
      <c r="HXD13" s="12"/>
      <c r="HXE13" s="12"/>
      <c r="HXF13" s="12"/>
      <c r="HXG13" s="12"/>
      <c r="HXH13" s="12"/>
      <c r="HXI13" s="12"/>
      <c r="HXJ13" s="12"/>
      <c r="HXK13" s="12"/>
      <c r="HXL13" s="12"/>
      <c r="HXM13" s="12"/>
      <c r="HXN13" s="12"/>
      <c r="HXO13" s="12"/>
      <c r="HXP13" s="12"/>
      <c r="HXQ13" s="12"/>
      <c r="HXR13" s="12"/>
      <c r="HXS13" s="12"/>
      <c r="HXT13" s="12"/>
      <c r="HXU13" s="12"/>
      <c r="HXV13" s="12"/>
      <c r="HXW13" s="12"/>
      <c r="HXX13" s="12"/>
      <c r="HXY13" s="12"/>
      <c r="HXZ13" s="12"/>
      <c r="HYA13" s="12"/>
      <c r="HYB13" s="12"/>
      <c r="HYC13" s="12"/>
      <c r="HYD13" s="12"/>
      <c r="HYE13" s="12"/>
      <c r="HYF13" s="12"/>
      <c r="HYG13" s="12"/>
      <c r="HYH13" s="12"/>
      <c r="HYI13" s="12"/>
      <c r="HYJ13" s="12"/>
      <c r="HYK13" s="12"/>
      <c r="HYL13" s="12"/>
      <c r="HYM13" s="12"/>
      <c r="HYN13" s="12"/>
      <c r="HYO13" s="12"/>
      <c r="HYP13" s="12"/>
      <c r="HYQ13" s="12"/>
      <c r="HYR13" s="12"/>
      <c r="HYS13" s="12"/>
      <c r="HYT13" s="12"/>
      <c r="HYU13" s="12"/>
      <c r="HYV13" s="12"/>
      <c r="HYW13" s="12"/>
      <c r="HYX13" s="12"/>
      <c r="HYY13" s="12"/>
      <c r="HYZ13" s="12"/>
      <c r="HZA13" s="12"/>
      <c r="HZB13" s="12"/>
      <c r="HZC13" s="12"/>
      <c r="HZD13" s="12"/>
      <c r="HZE13" s="12"/>
      <c r="HZF13" s="12"/>
      <c r="HZG13" s="12"/>
      <c r="HZH13" s="12"/>
      <c r="HZI13" s="12"/>
      <c r="HZJ13" s="12"/>
      <c r="HZK13" s="12"/>
      <c r="HZL13" s="12"/>
      <c r="HZM13" s="12"/>
      <c r="HZN13" s="12"/>
      <c r="HZO13" s="12"/>
      <c r="HZP13" s="12"/>
      <c r="HZQ13" s="12"/>
      <c r="HZR13" s="12"/>
      <c r="HZS13" s="12"/>
      <c r="HZT13" s="12"/>
      <c r="HZU13" s="12"/>
      <c r="HZV13" s="12"/>
      <c r="HZW13" s="12"/>
      <c r="HZX13" s="12"/>
      <c r="HZY13" s="12"/>
      <c r="HZZ13" s="12"/>
      <c r="IAA13" s="12"/>
      <c r="IAB13" s="12"/>
      <c r="IAC13" s="12"/>
      <c r="IAD13" s="12"/>
      <c r="IAE13" s="12"/>
      <c r="IAF13" s="12"/>
      <c r="IAG13" s="12"/>
      <c r="IAH13" s="12"/>
      <c r="IAI13" s="12"/>
      <c r="IAJ13" s="12"/>
      <c r="IAK13" s="12"/>
      <c r="IAL13" s="12"/>
      <c r="IAM13" s="12"/>
      <c r="IAN13" s="12"/>
      <c r="IAO13" s="12"/>
      <c r="IAP13" s="12"/>
      <c r="IAQ13" s="12"/>
      <c r="IAR13" s="12"/>
      <c r="IAS13" s="12"/>
      <c r="IAT13" s="12"/>
      <c r="IAU13" s="12"/>
      <c r="IAV13" s="12"/>
      <c r="IAW13" s="12"/>
      <c r="IAX13" s="12"/>
      <c r="IAY13" s="12"/>
      <c r="IAZ13" s="12"/>
      <c r="IBA13" s="12"/>
      <c r="IBB13" s="12"/>
      <c r="IBC13" s="12"/>
      <c r="IBD13" s="12"/>
      <c r="IBE13" s="12"/>
      <c r="IBF13" s="12"/>
      <c r="IBG13" s="12"/>
      <c r="IBH13" s="12"/>
      <c r="IBI13" s="12"/>
      <c r="IBJ13" s="12"/>
      <c r="IBK13" s="12"/>
      <c r="IBL13" s="12"/>
      <c r="IBM13" s="12"/>
      <c r="IBN13" s="12"/>
      <c r="IBO13" s="12"/>
      <c r="IBP13" s="12"/>
      <c r="IBQ13" s="12"/>
      <c r="IBR13" s="12"/>
      <c r="IBS13" s="12"/>
      <c r="IBT13" s="12"/>
      <c r="IBU13" s="12"/>
      <c r="IBV13" s="12"/>
      <c r="IBW13" s="12"/>
      <c r="IBX13" s="12"/>
      <c r="IBY13" s="12"/>
      <c r="IBZ13" s="12"/>
      <c r="ICA13" s="12"/>
      <c r="ICB13" s="12"/>
      <c r="ICC13" s="12"/>
      <c r="ICD13" s="12"/>
      <c r="ICE13" s="12"/>
      <c r="ICF13" s="12"/>
      <c r="ICG13" s="12"/>
      <c r="ICH13" s="12"/>
      <c r="ICI13" s="12"/>
      <c r="ICJ13" s="12"/>
      <c r="ICK13" s="12"/>
      <c r="ICL13" s="12"/>
      <c r="ICM13" s="12"/>
      <c r="ICN13" s="12"/>
      <c r="ICO13" s="12"/>
      <c r="ICP13" s="12"/>
      <c r="ICQ13" s="12"/>
      <c r="ICR13" s="12"/>
      <c r="ICS13" s="12"/>
      <c r="ICT13" s="12"/>
      <c r="ICU13" s="12"/>
      <c r="ICV13" s="12"/>
      <c r="ICW13" s="12"/>
      <c r="ICX13" s="12"/>
      <c r="ICY13" s="12"/>
      <c r="ICZ13" s="12"/>
      <c r="IDA13" s="12"/>
      <c r="IDB13" s="12"/>
      <c r="IDC13" s="12"/>
      <c r="IDD13" s="12"/>
      <c r="IDE13" s="12"/>
      <c r="IDF13" s="12"/>
      <c r="IDG13" s="12"/>
      <c r="IDH13" s="12"/>
      <c r="IDI13" s="12"/>
      <c r="IDJ13" s="12"/>
      <c r="IDK13" s="12"/>
      <c r="IDL13" s="12"/>
      <c r="IDM13" s="12"/>
      <c r="IDN13" s="12"/>
      <c r="IDO13" s="12"/>
      <c r="IDP13" s="12"/>
      <c r="IDQ13" s="12"/>
      <c r="IDR13" s="12"/>
      <c r="IDS13" s="12"/>
      <c r="IDT13" s="12"/>
      <c r="IDU13" s="12"/>
      <c r="IDV13" s="12"/>
      <c r="IDW13" s="12"/>
      <c r="IDX13" s="12"/>
      <c r="IDY13" s="12"/>
      <c r="IDZ13" s="12"/>
      <c r="IEA13" s="12"/>
      <c r="IEB13" s="12"/>
      <c r="IEC13" s="12"/>
      <c r="IED13" s="12"/>
      <c r="IEE13" s="12"/>
      <c r="IEF13" s="12"/>
      <c r="IEG13" s="12"/>
      <c r="IEH13" s="12"/>
      <c r="IEI13" s="12"/>
      <c r="IEJ13" s="12"/>
      <c r="IEK13" s="12"/>
      <c r="IEL13" s="12"/>
      <c r="IEM13" s="12"/>
      <c r="IEN13" s="12"/>
      <c r="IEO13" s="12"/>
      <c r="IEP13" s="12"/>
      <c r="IEQ13" s="12"/>
      <c r="IER13" s="12"/>
      <c r="IES13" s="12"/>
      <c r="IET13" s="12"/>
      <c r="IEU13" s="12"/>
      <c r="IEV13" s="12"/>
      <c r="IEW13" s="12"/>
      <c r="IEX13" s="12"/>
      <c r="IEY13" s="12"/>
      <c r="IEZ13" s="12"/>
      <c r="IFA13" s="12"/>
      <c r="IFB13" s="12"/>
      <c r="IFC13" s="12"/>
      <c r="IFD13" s="12"/>
      <c r="IFE13" s="12"/>
      <c r="IFF13" s="12"/>
      <c r="IFG13" s="12"/>
      <c r="IFH13" s="12"/>
      <c r="IFI13" s="12"/>
      <c r="IFJ13" s="12"/>
      <c r="IFK13" s="12"/>
      <c r="IFL13" s="12"/>
      <c r="IFM13" s="12"/>
      <c r="IFN13" s="12"/>
      <c r="IFO13" s="12"/>
      <c r="IFP13" s="12"/>
      <c r="IFQ13" s="12"/>
      <c r="IFR13" s="12"/>
      <c r="IFS13" s="12"/>
      <c r="IFT13" s="12"/>
      <c r="IFU13" s="12"/>
      <c r="IFV13" s="12"/>
      <c r="IFW13" s="12"/>
      <c r="IFX13" s="12"/>
      <c r="IFY13" s="12"/>
      <c r="IFZ13" s="12"/>
      <c r="IGA13" s="12"/>
      <c r="IGB13" s="12"/>
      <c r="IGC13" s="12"/>
      <c r="IGD13" s="12"/>
      <c r="IGE13" s="12"/>
      <c r="IGF13" s="12"/>
      <c r="IGG13" s="12"/>
      <c r="IGH13" s="12"/>
      <c r="IGI13" s="12"/>
      <c r="IGJ13" s="12"/>
      <c r="IGK13" s="12"/>
      <c r="IGL13" s="12"/>
      <c r="IGM13" s="12"/>
      <c r="IGN13" s="12"/>
      <c r="IGO13" s="12"/>
      <c r="IGP13" s="12"/>
      <c r="IGQ13" s="12"/>
      <c r="IGR13" s="12"/>
      <c r="IGS13" s="12"/>
      <c r="IGT13" s="12"/>
      <c r="IGU13" s="12"/>
      <c r="IGV13" s="12"/>
      <c r="IGW13" s="12"/>
      <c r="IGX13" s="12"/>
      <c r="IGY13" s="12"/>
      <c r="IGZ13" s="12"/>
      <c r="IHA13" s="12"/>
      <c r="IHB13" s="12"/>
      <c r="IHC13" s="12"/>
      <c r="IHD13" s="12"/>
      <c r="IHE13" s="12"/>
      <c r="IHF13" s="12"/>
      <c r="IHG13" s="12"/>
      <c r="IHH13" s="12"/>
      <c r="IHI13" s="12"/>
      <c r="IHJ13" s="12"/>
      <c r="IHK13" s="12"/>
      <c r="IHL13" s="12"/>
      <c r="IHM13" s="12"/>
      <c r="IHN13" s="12"/>
      <c r="IHO13" s="12"/>
      <c r="IHP13" s="12"/>
      <c r="IHQ13" s="12"/>
      <c r="IHR13" s="12"/>
      <c r="IHS13" s="12"/>
      <c r="IHT13" s="12"/>
      <c r="IHU13" s="12"/>
      <c r="IHV13" s="12"/>
      <c r="IHW13" s="12"/>
      <c r="IHX13" s="12"/>
      <c r="IHY13" s="12"/>
      <c r="IHZ13" s="12"/>
      <c r="IIA13" s="12"/>
      <c r="IIB13" s="12"/>
      <c r="IIC13" s="12"/>
      <c r="IID13" s="12"/>
      <c r="IIE13" s="12"/>
      <c r="IIF13" s="12"/>
      <c r="IIG13" s="12"/>
      <c r="IIH13" s="12"/>
      <c r="III13" s="12"/>
      <c r="IIJ13" s="12"/>
      <c r="IIK13" s="12"/>
      <c r="IIL13" s="12"/>
      <c r="IIM13" s="12"/>
      <c r="IIN13" s="12"/>
      <c r="IIO13" s="12"/>
      <c r="IIP13" s="12"/>
      <c r="IIQ13" s="12"/>
      <c r="IIR13" s="12"/>
      <c r="IIS13" s="12"/>
      <c r="IIT13" s="12"/>
      <c r="IIU13" s="12"/>
      <c r="IIV13" s="12"/>
      <c r="IIW13" s="12"/>
      <c r="IIX13" s="12"/>
      <c r="IIY13" s="12"/>
      <c r="IIZ13" s="12"/>
      <c r="IJA13" s="12"/>
      <c r="IJB13" s="12"/>
      <c r="IJC13" s="12"/>
      <c r="IJD13" s="12"/>
      <c r="IJE13" s="12"/>
      <c r="IJF13" s="12"/>
      <c r="IJG13" s="12"/>
      <c r="IJH13" s="12"/>
      <c r="IJI13" s="12"/>
      <c r="IJJ13" s="12"/>
      <c r="IJK13" s="12"/>
      <c r="IJL13" s="12"/>
      <c r="IJM13" s="12"/>
      <c r="IJN13" s="12"/>
      <c r="IJO13" s="12"/>
      <c r="IJP13" s="12"/>
      <c r="IJQ13" s="12"/>
      <c r="IJR13" s="12"/>
      <c r="IJS13" s="12"/>
      <c r="IJT13" s="12"/>
      <c r="IJU13" s="12"/>
      <c r="IJV13" s="12"/>
      <c r="IJW13" s="12"/>
      <c r="IJX13" s="12"/>
      <c r="IJY13" s="12"/>
      <c r="IJZ13" s="12"/>
      <c r="IKA13" s="12"/>
      <c r="IKB13" s="12"/>
      <c r="IKC13" s="12"/>
      <c r="IKD13" s="12"/>
      <c r="IKE13" s="12"/>
      <c r="IKF13" s="12"/>
      <c r="IKG13" s="12"/>
      <c r="IKH13" s="12"/>
      <c r="IKI13" s="12"/>
      <c r="IKJ13" s="12"/>
      <c r="IKK13" s="12"/>
      <c r="IKL13" s="12"/>
      <c r="IKM13" s="12"/>
      <c r="IKN13" s="12"/>
      <c r="IKO13" s="12"/>
      <c r="IKP13" s="12"/>
      <c r="IKQ13" s="12"/>
      <c r="IKR13" s="12"/>
      <c r="IKS13" s="12"/>
      <c r="IKT13" s="12"/>
      <c r="IKU13" s="12"/>
      <c r="IKV13" s="12"/>
      <c r="IKW13" s="12"/>
      <c r="IKX13" s="12"/>
      <c r="IKY13" s="12"/>
      <c r="IKZ13" s="12"/>
      <c r="ILA13" s="12"/>
      <c r="ILB13" s="12"/>
      <c r="ILC13" s="12"/>
      <c r="ILD13" s="12"/>
      <c r="ILE13" s="12"/>
      <c r="ILF13" s="12"/>
      <c r="ILG13" s="12"/>
      <c r="ILH13" s="12"/>
      <c r="ILI13" s="12"/>
      <c r="ILJ13" s="12"/>
      <c r="ILK13" s="12"/>
      <c r="ILL13" s="12"/>
      <c r="ILM13" s="12"/>
      <c r="ILN13" s="12"/>
      <c r="ILO13" s="12"/>
      <c r="ILP13" s="12"/>
      <c r="ILQ13" s="12"/>
      <c r="ILR13" s="12"/>
      <c r="ILS13" s="12"/>
      <c r="ILT13" s="12"/>
      <c r="ILU13" s="12"/>
      <c r="ILV13" s="12"/>
      <c r="ILW13" s="12"/>
      <c r="ILX13" s="12"/>
      <c r="ILY13" s="12"/>
      <c r="ILZ13" s="12"/>
      <c r="IMA13" s="12"/>
      <c r="IMB13" s="12"/>
      <c r="IMC13" s="12"/>
      <c r="IMD13" s="12"/>
      <c r="IME13" s="12"/>
      <c r="IMF13" s="12"/>
      <c r="IMG13" s="12"/>
      <c r="IMH13" s="12"/>
      <c r="IMI13" s="12"/>
      <c r="IMJ13" s="12"/>
      <c r="IMK13" s="12"/>
      <c r="IML13" s="12"/>
      <c r="IMM13" s="12"/>
      <c r="IMN13" s="12"/>
      <c r="IMO13" s="12"/>
      <c r="IMP13" s="12"/>
      <c r="IMQ13" s="12"/>
      <c r="IMR13" s="12"/>
      <c r="IMS13" s="12"/>
      <c r="IMT13" s="12"/>
      <c r="IMU13" s="12"/>
      <c r="IMV13" s="12"/>
      <c r="IMW13" s="12"/>
      <c r="IMX13" s="12"/>
      <c r="IMY13" s="12"/>
      <c r="IMZ13" s="12"/>
      <c r="INA13" s="12"/>
      <c r="INB13" s="12"/>
      <c r="INC13" s="12"/>
      <c r="IND13" s="12"/>
      <c r="INE13" s="12"/>
      <c r="INF13" s="12"/>
      <c r="ING13" s="12"/>
      <c r="INH13" s="12"/>
      <c r="INI13" s="12"/>
      <c r="INJ13" s="12"/>
      <c r="INK13" s="12"/>
      <c r="INL13" s="12"/>
      <c r="INM13" s="12"/>
      <c r="INN13" s="12"/>
      <c r="INO13" s="12"/>
      <c r="INP13" s="12"/>
      <c r="INQ13" s="12"/>
      <c r="INR13" s="12"/>
      <c r="INS13" s="12"/>
      <c r="INT13" s="12"/>
      <c r="INU13" s="12"/>
      <c r="INV13" s="12"/>
      <c r="INW13" s="12"/>
      <c r="INX13" s="12"/>
      <c r="INY13" s="12"/>
      <c r="INZ13" s="12"/>
      <c r="IOA13" s="12"/>
      <c r="IOB13" s="12"/>
      <c r="IOC13" s="12"/>
      <c r="IOD13" s="12"/>
      <c r="IOE13" s="12"/>
      <c r="IOF13" s="12"/>
      <c r="IOG13" s="12"/>
      <c r="IOH13" s="12"/>
      <c r="IOI13" s="12"/>
      <c r="IOJ13" s="12"/>
      <c r="IOK13" s="12"/>
      <c r="IOL13" s="12"/>
      <c r="IOM13" s="12"/>
      <c r="ION13" s="12"/>
      <c r="IOO13" s="12"/>
      <c r="IOP13" s="12"/>
      <c r="IOQ13" s="12"/>
      <c r="IOR13" s="12"/>
      <c r="IOS13" s="12"/>
      <c r="IOT13" s="12"/>
      <c r="IOU13" s="12"/>
      <c r="IOV13" s="12"/>
      <c r="IOW13" s="12"/>
      <c r="IOX13" s="12"/>
      <c r="IOY13" s="12"/>
      <c r="IOZ13" s="12"/>
      <c r="IPA13" s="12"/>
      <c r="IPB13" s="12"/>
      <c r="IPC13" s="12"/>
      <c r="IPD13" s="12"/>
      <c r="IPE13" s="12"/>
      <c r="IPF13" s="12"/>
      <c r="IPG13" s="12"/>
      <c r="IPH13" s="12"/>
      <c r="IPI13" s="12"/>
      <c r="IPJ13" s="12"/>
      <c r="IPK13" s="12"/>
      <c r="IPL13" s="12"/>
      <c r="IPM13" s="12"/>
      <c r="IPN13" s="12"/>
      <c r="IPO13" s="12"/>
      <c r="IPP13" s="12"/>
      <c r="IPQ13" s="12"/>
      <c r="IPR13" s="12"/>
      <c r="IPS13" s="12"/>
      <c r="IPT13" s="12"/>
      <c r="IPU13" s="12"/>
      <c r="IPV13" s="12"/>
      <c r="IPW13" s="12"/>
      <c r="IPX13" s="12"/>
      <c r="IPY13" s="12"/>
      <c r="IPZ13" s="12"/>
      <c r="IQA13" s="12"/>
      <c r="IQB13" s="12"/>
      <c r="IQC13" s="12"/>
      <c r="IQD13" s="12"/>
      <c r="IQE13" s="12"/>
      <c r="IQF13" s="12"/>
      <c r="IQG13" s="12"/>
      <c r="IQH13" s="12"/>
      <c r="IQI13" s="12"/>
      <c r="IQJ13" s="12"/>
      <c r="IQK13" s="12"/>
      <c r="IQL13" s="12"/>
      <c r="IQM13" s="12"/>
      <c r="IQN13" s="12"/>
      <c r="IQO13" s="12"/>
      <c r="IQP13" s="12"/>
      <c r="IQQ13" s="12"/>
      <c r="IQR13" s="12"/>
      <c r="IQS13" s="12"/>
      <c r="IQT13" s="12"/>
      <c r="IQU13" s="12"/>
      <c r="IQV13" s="12"/>
      <c r="IQW13" s="12"/>
      <c r="IQX13" s="12"/>
      <c r="IQY13" s="12"/>
      <c r="IQZ13" s="12"/>
      <c r="IRA13" s="12"/>
      <c r="IRB13" s="12"/>
      <c r="IRC13" s="12"/>
      <c r="IRD13" s="12"/>
      <c r="IRE13" s="12"/>
      <c r="IRF13" s="12"/>
      <c r="IRG13" s="12"/>
      <c r="IRH13" s="12"/>
      <c r="IRI13" s="12"/>
      <c r="IRJ13" s="12"/>
      <c r="IRK13" s="12"/>
      <c r="IRL13" s="12"/>
      <c r="IRM13" s="12"/>
      <c r="IRN13" s="12"/>
      <c r="IRO13" s="12"/>
      <c r="IRP13" s="12"/>
      <c r="IRQ13" s="12"/>
      <c r="IRR13" s="12"/>
      <c r="IRS13" s="12"/>
      <c r="IRT13" s="12"/>
      <c r="IRU13" s="12"/>
      <c r="IRV13" s="12"/>
      <c r="IRW13" s="12"/>
      <c r="IRX13" s="12"/>
      <c r="IRY13" s="12"/>
      <c r="IRZ13" s="12"/>
      <c r="ISA13" s="12"/>
      <c r="ISB13" s="12"/>
      <c r="ISC13" s="12"/>
      <c r="ISD13" s="12"/>
      <c r="ISE13" s="12"/>
      <c r="ISF13" s="12"/>
      <c r="ISG13" s="12"/>
      <c r="ISH13" s="12"/>
      <c r="ISI13" s="12"/>
      <c r="ISJ13" s="12"/>
      <c r="ISK13" s="12"/>
      <c r="ISL13" s="12"/>
      <c r="ISM13" s="12"/>
      <c r="ISN13" s="12"/>
      <c r="ISO13" s="12"/>
      <c r="ISP13" s="12"/>
      <c r="ISQ13" s="12"/>
      <c r="ISR13" s="12"/>
      <c r="ISS13" s="12"/>
      <c r="IST13" s="12"/>
      <c r="ISU13" s="12"/>
      <c r="ISV13" s="12"/>
      <c r="ISW13" s="12"/>
      <c r="ISX13" s="12"/>
      <c r="ISY13" s="12"/>
      <c r="ISZ13" s="12"/>
      <c r="ITA13" s="12"/>
      <c r="ITB13" s="12"/>
      <c r="ITC13" s="12"/>
      <c r="ITD13" s="12"/>
      <c r="ITE13" s="12"/>
      <c r="ITF13" s="12"/>
      <c r="ITG13" s="12"/>
      <c r="ITH13" s="12"/>
      <c r="ITI13" s="12"/>
      <c r="ITJ13" s="12"/>
      <c r="ITK13" s="12"/>
      <c r="ITL13" s="12"/>
      <c r="ITM13" s="12"/>
      <c r="ITN13" s="12"/>
      <c r="ITO13" s="12"/>
      <c r="ITP13" s="12"/>
      <c r="ITQ13" s="12"/>
      <c r="ITR13" s="12"/>
      <c r="ITS13" s="12"/>
      <c r="ITT13" s="12"/>
      <c r="ITU13" s="12"/>
      <c r="ITV13" s="12"/>
      <c r="ITW13" s="12"/>
      <c r="ITX13" s="12"/>
      <c r="ITY13" s="12"/>
      <c r="ITZ13" s="12"/>
      <c r="IUA13" s="12"/>
      <c r="IUB13" s="12"/>
      <c r="IUC13" s="12"/>
      <c r="IUD13" s="12"/>
      <c r="IUE13" s="12"/>
      <c r="IUF13" s="12"/>
      <c r="IUG13" s="12"/>
      <c r="IUH13" s="12"/>
      <c r="IUI13" s="12"/>
      <c r="IUJ13" s="12"/>
      <c r="IUK13" s="12"/>
      <c r="IUL13" s="12"/>
      <c r="IUM13" s="12"/>
      <c r="IUN13" s="12"/>
      <c r="IUO13" s="12"/>
      <c r="IUP13" s="12"/>
      <c r="IUQ13" s="12"/>
      <c r="IUR13" s="12"/>
      <c r="IUS13" s="12"/>
      <c r="IUT13" s="12"/>
      <c r="IUU13" s="12"/>
      <c r="IUV13" s="12"/>
      <c r="IUW13" s="12"/>
      <c r="IUX13" s="12"/>
      <c r="IUY13" s="12"/>
      <c r="IUZ13" s="12"/>
      <c r="IVA13" s="12"/>
      <c r="IVB13" s="12"/>
      <c r="IVC13" s="12"/>
      <c r="IVD13" s="12"/>
      <c r="IVE13" s="12"/>
      <c r="IVF13" s="12"/>
      <c r="IVG13" s="12"/>
      <c r="IVH13" s="12"/>
      <c r="IVI13" s="12"/>
      <c r="IVJ13" s="12"/>
      <c r="IVK13" s="12"/>
      <c r="IVL13" s="12"/>
      <c r="IVM13" s="12"/>
      <c r="IVN13" s="12"/>
      <c r="IVO13" s="12"/>
      <c r="IVP13" s="12"/>
      <c r="IVQ13" s="12"/>
      <c r="IVR13" s="12"/>
      <c r="IVS13" s="12"/>
      <c r="IVT13" s="12"/>
      <c r="IVU13" s="12"/>
      <c r="IVV13" s="12"/>
      <c r="IVW13" s="12"/>
      <c r="IVX13" s="12"/>
      <c r="IVY13" s="12"/>
      <c r="IVZ13" s="12"/>
      <c r="IWA13" s="12"/>
      <c r="IWB13" s="12"/>
      <c r="IWC13" s="12"/>
      <c r="IWD13" s="12"/>
      <c r="IWE13" s="12"/>
      <c r="IWF13" s="12"/>
      <c r="IWG13" s="12"/>
      <c r="IWH13" s="12"/>
      <c r="IWI13" s="12"/>
      <c r="IWJ13" s="12"/>
      <c r="IWK13" s="12"/>
      <c r="IWL13" s="12"/>
      <c r="IWM13" s="12"/>
      <c r="IWN13" s="12"/>
      <c r="IWO13" s="12"/>
      <c r="IWP13" s="12"/>
      <c r="IWQ13" s="12"/>
      <c r="IWR13" s="12"/>
      <c r="IWS13" s="12"/>
      <c r="IWT13" s="12"/>
      <c r="IWU13" s="12"/>
      <c r="IWV13" s="12"/>
      <c r="IWW13" s="12"/>
      <c r="IWX13" s="12"/>
      <c r="IWY13" s="12"/>
      <c r="IWZ13" s="12"/>
      <c r="IXA13" s="12"/>
      <c r="IXB13" s="12"/>
      <c r="IXC13" s="12"/>
      <c r="IXD13" s="12"/>
      <c r="IXE13" s="12"/>
      <c r="IXF13" s="12"/>
      <c r="IXG13" s="12"/>
      <c r="IXH13" s="12"/>
      <c r="IXI13" s="12"/>
      <c r="IXJ13" s="12"/>
      <c r="IXK13" s="12"/>
      <c r="IXL13" s="12"/>
      <c r="IXM13" s="12"/>
      <c r="IXN13" s="12"/>
      <c r="IXO13" s="12"/>
      <c r="IXP13" s="12"/>
      <c r="IXQ13" s="12"/>
      <c r="IXR13" s="12"/>
      <c r="IXS13" s="12"/>
      <c r="IXT13" s="12"/>
      <c r="IXU13" s="12"/>
      <c r="IXV13" s="12"/>
      <c r="IXW13" s="12"/>
      <c r="IXX13" s="12"/>
      <c r="IXY13" s="12"/>
      <c r="IXZ13" s="12"/>
      <c r="IYA13" s="12"/>
      <c r="IYB13" s="12"/>
      <c r="IYC13" s="12"/>
      <c r="IYD13" s="12"/>
      <c r="IYE13" s="12"/>
      <c r="IYF13" s="12"/>
      <c r="IYG13" s="12"/>
      <c r="IYH13" s="12"/>
      <c r="IYI13" s="12"/>
      <c r="IYJ13" s="12"/>
      <c r="IYK13" s="12"/>
      <c r="IYL13" s="12"/>
      <c r="IYM13" s="12"/>
      <c r="IYN13" s="12"/>
      <c r="IYO13" s="12"/>
      <c r="IYP13" s="12"/>
      <c r="IYQ13" s="12"/>
      <c r="IYR13" s="12"/>
      <c r="IYS13" s="12"/>
      <c r="IYT13" s="12"/>
      <c r="IYU13" s="12"/>
      <c r="IYV13" s="12"/>
      <c r="IYW13" s="12"/>
      <c r="IYX13" s="12"/>
      <c r="IYY13" s="12"/>
      <c r="IYZ13" s="12"/>
      <c r="IZA13" s="12"/>
      <c r="IZB13" s="12"/>
      <c r="IZC13" s="12"/>
      <c r="IZD13" s="12"/>
      <c r="IZE13" s="12"/>
      <c r="IZF13" s="12"/>
      <c r="IZG13" s="12"/>
      <c r="IZH13" s="12"/>
      <c r="IZI13" s="12"/>
      <c r="IZJ13" s="12"/>
      <c r="IZK13" s="12"/>
      <c r="IZL13" s="12"/>
      <c r="IZM13" s="12"/>
      <c r="IZN13" s="12"/>
      <c r="IZO13" s="12"/>
      <c r="IZP13" s="12"/>
      <c r="IZQ13" s="12"/>
      <c r="IZR13" s="12"/>
      <c r="IZS13" s="12"/>
      <c r="IZT13" s="12"/>
      <c r="IZU13" s="12"/>
      <c r="IZV13" s="12"/>
      <c r="IZW13" s="12"/>
      <c r="IZX13" s="12"/>
      <c r="IZY13" s="12"/>
      <c r="IZZ13" s="12"/>
      <c r="JAA13" s="12"/>
      <c r="JAB13" s="12"/>
      <c r="JAC13" s="12"/>
      <c r="JAD13" s="12"/>
      <c r="JAE13" s="12"/>
      <c r="JAF13" s="12"/>
      <c r="JAG13" s="12"/>
      <c r="JAH13" s="12"/>
      <c r="JAI13" s="12"/>
      <c r="JAJ13" s="12"/>
      <c r="JAK13" s="12"/>
      <c r="JAL13" s="12"/>
      <c r="JAM13" s="12"/>
      <c r="JAN13" s="12"/>
      <c r="JAO13" s="12"/>
      <c r="JAP13" s="12"/>
      <c r="JAQ13" s="12"/>
      <c r="JAR13" s="12"/>
      <c r="JAS13" s="12"/>
      <c r="JAT13" s="12"/>
      <c r="JAU13" s="12"/>
      <c r="JAV13" s="12"/>
      <c r="JAW13" s="12"/>
      <c r="JAX13" s="12"/>
      <c r="JAY13" s="12"/>
      <c r="JAZ13" s="12"/>
      <c r="JBA13" s="12"/>
      <c r="JBB13" s="12"/>
      <c r="JBC13" s="12"/>
      <c r="JBD13" s="12"/>
      <c r="JBE13" s="12"/>
      <c r="JBF13" s="12"/>
      <c r="JBG13" s="12"/>
      <c r="JBH13" s="12"/>
      <c r="JBI13" s="12"/>
      <c r="JBJ13" s="12"/>
      <c r="JBK13" s="12"/>
      <c r="JBL13" s="12"/>
      <c r="JBM13" s="12"/>
      <c r="JBN13" s="12"/>
      <c r="JBO13" s="12"/>
      <c r="JBP13" s="12"/>
      <c r="JBQ13" s="12"/>
      <c r="JBR13" s="12"/>
      <c r="JBS13" s="12"/>
      <c r="JBT13" s="12"/>
      <c r="JBU13" s="12"/>
      <c r="JBV13" s="12"/>
      <c r="JBW13" s="12"/>
      <c r="JBX13" s="12"/>
      <c r="JBY13" s="12"/>
      <c r="JBZ13" s="12"/>
      <c r="JCA13" s="12"/>
      <c r="JCB13" s="12"/>
      <c r="JCC13" s="12"/>
      <c r="JCD13" s="12"/>
      <c r="JCE13" s="12"/>
      <c r="JCF13" s="12"/>
      <c r="JCG13" s="12"/>
      <c r="JCH13" s="12"/>
      <c r="JCI13" s="12"/>
      <c r="JCJ13" s="12"/>
      <c r="JCK13" s="12"/>
      <c r="JCL13" s="12"/>
      <c r="JCM13" s="12"/>
      <c r="JCN13" s="12"/>
      <c r="JCO13" s="12"/>
      <c r="JCP13" s="12"/>
      <c r="JCQ13" s="12"/>
      <c r="JCR13" s="12"/>
      <c r="JCS13" s="12"/>
      <c r="JCT13" s="12"/>
      <c r="JCU13" s="12"/>
      <c r="JCV13" s="12"/>
      <c r="JCW13" s="12"/>
      <c r="JCX13" s="12"/>
      <c r="JCY13" s="12"/>
      <c r="JCZ13" s="12"/>
      <c r="JDA13" s="12"/>
      <c r="JDB13" s="12"/>
      <c r="JDC13" s="12"/>
      <c r="JDD13" s="12"/>
      <c r="JDE13" s="12"/>
      <c r="JDF13" s="12"/>
      <c r="JDG13" s="12"/>
      <c r="JDH13" s="12"/>
      <c r="JDI13" s="12"/>
      <c r="JDJ13" s="12"/>
      <c r="JDK13" s="12"/>
      <c r="JDL13" s="12"/>
      <c r="JDM13" s="12"/>
      <c r="JDN13" s="12"/>
      <c r="JDO13" s="12"/>
      <c r="JDP13" s="12"/>
      <c r="JDQ13" s="12"/>
      <c r="JDR13" s="12"/>
      <c r="JDS13" s="12"/>
      <c r="JDT13" s="12"/>
      <c r="JDU13" s="12"/>
      <c r="JDV13" s="12"/>
      <c r="JDW13" s="12"/>
      <c r="JDX13" s="12"/>
      <c r="JDY13" s="12"/>
      <c r="JDZ13" s="12"/>
      <c r="JEA13" s="12"/>
      <c r="JEB13" s="12"/>
      <c r="JEC13" s="12"/>
      <c r="JED13" s="12"/>
      <c r="JEE13" s="12"/>
      <c r="JEF13" s="12"/>
      <c r="JEG13" s="12"/>
      <c r="JEH13" s="12"/>
      <c r="JEI13" s="12"/>
      <c r="JEJ13" s="12"/>
      <c r="JEK13" s="12"/>
      <c r="JEL13" s="12"/>
      <c r="JEM13" s="12"/>
      <c r="JEN13" s="12"/>
      <c r="JEO13" s="12"/>
      <c r="JEP13" s="12"/>
      <c r="JEQ13" s="12"/>
      <c r="JER13" s="12"/>
      <c r="JES13" s="12"/>
      <c r="JET13" s="12"/>
      <c r="JEU13" s="12"/>
      <c r="JEV13" s="12"/>
      <c r="JEW13" s="12"/>
      <c r="JEX13" s="12"/>
      <c r="JEY13" s="12"/>
      <c r="JEZ13" s="12"/>
      <c r="JFA13" s="12"/>
      <c r="JFB13" s="12"/>
      <c r="JFC13" s="12"/>
      <c r="JFD13" s="12"/>
      <c r="JFE13" s="12"/>
      <c r="JFF13" s="12"/>
      <c r="JFG13" s="12"/>
      <c r="JFH13" s="12"/>
      <c r="JFI13" s="12"/>
      <c r="JFJ13" s="12"/>
      <c r="JFK13" s="12"/>
      <c r="JFL13" s="12"/>
      <c r="JFM13" s="12"/>
      <c r="JFN13" s="12"/>
      <c r="JFO13" s="12"/>
      <c r="JFP13" s="12"/>
      <c r="JFQ13" s="12"/>
      <c r="JFR13" s="12"/>
      <c r="JFS13" s="12"/>
      <c r="JFT13" s="12"/>
      <c r="JFU13" s="12"/>
      <c r="JFV13" s="12"/>
      <c r="JFW13" s="12"/>
      <c r="JFX13" s="12"/>
      <c r="JFY13" s="12"/>
      <c r="JFZ13" s="12"/>
      <c r="JGA13" s="12"/>
      <c r="JGB13" s="12"/>
      <c r="JGC13" s="12"/>
      <c r="JGD13" s="12"/>
      <c r="JGE13" s="12"/>
      <c r="JGF13" s="12"/>
      <c r="JGG13" s="12"/>
      <c r="JGH13" s="12"/>
      <c r="JGI13" s="12"/>
      <c r="JGJ13" s="12"/>
      <c r="JGK13" s="12"/>
      <c r="JGL13" s="12"/>
      <c r="JGM13" s="12"/>
      <c r="JGN13" s="12"/>
      <c r="JGO13" s="12"/>
      <c r="JGP13" s="12"/>
      <c r="JGQ13" s="12"/>
      <c r="JGR13" s="12"/>
      <c r="JGS13" s="12"/>
      <c r="JGT13" s="12"/>
      <c r="JGU13" s="12"/>
      <c r="JGV13" s="12"/>
      <c r="JGW13" s="12"/>
      <c r="JGX13" s="12"/>
      <c r="JGY13" s="12"/>
      <c r="JGZ13" s="12"/>
      <c r="JHA13" s="12"/>
      <c r="JHB13" s="12"/>
      <c r="JHC13" s="12"/>
      <c r="JHD13" s="12"/>
      <c r="JHE13" s="12"/>
      <c r="JHF13" s="12"/>
      <c r="JHG13" s="12"/>
      <c r="JHH13" s="12"/>
      <c r="JHI13" s="12"/>
      <c r="JHJ13" s="12"/>
      <c r="JHK13" s="12"/>
      <c r="JHL13" s="12"/>
      <c r="JHM13" s="12"/>
      <c r="JHN13" s="12"/>
      <c r="JHO13" s="12"/>
      <c r="JHP13" s="12"/>
      <c r="JHQ13" s="12"/>
      <c r="JHR13" s="12"/>
      <c r="JHS13" s="12"/>
      <c r="JHT13" s="12"/>
      <c r="JHU13" s="12"/>
      <c r="JHV13" s="12"/>
      <c r="JHW13" s="12"/>
      <c r="JHX13" s="12"/>
      <c r="JHY13" s="12"/>
      <c r="JHZ13" s="12"/>
      <c r="JIA13" s="12"/>
      <c r="JIB13" s="12"/>
      <c r="JIC13" s="12"/>
      <c r="JID13" s="12"/>
      <c r="JIE13" s="12"/>
      <c r="JIF13" s="12"/>
      <c r="JIG13" s="12"/>
      <c r="JIH13" s="12"/>
      <c r="JII13" s="12"/>
      <c r="JIJ13" s="12"/>
      <c r="JIK13" s="12"/>
      <c r="JIL13" s="12"/>
      <c r="JIM13" s="12"/>
      <c r="JIN13" s="12"/>
      <c r="JIO13" s="12"/>
      <c r="JIP13" s="12"/>
      <c r="JIQ13" s="12"/>
      <c r="JIR13" s="12"/>
      <c r="JIS13" s="12"/>
      <c r="JIT13" s="12"/>
      <c r="JIU13" s="12"/>
      <c r="JIV13" s="12"/>
      <c r="JIW13" s="12"/>
      <c r="JIX13" s="12"/>
      <c r="JIY13" s="12"/>
      <c r="JIZ13" s="12"/>
      <c r="JJA13" s="12"/>
      <c r="JJB13" s="12"/>
      <c r="JJC13" s="12"/>
      <c r="JJD13" s="12"/>
      <c r="JJE13" s="12"/>
      <c r="JJF13" s="12"/>
      <c r="JJG13" s="12"/>
      <c r="JJH13" s="12"/>
      <c r="JJI13" s="12"/>
      <c r="JJJ13" s="12"/>
      <c r="JJK13" s="12"/>
      <c r="JJL13" s="12"/>
      <c r="JJM13" s="12"/>
      <c r="JJN13" s="12"/>
      <c r="JJO13" s="12"/>
      <c r="JJP13" s="12"/>
      <c r="JJQ13" s="12"/>
      <c r="JJR13" s="12"/>
      <c r="JJS13" s="12"/>
      <c r="JJT13" s="12"/>
      <c r="JJU13" s="12"/>
      <c r="JJV13" s="12"/>
      <c r="JJW13" s="12"/>
      <c r="JJX13" s="12"/>
      <c r="JJY13" s="12"/>
      <c r="JJZ13" s="12"/>
      <c r="JKA13" s="12"/>
      <c r="JKB13" s="12"/>
      <c r="JKC13" s="12"/>
      <c r="JKD13" s="12"/>
      <c r="JKE13" s="12"/>
      <c r="JKF13" s="12"/>
      <c r="JKG13" s="12"/>
      <c r="JKH13" s="12"/>
      <c r="JKI13" s="12"/>
      <c r="JKJ13" s="12"/>
      <c r="JKK13" s="12"/>
      <c r="JKL13" s="12"/>
      <c r="JKM13" s="12"/>
      <c r="JKN13" s="12"/>
      <c r="JKO13" s="12"/>
      <c r="JKP13" s="12"/>
      <c r="JKQ13" s="12"/>
      <c r="JKR13" s="12"/>
      <c r="JKS13" s="12"/>
      <c r="JKT13" s="12"/>
      <c r="JKU13" s="12"/>
      <c r="JKV13" s="12"/>
      <c r="JKW13" s="12"/>
      <c r="JKX13" s="12"/>
      <c r="JKY13" s="12"/>
      <c r="JKZ13" s="12"/>
      <c r="JLA13" s="12"/>
      <c r="JLB13" s="12"/>
      <c r="JLC13" s="12"/>
      <c r="JLD13" s="12"/>
      <c r="JLE13" s="12"/>
      <c r="JLF13" s="12"/>
      <c r="JLG13" s="12"/>
      <c r="JLH13" s="12"/>
      <c r="JLI13" s="12"/>
      <c r="JLJ13" s="12"/>
      <c r="JLK13" s="12"/>
      <c r="JLL13" s="12"/>
      <c r="JLM13" s="12"/>
      <c r="JLN13" s="12"/>
      <c r="JLO13" s="12"/>
      <c r="JLP13" s="12"/>
      <c r="JLQ13" s="12"/>
      <c r="JLR13" s="12"/>
      <c r="JLS13" s="12"/>
      <c r="JLT13" s="12"/>
      <c r="JLU13" s="12"/>
      <c r="JLV13" s="12"/>
      <c r="JLW13" s="12"/>
      <c r="JLX13" s="12"/>
      <c r="JLY13" s="12"/>
      <c r="JLZ13" s="12"/>
      <c r="JMA13" s="12"/>
      <c r="JMB13" s="12"/>
      <c r="JMC13" s="12"/>
      <c r="JMD13" s="12"/>
      <c r="JME13" s="12"/>
      <c r="JMF13" s="12"/>
      <c r="JMG13" s="12"/>
      <c r="JMH13" s="12"/>
      <c r="JMI13" s="12"/>
      <c r="JMJ13" s="12"/>
      <c r="JMK13" s="12"/>
      <c r="JML13" s="12"/>
      <c r="JMM13" s="12"/>
      <c r="JMN13" s="12"/>
      <c r="JMO13" s="12"/>
      <c r="JMP13" s="12"/>
      <c r="JMQ13" s="12"/>
      <c r="JMR13" s="12"/>
      <c r="JMS13" s="12"/>
      <c r="JMT13" s="12"/>
      <c r="JMU13" s="12"/>
      <c r="JMV13" s="12"/>
      <c r="JMW13" s="12"/>
      <c r="JMX13" s="12"/>
      <c r="JMY13" s="12"/>
      <c r="JMZ13" s="12"/>
      <c r="JNA13" s="12"/>
      <c r="JNB13" s="12"/>
      <c r="JNC13" s="12"/>
      <c r="JND13" s="12"/>
      <c r="JNE13" s="12"/>
      <c r="JNF13" s="12"/>
      <c r="JNG13" s="12"/>
      <c r="JNH13" s="12"/>
      <c r="JNI13" s="12"/>
      <c r="JNJ13" s="12"/>
      <c r="JNK13" s="12"/>
      <c r="JNL13" s="12"/>
      <c r="JNM13" s="12"/>
      <c r="JNN13" s="12"/>
      <c r="JNO13" s="12"/>
      <c r="JNP13" s="12"/>
      <c r="JNQ13" s="12"/>
      <c r="JNR13" s="12"/>
      <c r="JNS13" s="12"/>
      <c r="JNT13" s="12"/>
      <c r="JNU13" s="12"/>
      <c r="JNV13" s="12"/>
      <c r="JNW13" s="12"/>
      <c r="JNX13" s="12"/>
      <c r="JNY13" s="12"/>
      <c r="JNZ13" s="12"/>
      <c r="JOA13" s="12"/>
      <c r="JOB13" s="12"/>
      <c r="JOC13" s="12"/>
      <c r="JOD13" s="12"/>
      <c r="JOE13" s="12"/>
      <c r="JOF13" s="12"/>
      <c r="JOG13" s="12"/>
      <c r="JOH13" s="12"/>
      <c r="JOI13" s="12"/>
      <c r="JOJ13" s="12"/>
      <c r="JOK13" s="12"/>
      <c r="JOL13" s="12"/>
      <c r="JOM13" s="12"/>
      <c r="JON13" s="12"/>
      <c r="JOO13" s="12"/>
      <c r="JOP13" s="12"/>
      <c r="JOQ13" s="12"/>
      <c r="JOR13" s="12"/>
      <c r="JOS13" s="12"/>
      <c r="JOT13" s="12"/>
      <c r="JOU13" s="12"/>
      <c r="JOV13" s="12"/>
      <c r="JOW13" s="12"/>
      <c r="JOX13" s="12"/>
      <c r="JOY13" s="12"/>
      <c r="JOZ13" s="12"/>
      <c r="JPA13" s="12"/>
      <c r="JPB13" s="12"/>
      <c r="JPC13" s="12"/>
      <c r="JPD13" s="12"/>
      <c r="JPE13" s="12"/>
      <c r="JPF13" s="12"/>
      <c r="JPG13" s="12"/>
      <c r="JPH13" s="12"/>
      <c r="JPI13" s="12"/>
      <c r="JPJ13" s="12"/>
      <c r="JPK13" s="12"/>
      <c r="JPL13" s="12"/>
      <c r="JPM13" s="12"/>
      <c r="JPN13" s="12"/>
      <c r="JPO13" s="12"/>
      <c r="JPP13" s="12"/>
      <c r="JPQ13" s="12"/>
      <c r="JPR13" s="12"/>
      <c r="JPS13" s="12"/>
      <c r="JPT13" s="12"/>
      <c r="JPU13" s="12"/>
      <c r="JPV13" s="12"/>
      <c r="JPW13" s="12"/>
      <c r="JPX13" s="12"/>
      <c r="JPY13" s="12"/>
      <c r="JPZ13" s="12"/>
      <c r="JQA13" s="12"/>
      <c r="JQB13" s="12"/>
      <c r="JQC13" s="12"/>
      <c r="JQD13" s="12"/>
      <c r="JQE13" s="12"/>
      <c r="JQF13" s="12"/>
      <c r="JQG13" s="12"/>
      <c r="JQH13" s="12"/>
      <c r="JQI13" s="12"/>
      <c r="JQJ13" s="12"/>
      <c r="JQK13" s="12"/>
      <c r="JQL13" s="12"/>
      <c r="JQM13" s="12"/>
      <c r="JQN13" s="12"/>
      <c r="JQO13" s="12"/>
      <c r="JQP13" s="12"/>
      <c r="JQQ13" s="12"/>
      <c r="JQR13" s="12"/>
      <c r="JQS13" s="12"/>
      <c r="JQT13" s="12"/>
      <c r="JQU13" s="12"/>
      <c r="JQV13" s="12"/>
      <c r="JQW13" s="12"/>
      <c r="JQX13" s="12"/>
      <c r="JQY13" s="12"/>
      <c r="JQZ13" s="12"/>
      <c r="JRA13" s="12"/>
      <c r="JRB13" s="12"/>
      <c r="JRC13" s="12"/>
      <c r="JRD13" s="12"/>
      <c r="JRE13" s="12"/>
      <c r="JRF13" s="12"/>
      <c r="JRG13" s="12"/>
      <c r="JRH13" s="12"/>
      <c r="JRI13" s="12"/>
      <c r="JRJ13" s="12"/>
      <c r="JRK13" s="12"/>
      <c r="JRL13" s="12"/>
      <c r="JRM13" s="12"/>
      <c r="JRN13" s="12"/>
      <c r="JRO13" s="12"/>
      <c r="JRP13" s="12"/>
      <c r="JRQ13" s="12"/>
      <c r="JRR13" s="12"/>
      <c r="JRS13" s="12"/>
      <c r="JRT13" s="12"/>
      <c r="JRU13" s="12"/>
      <c r="JRV13" s="12"/>
      <c r="JRW13" s="12"/>
      <c r="JRX13" s="12"/>
      <c r="JRY13" s="12"/>
      <c r="JRZ13" s="12"/>
      <c r="JSA13" s="12"/>
      <c r="JSB13" s="12"/>
      <c r="JSC13" s="12"/>
      <c r="JSD13" s="12"/>
      <c r="JSE13" s="12"/>
      <c r="JSF13" s="12"/>
      <c r="JSG13" s="12"/>
      <c r="JSH13" s="12"/>
      <c r="JSI13" s="12"/>
      <c r="JSJ13" s="12"/>
      <c r="JSK13" s="12"/>
      <c r="JSL13" s="12"/>
      <c r="JSM13" s="12"/>
      <c r="JSN13" s="12"/>
      <c r="JSO13" s="12"/>
      <c r="JSP13" s="12"/>
      <c r="JSQ13" s="12"/>
      <c r="JSR13" s="12"/>
      <c r="JSS13" s="12"/>
      <c r="JST13" s="12"/>
      <c r="JSU13" s="12"/>
      <c r="JSV13" s="12"/>
      <c r="JSW13" s="12"/>
      <c r="JSX13" s="12"/>
      <c r="JSY13" s="12"/>
      <c r="JSZ13" s="12"/>
      <c r="JTA13" s="12"/>
      <c r="JTB13" s="12"/>
      <c r="JTC13" s="12"/>
      <c r="JTD13" s="12"/>
      <c r="JTE13" s="12"/>
      <c r="JTF13" s="12"/>
      <c r="JTG13" s="12"/>
      <c r="JTH13" s="12"/>
      <c r="JTI13" s="12"/>
      <c r="JTJ13" s="12"/>
      <c r="JTK13" s="12"/>
      <c r="JTL13" s="12"/>
      <c r="JTM13" s="12"/>
      <c r="JTN13" s="12"/>
      <c r="JTO13" s="12"/>
      <c r="JTP13" s="12"/>
      <c r="JTQ13" s="12"/>
      <c r="JTR13" s="12"/>
      <c r="JTS13" s="12"/>
      <c r="JTT13" s="12"/>
      <c r="JTU13" s="12"/>
      <c r="JTV13" s="12"/>
      <c r="JTW13" s="12"/>
      <c r="JTX13" s="12"/>
      <c r="JTY13" s="12"/>
      <c r="JTZ13" s="12"/>
      <c r="JUA13" s="12"/>
      <c r="JUB13" s="12"/>
      <c r="JUC13" s="12"/>
      <c r="JUD13" s="12"/>
      <c r="JUE13" s="12"/>
      <c r="JUF13" s="12"/>
      <c r="JUG13" s="12"/>
      <c r="JUH13" s="12"/>
      <c r="JUI13" s="12"/>
      <c r="JUJ13" s="12"/>
      <c r="JUK13" s="12"/>
      <c r="JUL13" s="12"/>
      <c r="JUM13" s="12"/>
      <c r="JUN13" s="12"/>
      <c r="JUO13" s="12"/>
      <c r="JUP13" s="12"/>
      <c r="JUQ13" s="12"/>
      <c r="JUR13" s="12"/>
      <c r="JUS13" s="12"/>
      <c r="JUT13" s="12"/>
      <c r="JUU13" s="12"/>
      <c r="JUV13" s="12"/>
      <c r="JUW13" s="12"/>
      <c r="JUX13" s="12"/>
      <c r="JUY13" s="12"/>
      <c r="JUZ13" s="12"/>
      <c r="JVA13" s="12"/>
      <c r="JVB13" s="12"/>
      <c r="JVC13" s="12"/>
      <c r="JVD13" s="12"/>
      <c r="JVE13" s="12"/>
      <c r="JVF13" s="12"/>
      <c r="JVG13" s="12"/>
      <c r="JVH13" s="12"/>
      <c r="JVI13" s="12"/>
      <c r="JVJ13" s="12"/>
      <c r="JVK13" s="12"/>
      <c r="JVL13" s="12"/>
      <c r="JVM13" s="12"/>
      <c r="JVN13" s="12"/>
      <c r="JVO13" s="12"/>
      <c r="JVP13" s="12"/>
      <c r="JVQ13" s="12"/>
      <c r="JVR13" s="12"/>
      <c r="JVS13" s="12"/>
      <c r="JVT13" s="12"/>
      <c r="JVU13" s="12"/>
      <c r="JVV13" s="12"/>
      <c r="JVW13" s="12"/>
      <c r="JVX13" s="12"/>
      <c r="JVY13" s="12"/>
      <c r="JVZ13" s="12"/>
      <c r="JWA13" s="12"/>
      <c r="JWB13" s="12"/>
      <c r="JWC13" s="12"/>
      <c r="JWD13" s="12"/>
      <c r="JWE13" s="12"/>
      <c r="JWF13" s="12"/>
      <c r="JWG13" s="12"/>
      <c r="JWH13" s="12"/>
      <c r="JWI13" s="12"/>
      <c r="JWJ13" s="12"/>
      <c r="JWK13" s="12"/>
      <c r="JWL13" s="12"/>
      <c r="JWM13" s="12"/>
      <c r="JWN13" s="12"/>
      <c r="JWO13" s="12"/>
      <c r="JWP13" s="12"/>
      <c r="JWQ13" s="12"/>
      <c r="JWR13" s="12"/>
      <c r="JWS13" s="12"/>
      <c r="JWT13" s="12"/>
      <c r="JWU13" s="12"/>
      <c r="JWV13" s="12"/>
      <c r="JWW13" s="12"/>
      <c r="JWX13" s="12"/>
      <c r="JWY13" s="12"/>
      <c r="JWZ13" s="12"/>
      <c r="JXA13" s="12"/>
      <c r="JXB13" s="12"/>
      <c r="JXC13" s="12"/>
      <c r="JXD13" s="12"/>
      <c r="JXE13" s="12"/>
      <c r="JXF13" s="12"/>
      <c r="JXG13" s="12"/>
      <c r="JXH13" s="12"/>
      <c r="JXI13" s="12"/>
      <c r="JXJ13" s="12"/>
      <c r="JXK13" s="12"/>
      <c r="JXL13" s="12"/>
      <c r="JXM13" s="12"/>
      <c r="JXN13" s="12"/>
      <c r="JXO13" s="12"/>
      <c r="JXP13" s="12"/>
      <c r="JXQ13" s="12"/>
      <c r="JXR13" s="12"/>
      <c r="JXS13" s="12"/>
      <c r="JXT13" s="12"/>
      <c r="JXU13" s="12"/>
      <c r="JXV13" s="12"/>
      <c r="JXW13" s="12"/>
      <c r="JXX13" s="12"/>
      <c r="JXY13" s="12"/>
      <c r="JXZ13" s="12"/>
      <c r="JYA13" s="12"/>
      <c r="JYB13" s="12"/>
      <c r="JYC13" s="12"/>
      <c r="JYD13" s="12"/>
      <c r="JYE13" s="12"/>
      <c r="JYF13" s="12"/>
      <c r="JYG13" s="12"/>
      <c r="JYH13" s="12"/>
      <c r="JYI13" s="12"/>
      <c r="JYJ13" s="12"/>
      <c r="JYK13" s="12"/>
      <c r="JYL13" s="12"/>
      <c r="JYM13" s="12"/>
      <c r="JYN13" s="12"/>
      <c r="JYO13" s="12"/>
      <c r="JYP13" s="12"/>
      <c r="JYQ13" s="12"/>
      <c r="JYR13" s="12"/>
      <c r="JYS13" s="12"/>
      <c r="JYT13" s="12"/>
      <c r="JYU13" s="12"/>
      <c r="JYV13" s="12"/>
      <c r="JYW13" s="12"/>
      <c r="JYX13" s="12"/>
      <c r="JYY13" s="12"/>
      <c r="JYZ13" s="12"/>
      <c r="JZA13" s="12"/>
      <c r="JZB13" s="12"/>
      <c r="JZC13" s="12"/>
      <c r="JZD13" s="12"/>
      <c r="JZE13" s="12"/>
      <c r="JZF13" s="12"/>
      <c r="JZG13" s="12"/>
      <c r="JZH13" s="12"/>
      <c r="JZI13" s="12"/>
      <c r="JZJ13" s="12"/>
      <c r="JZK13" s="12"/>
      <c r="JZL13" s="12"/>
      <c r="JZM13" s="12"/>
      <c r="JZN13" s="12"/>
      <c r="JZO13" s="12"/>
      <c r="JZP13" s="12"/>
      <c r="JZQ13" s="12"/>
      <c r="JZR13" s="12"/>
      <c r="JZS13" s="12"/>
      <c r="JZT13" s="12"/>
      <c r="JZU13" s="12"/>
      <c r="JZV13" s="12"/>
      <c r="JZW13" s="12"/>
      <c r="JZX13" s="12"/>
      <c r="JZY13" s="12"/>
      <c r="JZZ13" s="12"/>
      <c r="KAA13" s="12"/>
      <c r="KAB13" s="12"/>
      <c r="KAC13" s="12"/>
      <c r="KAD13" s="12"/>
      <c r="KAE13" s="12"/>
      <c r="KAF13" s="12"/>
      <c r="KAG13" s="12"/>
      <c r="KAH13" s="12"/>
      <c r="KAI13" s="12"/>
      <c r="KAJ13" s="12"/>
      <c r="KAK13" s="12"/>
      <c r="KAL13" s="12"/>
      <c r="KAM13" s="12"/>
      <c r="KAN13" s="12"/>
      <c r="KAO13" s="12"/>
      <c r="KAP13" s="12"/>
      <c r="KAQ13" s="12"/>
      <c r="KAR13" s="12"/>
      <c r="KAS13" s="12"/>
      <c r="KAT13" s="12"/>
      <c r="KAU13" s="12"/>
      <c r="KAV13" s="12"/>
      <c r="KAW13" s="12"/>
      <c r="KAX13" s="12"/>
      <c r="KAY13" s="12"/>
      <c r="KAZ13" s="12"/>
      <c r="KBA13" s="12"/>
      <c r="KBB13" s="12"/>
      <c r="KBC13" s="12"/>
      <c r="KBD13" s="12"/>
      <c r="KBE13" s="12"/>
      <c r="KBF13" s="12"/>
      <c r="KBG13" s="12"/>
      <c r="KBH13" s="12"/>
      <c r="KBI13" s="12"/>
      <c r="KBJ13" s="12"/>
      <c r="KBK13" s="12"/>
      <c r="KBL13" s="12"/>
      <c r="KBM13" s="12"/>
      <c r="KBN13" s="12"/>
      <c r="KBO13" s="12"/>
      <c r="KBP13" s="12"/>
      <c r="KBQ13" s="12"/>
      <c r="KBR13" s="12"/>
      <c r="KBS13" s="12"/>
      <c r="KBT13" s="12"/>
      <c r="KBU13" s="12"/>
      <c r="KBV13" s="12"/>
      <c r="KBW13" s="12"/>
      <c r="KBX13" s="12"/>
      <c r="KBY13" s="12"/>
      <c r="KBZ13" s="12"/>
      <c r="KCA13" s="12"/>
      <c r="KCB13" s="12"/>
      <c r="KCC13" s="12"/>
      <c r="KCD13" s="12"/>
      <c r="KCE13" s="12"/>
      <c r="KCF13" s="12"/>
      <c r="KCG13" s="12"/>
      <c r="KCH13" s="12"/>
      <c r="KCI13" s="12"/>
      <c r="KCJ13" s="12"/>
      <c r="KCK13" s="12"/>
      <c r="KCL13" s="12"/>
      <c r="KCM13" s="12"/>
      <c r="KCN13" s="12"/>
      <c r="KCO13" s="12"/>
      <c r="KCP13" s="12"/>
      <c r="KCQ13" s="12"/>
      <c r="KCR13" s="12"/>
      <c r="KCS13" s="12"/>
      <c r="KCT13" s="12"/>
      <c r="KCU13" s="12"/>
      <c r="KCV13" s="12"/>
      <c r="KCW13" s="12"/>
      <c r="KCX13" s="12"/>
      <c r="KCY13" s="12"/>
      <c r="KCZ13" s="12"/>
      <c r="KDA13" s="12"/>
      <c r="KDB13" s="12"/>
      <c r="KDC13" s="12"/>
      <c r="KDD13" s="12"/>
      <c r="KDE13" s="12"/>
      <c r="KDF13" s="12"/>
      <c r="KDG13" s="12"/>
      <c r="KDH13" s="12"/>
      <c r="KDI13" s="12"/>
      <c r="KDJ13" s="12"/>
      <c r="KDK13" s="12"/>
      <c r="KDL13" s="12"/>
      <c r="KDM13" s="12"/>
      <c r="KDN13" s="12"/>
      <c r="KDO13" s="12"/>
      <c r="KDP13" s="12"/>
      <c r="KDQ13" s="12"/>
      <c r="KDR13" s="12"/>
      <c r="KDS13" s="12"/>
      <c r="KDT13" s="12"/>
      <c r="KDU13" s="12"/>
      <c r="KDV13" s="12"/>
      <c r="KDW13" s="12"/>
      <c r="KDX13" s="12"/>
      <c r="KDY13" s="12"/>
      <c r="KDZ13" s="12"/>
      <c r="KEA13" s="12"/>
      <c r="KEB13" s="12"/>
      <c r="KEC13" s="12"/>
      <c r="KED13" s="12"/>
      <c r="KEE13" s="12"/>
      <c r="KEF13" s="12"/>
      <c r="KEG13" s="12"/>
      <c r="KEH13" s="12"/>
      <c r="KEI13" s="12"/>
      <c r="KEJ13" s="12"/>
      <c r="KEK13" s="12"/>
      <c r="KEL13" s="12"/>
      <c r="KEM13" s="12"/>
      <c r="KEN13" s="12"/>
      <c r="KEO13" s="12"/>
      <c r="KEP13" s="12"/>
      <c r="KEQ13" s="12"/>
      <c r="KER13" s="12"/>
      <c r="KES13" s="12"/>
      <c r="KET13" s="12"/>
      <c r="KEU13" s="12"/>
      <c r="KEV13" s="12"/>
      <c r="KEW13" s="12"/>
      <c r="KEX13" s="12"/>
      <c r="KEY13" s="12"/>
      <c r="KEZ13" s="12"/>
      <c r="KFA13" s="12"/>
      <c r="KFB13" s="12"/>
      <c r="KFC13" s="12"/>
      <c r="KFD13" s="12"/>
      <c r="KFE13" s="12"/>
      <c r="KFF13" s="12"/>
      <c r="KFG13" s="12"/>
      <c r="KFH13" s="12"/>
      <c r="KFI13" s="12"/>
      <c r="KFJ13" s="12"/>
      <c r="KFK13" s="12"/>
      <c r="KFL13" s="12"/>
      <c r="KFM13" s="12"/>
      <c r="KFN13" s="12"/>
      <c r="KFO13" s="12"/>
      <c r="KFP13" s="12"/>
      <c r="KFQ13" s="12"/>
      <c r="KFR13" s="12"/>
      <c r="KFS13" s="12"/>
      <c r="KFT13" s="12"/>
      <c r="KFU13" s="12"/>
      <c r="KFV13" s="12"/>
      <c r="KFW13" s="12"/>
      <c r="KFX13" s="12"/>
      <c r="KFY13" s="12"/>
      <c r="KFZ13" s="12"/>
      <c r="KGA13" s="12"/>
      <c r="KGB13" s="12"/>
      <c r="KGC13" s="12"/>
      <c r="KGD13" s="12"/>
      <c r="KGE13" s="12"/>
      <c r="KGF13" s="12"/>
      <c r="KGG13" s="12"/>
      <c r="KGH13" s="12"/>
      <c r="KGI13" s="12"/>
      <c r="KGJ13" s="12"/>
      <c r="KGK13" s="12"/>
      <c r="KGL13" s="12"/>
      <c r="KGM13" s="12"/>
      <c r="KGN13" s="12"/>
      <c r="KGO13" s="12"/>
      <c r="KGP13" s="12"/>
      <c r="KGQ13" s="12"/>
      <c r="KGR13" s="12"/>
      <c r="KGS13" s="12"/>
      <c r="KGT13" s="12"/>
      <c r="KGU13" s="12"/>
      <c r="KGV13" s="12"/>
      <c r="KGW13" s="12"/>
      <c r="KGX13" s="12"/>
      <c r="KGY13" s="12"/>
      <c r="KGZ13" s="12"/>
      <c r="KHA13" s="12"/>
      <c r="KHB13" s="12"/>
      <c r="KHC13" s="12"/>
      <c r="KHD13" s="12"/>
      <c r="KHE13" s="12"/>
      <c r="KHF13" s="12"/>
      <c r="KHG13" s="12"/>
      <c r="KHH13" s="12"/>
      <c r="KHI13" s="12"/>
      <c r="KHJ13" s="12"/>
      <c r="KHK13" s="12"/>
      <c r="KHL13" s="12"/>
      <c r="KHM13" s="12"/>
      <c r="KHN13" s="12"/>
      <c r="KHO13" s="12"/>
      <c r="KHP13" s="12"/>
      <c r="KHQ13" s="12"/>
      <c r="KHR13" s="12"/>
      <c r="KHS13" s="12"/>
      <c r="KHT13" s="12"/>
      <c r="KHU13" s="12"/>
      <c r="KHV13" s="12"/>
      <c r="KHW13" s="12"/>
      <c r="KHX13" s="12"/>
      <c r="KHY13" s="12"/>
      <c r="KHZ13" s="12"/>
      <c r="KIA13" s="12"/>
      <c r="KIB13" s="12"/>
      <c r="KIC13" s="12"/>
      <c r="KID13" s="12"/>
      <c r="KIE13" s="12"/>
      <c r="KIF13" s="12"/>
      <c r="KIG13" s="12"/>
      <c r="KIH13" s="12"/>
      <c r="KII13" s="12"/>
      <c r="KIJ13" s="12"/>
      <c r="KIK13" s="12"/>
      <c r="KIL13" s="12"/>
      <c r="KIM13" s="12"/>
      <c r="KIN13" s="12"/>
      <c r="KIO13" s="12"/>
      <c r="KIP13" s="12"/>
      <c r="KIQ13" s="12"/>
      <c r="KIR13" s="12"/>
      <c r="KIS13" s="12"/>
      <c r="KIT13" s="12"/>
      <c r="KIU13" s="12"/>
      <c r="KIV13" s="12"/>
      <c r="KIW13" s="12"/>
      <c r="KIX13" s="12"/>
      <c r="KIY13" s="12"/>
      <c r="KIZ13" s="12"/>
      <c r="KJA13" s="12"/>
      <c r="KJB13" s="12"/>
      <c r="KJC13" s="12"/>
      <c r="KJD13" s="12"/>
      <c r="KJE13" s="12"/>
      <c r="KJF13" s="12"/>
      <c r="KJG13" s="12"/>
      <c r="KJH13" s="12"/>
      <c r="KJI13" s="12"/>
      <c r="KJJ13" s="12"/>
      <c r="KJK13" s="12"/>
      <c r="KJL13" s="12"/>
      <c r="KJM13" s="12"/>
      <c r="KJN13" s="12"/>
      <c r="KJO13" s="12"/>
      <c r="KJP13" s="12"/>
      <c r="KJQ13" s="12"/>
      <c r="KJR13" s="12"/>
      <c r="KJS13" s="12"/>
      <c r="KJT13" s="12"/>
      <c r="KJU13" s="12"/>
      <c r="KJV13" s="12"/>
      <c r="KJW13" s="12"/>
      <c r="KJX13" s="12"/>
      <c r="KJY13" s="12"/>
      <c r="KJZ13" s="12"/>
      <c r="KKA13" s="12"/>
      <c r="KKB13" s="12"/>
      <c r="KKC13" s="12"/>
      <c r="KKD13" s="12"/>
      <c r="KKE13" s="12"/>
      <c r="KKF13" s="12"/>
      <c r="KKG13" s="12"/>
      <c r="KKH13" s="12"/>
      <c r="KKI13" s="12"/>
      <c r="KKJ13" s="12"/>
      <c r="KKK13" s="12"/>
      <c r="KKL13" s="12"/>
      <c r="KKM13" s="12"/>
      <c r="KKN13" s="12"/>
      <c r="KKO13" s="12"/>
      <c r="KKP13" s="12"/>
      <c r="KKQ13" s="12"/>
      <c r="KKR13" s="12"/>
      <c r="KKS13" s="12"/>
      <c r="KKT13" s="12"/>
      <c r="KKU13" s="12"/>
      <c r="KKV13" s="12"/>
      <c r="KKW13" s="12"/>
      <c r="KKX13" s="12"/>
      <c r="KKY13" s="12"/>
      <c r="KKZ13" s="12"/>
      <c r="KLA13" s="12"/>
      <c r="KLB13" s="12"/>
      <c r="KLC13" s="12"/>
      <c r="KLD13" s="12"/>
      <c r="KLE13" s="12"/>
      <c r="KLF13" s="12"/>
      <c r="KLG13" s="12"/>
      <c r="KLH13" s="12"/>
      <c r="KLI13" s="12"/>
      <c r="KLJ13" s="12"/>
      <c r="KLK13" s="12"/>
      <c r="KLL13" s="12"/>
      <c r="KLM13" s="12"/>
      <c r="KLN13" s="12"/>
      <c r="KLO13" s="12"/>
      <c r="KLP13" s="12"/>
      <c r="KLQ13" s="12"/>
      <c r="KLR13" s="12"/>
      <c r="KLS13" s="12"/>
      <c r="KLT13" s="12"/>
      <c r="KLU13" s="12"/>
      <c r="KLV13" s="12"/>
      <c r="KLW13" s="12"/>
      <c r="KLX13" s="12"/>
      <c r="KLY13" s="12"/>
      <c r="KLZ13" s="12"/>
      <c r="KMA13" s="12"/>
      <c r="KMB13" s="12"/>
      <c r="KMC13" s="12"/>
      <c r="KMD13" s="12"/>
      <c r="KME13" s="12"/>
      <c r="KMF13" s="12"/>
      <c r="KMG13" s="12"/>
      <c r="KMH13" s="12"/>
      <c r="KMI13" s="12"/>
      <c r="KMJ13" s="12"/>
      <c r="KMK13" s="12"/>
      <c r="KML13" s="12"/>
      <c r="KMM13" s="12"/>
      <c r="KMN13" s="12"/>
      <c r="KMO13" s="12"/>
      <c r="KMP13" s="12"/>
      <c r="KMQ13" s="12"/>
      <c r="KMR13" s="12"/>
      <c r="KMS13" s="12"/>
      <c r="KMT13" s="12"/>
      <c r="KMU13" s="12"/>
      <c r="KMV13" s="12"/>
      <c r="KMW13" s="12"/>
      <c r="KMX13" s="12"/>
      <c r="KMY13" s="12"/>
      <c r="KMZ13" s="12"/>
      <c r="KNA13" s="12"/>
      <c r="KNB13" s="12"/>
      <c r="KNC13" s="12"/>
      <c r="KND13" s="12"/>
      <c r="KNE13" s="12"/>
      <c r="KNF13" s="12"/>
      <c r="KNG13" s="12"/>
      <c r="KNH13" s="12"/>
      <c r="KNI13" s="12"/>
      <c r="KNJ13" s="12"/>
      <c r="KNK13" s="12"/>
      <c r="KNL13" s="12"/>
      <c r="KNM13" s="12"/>
      <c r="KNN13" s="12"/>
      <c r="KNO13" s="12"/>
      <c r="KNP13" s="12"/>
      <c r="KNQ13" s="12"/>
      <c r="KNR13" s="12"/>
      <c r="KNS13" s="12"/>
      <c r="KNT13" s="12"/>
      <c r="KNU13" s="12"/>
      <c r="KNV13" s="12"/>
      <c r="KNW13" s="12"/>
      <c r="KNX13" s="12"/>
      <c r="KNY13" s="12"/>
      <c r="KNZ13" s="12"/>
      <c r="KOA13" s="12"/>
      <c r="KOB13" s="12"/>
      <c r="KOC13" s="12"/>
      <c r="KOD13" s="12"/>
      <c r="KOE13" s="12"/>
      <c r="KOF13" s="12"/>
      <c r="KOG13" s="12"/>
      <c r="KOH13" s="12"/>
      <c r="KOI13" s="12"/>
      <c r="KOJ13" s="12"/>
      <c r="KOK13" s="12"/>
      <c r="KOL13" s="12"/>
      <c r="KOM13" s="12"/>
      <c r="KON13" s="12"/>
      <c r="KOO13" s="12"/>
      <c r="KOP13" s="12"/>
      <c r="KOQ13" s="12"/>
      <c r="KOR13" s="12"/>
      <c r="KOS13" s="12"/>
      <c r="KOT13" s="12"/>
      <c r="KOU13" s="12"/>
      <c r="KOV13" s="12"/>
      <c r="KOW13" s="12"/>
      <c r="KOX13" s="12"/>
      <c r="KOY13" s="12"/>
      <c r="KOZ13" s="12"/>
      <c r="KPA13" s="12"/>
      <c r="KPB13" s="12"/>
      <c r="KPC13" s="12"/>
      <c r="KPD13" s="12"/>
      <c r="KPE13" s="12"/>
      <c r="KPF13" s="12"/>
      <c r="KPG13" s="12"/>
      <c r="KPH13" s="12"/>
      <c r="KPI13" s="12"/>
      <c r="KPJ13" s="12"/>
      <c r="KPK13" s="12"/>
      <c r="KPL13" s="12"/>
      <c r="KPM13" s="12"/>
      <c r="KPN13" s="12"/>
      <c r="KPO13" s="12"/>
      <c r="KPP13" s="12"/>
      <c r="KPQ13" s="12"/>
      <c r="KPR13" s="12"/>
      <c r="KPS13" s="12"/>
      <c r="KPT13" s="12"/>
      <c r="KPU13" s="12"/>
      <c r="KPV13" s="12"/>
      <c r="KPW13" s="12"/>
      <c r="KPX13" s="12"/>
      <c r="KPY13" s="12"/>
      <c r="KPZ13" s="12"/>
      <c r="KQA13" s="12"/>
      <c r="KQB13" s="12"/>
      <c r="KQC13" s="12"/>
      <c r="KQD13" s="12"/>
      <c r="KQE13" s="12"/>
      <c r="KQF13" s="12"/>
      <c r="KQG13" s="12"/>
      <c r="KQH13" s="12"/>
      <c r="KQI13" s="12"/>
      <c r="KQJ13" s="12"/>
      <c r="KQK13" s="12"/>
      <c r="KQL13" s="12"/>
      <c r="KQM13" s="12"/>
      <c r="KQN13" s="12"/>
      <c r="KQO13" s="12"/>
      <c r="KQP13" s="12"/>
      <c r="KQQ13" s="12"/>
      <c r="KQR13" s="12"/>
      <c r="KQS13" s="12"/>
      <c r="KQT13" s="12"/>
      <c r="KQU13" s="12"/>
      <c r="KQV13" s="12"/>
      <c r="KQW13" s="12"/>
      <c r="KQX13" s="12"/>
      <c r="KQY13" s="12"/>
      <c r="KQZ13" s="12"/>
      <c r="KRA13" s="12"/>
      <c r="KRB13" s="12"/>
      <c r="KRC13" s="12"/>
      <c r="KRD13" s="12"/>
      <c r="KRE13" s="12"/>
      <c r="KRF13" s="12"/>
      <c r="KRG13" s="12"/>
      <c r="KRH13" s="12"/>
      <c r="KRI13" s="12"/>
      <c r="KRJ13" s="12"/>
      <c r="KRK13" s="12"/>
      <c r="KRL13" s="12"/>
      <c r="KRM13" s="12"/>
      <c r="KRN13" s="12"/>
      <c r="KRO13" s="12"/>
      <c r="KRP13" s="12"/>
      <c r="KRQ13" s="12"/>
      <c r="KRR13" s="12"/>
      <c r="KRS13" s="12"/>
      <c r="KRT13" s="12"/>
      <c r="KRU13" s="12"/>
      <c r="KRV13" s="12"/>
      <c r="KRW13" s="12"/>
      <c r="KRX13" s="12"/>
      <c r="KRY13" s="12"/>
      <c r="KRZ13" s="12"/>
      <c r="KSA13" s="12"/>
      <c r="KSB13" s="12"/>
      <c r="KSC13" s="12"/>
      <c r="KSD13" s="12"/>
      <c r="KSE13" s="12"/>
      <c r="KSF13" s="12"/>
      <c r="KSG13" s="12"/>
      <c r="KSH13" s="12"/>
      <c r="KSI13" s="12"/>
      <c r="KSJ13" s="12"/>
      <c r="KSK13" s="12"/>
      <c r="KSL13" s="12"/>
      <c r="KSM13" s="12"/>
      <c r="KSN13" s="12"/>
      <c r="KSO13" s="12"/>
      <c r="KSP13" s="12"/>
      <c r="KSQ13" s="12"/>
      <c r="KSR13" s="12"/>
      <c r="KSS13" s="12"/>
      <c r="KST13" s="12"/>
      <c r="KSU13" s="12"/>
      <c r="KSV13" s="12"/>
      <c r="KSW13" s="12"/>
      <c r="KSX13" s="12"/>
      <c r="KSY13" s="12"/>
      <c r="KSZ13" s="12"/>
      <c r="KTA13" s="12"/>
      <c r="KTB13" s="12"/>
      <c r="KTC13" s="12"/>
      <c r="KTD13" s="12"/>
      <c r="KTE13" s="12"/>
      <c r="KTF13" s="12"/>
      <c r="KTG13" s="12"/>
      <c r="KTH13" s="12"/>
      <c r="KTI13" s="12"/>
      <c r="KTJ13" s="12"/>
      <c r="KTK13" s="12"/>
      <c r="KTL13" s="12"/>
      <c r="KTM13" s="12"/>
      <c r="KTN13" s="12"/>
      <c r="KTO13" s="12"/>
      <c r="KTP13" s="12"/>
      <c r="KTQ13" s="12"/>
      <c r="KTR13" s="12"/>
      <c r="KTS13" s="12"/>
      <c r="KTT13" s="12"/>
      <c r="KTU13" s="12"/>
      <c r="KTV13" s="12"/>
      <c r="KTW13" s="12"/>
      <c r="KTX13" s="12"/>
      <c r="KTY13" s="12"/>
      <c r="KTZ13" s="12"/>
      <c r="KUA13" s="12"/>
      <c r="KUB13" s="12"/>
      <c r="KUC13" s="12"/>
      <c r="KUD13" s="12"/>
      <c r="KUE13" s="12"/>
      <c r="KUF13" s="12"/>
      <c r="KUG13" s="12"/>
      <c r="KUH13" s="12"/>
      <c r="KUI13" s="12"/>
      <c r="KUJ13" s="12"/>
      <c r="KUK13" s="12"/>
      <c r="KUL13" s="12"/>
      <c r="KUM13" s="12"/>
      <c r="KUN13" s="12"/>
      <c r="KUO13" s="12"/>
      <c r="KUP13" s="12"/>
      <c r="KUQ13" s="12"/>
      <c r="KUR13" s="12"/>
      <c r="KUS13" s="12"/>
      <c r="KUT13" s="12"/>
      <c r="KUU13" s="12"/>
      <c r="KUV13" s="12"/>
      <c r="KUW13" s="12"/>
      <c r="KUX13" s="12"/>
      <c r="KUY13" s="12"/>
      <c r="KUZ13" s="12"/>
      <c r="KVA13" s="12"/>
      <c r="KVB13" s="12"/>
      <c r="KVC13" s="12"/>
      <c r="KVD13" s="12"/>
      <c r="KVE13" s="12"/>
      <c r="KVF13" s="12"/>
      <c r="KVG13" s="12"/>
      <c r="KVH13" s="12"/>
      <c r="KVI13" s="12"/>
      <c r="KVJ13" s="12"/>
      <c r="KVK13" s="12"/>
      <c r="KVL13" s="12"/>
      <c r="KVM13" s="12"/>
      <c r="KVN13" s="12"/>
      <c r="KVO13" s="12"/>
      <c r="KVP13" s="12"/>
      <c r="KVQ13" s="12"/>
      <c r="KVR13" s="12"/>
      <c r="KVS13" s="12"/>
      <c r="KVT13" s="12"/>
      <c r="KVU13" s="12"/>
      <c r="KVV13" s="12"/>
      <c r="KVW13" s="12"/>
      <c r="KVX13" s="12"/>
      <c r="KVY13" s="12"/>
      <c r="KVZ13" s="12"/>
      <c r="KWA13" s="12"/>
      <c r="KWB13" s="12"/>
      <c r="KWC13" s="12"/>
      <c r="KWD13" s="12"/>
      <c r="KWE13" s="12"/>
      <c r="KWF13" s="12"/>
      <c r="KWG13" s="12"/>
      <c r="KWH13" s="12"/>
      <c r="KWI13" s="12"/>
      <c r="KWJ13" s="12"/>
      <c r="KWK13" s="12"/>
      <c r="KWL13" s="12"/>
      <c r="KWM13" s="12"/>
      <c r="KWN13" s="12"/>
      <c r="KWO13" s="12"/>
      <c r="KWP13" s="12"/>
      <c r="KWQ13" s="12"/>
      <c r="KWR13" s="12"/>
      <c r="KWS13" s="12"/>
      <c r="KWT13" s="12"/>
      <c r="KWU13" s="12"/>
      <c r="KWV13" s="12"/>
      <c r="KWW13" s="12"/>
      <c r="KWX13" s="12"/>
      <c r="KWY13" s="12"/>
      <c r="KWZ13" s="12"/>
      <c r="KXA13" s="12"/>
      <c r="KXB13" s="12"/>
      <c r="KXC13" s="12"/>
      <c r="KXD13" s="12"/>
      <c r="KXE13" s="12"/>
      <c r="KXF13" s="12"/>
      <c r="KXG13" s="12"/>
      <c r="KXH13" s="12"/>
      <c r="KXI13" s="12"/>
      <c r="KXJ13" s="12"/>
      <c r="KXK13" s="12"/>
      <c r="KXL13" s="12"/>
      <c r="KXM13" s="12"/>
      <c r="KXN13" s="12"/>
      <c r="KXO13" s="12"/>
      <c r="KXP13" s="12"/>
      <c r="KXQ13" s="12"/>
      <c r="KXR13" s="12"/>
      <c r="KXS13" s="12"/>
      <c r="KXT13" s="12"/>
      <c r="KXU13" s="12"/>
      <c r="KXV13" s="12"/>
      <c r="KXW13" s="12"/>
      <c r="KXX13" s="12"/>
      <c r="KXY13" s="12"/>
      <c r="KXZ13" s="12"/>
      <c r="KYA13" s="12"/>
      <c r="KYB13" s="12"/>
      <c r="KYC13" s="12"/>
      <c r="KYD13" s="12"/>
      <c r="KYE13" s="12"/>
      <c r="KYF13" s="12"/>
      <c r="KYG13" s="12"/>
      <c r="KYH13" s="12"/>
      <c r="KYI13" s="12"/>
      <c r="KYJ13" s="12"/>
      <c r="KYK13" s="12"/>
      <c r="KYL13" s="12"/>
      <c r="KYM13" s="12"/>
      <c r="KYN13" s="12"/>
      <c r="KYO13" s="12"/>
      <c r="KYP13" s="12"/>
      <c r="KYQ13" s="12"/>
      <c r="KYR13" s="12"/>
      <c r="KYS13" s="12"/>
      <c r="KYT13" s="12"/>
      <c r="KYU13" s="12"/>
      <c r="KYV13" s="12"/>
      <c r="KYW13" s="12"/>
      <c r="KYX13" s="12"/>
      <c r="KYY13" s="12"/>
      <c r="KYZ13" s="12"/>
      <c r="KZA13" s="12"/>
      <c r="KZB13" s="12"/>
      <c r="KZC13" s="12"/>
      <c r="KZD13" s="12"/>
      <c r="KZE13" s="12"/>
      <c r="KZF13" s="12"/>
      <c r="KZG13" s="12"/>
      <c r="KZH13" s="12"/>
      <c r="KZI13" s="12"/>
      <c r="KZJ13" s="12"/>
      <c r="KZK13" s="12"/>
      <c r="KZL13" s="12"/>
      <c r="KZM13" s="12"/>
      <c r="KZN13" s="12"/>
      <c r="KZO13" s="12"/>
      <c r="KZP13" s="12"/>
      <c r="KZQ13" s="12"/>
      <c r="KZR13" s="12"/>
      <c r="KZS13" s="12"/>
      <c r="KZT13" s="12"/>
      <c r="KZU13" s="12"/>
      <c r="KZV13" s="12"/>
      <c r="KZW13" s="12"/>
      <c r="KZX13" s="12"/>
      <c r="KZY13" s="12"/>
      <c r="KZZ13" s="12"/>
      <c r="LAA13" s="12"/>
      <c r="LAB13" s="12"/>
      <c r="LAC13" s="12"/>
      <c r="LAD13" s="12"/>
      <c r="LAE13" s="12"/>
      <c r="LAF13" s="12"/>
      <c r="LAG13" s="12"/>
      <c r="LAH13" s="12"/>
      <c r="LAI13" s="12"/>
      <c r="LAJ13" s="12"/>
      <c r="LAK13" s="12"/>
      <c r="LAL13" s="12"/>
      <c r="LAM13" s="12"/>
      <c r="LAN13" s="12"/>
      <c r="LAO13" s="12"/>
      <c r="LAP13" s="12"/>
      <c r="LAQ13" s="12"/>
      <c r="LAR13" s="12"/>
      <c r="LAS13" s="12"/>
      <c r="LAT13" s="12"/>
      <c r="LAU13" s="12"/>
      <c r="LAV13" s="12"/>
      <c r="LAW13" s="12"/>
      <c r="LAX13" s="12"/>
      <c r="LAY13" s="12"/>
      <c r="LAZ13" s="12"/>
      <c r="LBA13" s="12"/>
      <c r="LBB13" s="12"/>
      <c r="LBC13" s="12"/>
      <c r="LBD13" s="12"/>
      <c r="LBE13" s="12"/>
      <c r="LBF13" s="12"/>
      <c r="LBG13" s="12"/>
      <c r="LBH13" s="12"/>
      <c r="LBI13" s="12"/>
      <c r="LBJ13" s="12"/>
      <c r="LBK13" s="12"/>
      <c r="LBL13" s="12"/>
      <c r="LBM13" s="12"/>
      <c r="LBN13" s="12"/>
      <c r="LBO13" s="12"/>
      <c r="LBP13" s="12"/>
      <c r="LBQ13" s="12"/>
      <c r="LBR13" s="12"/>
      <c r="LBS13" s="12"/>
      <c r="LBT13" s="12"/>
      <c r="LBU13" s="12"/>
      <c r="LBV13" s="12"/>
      <c r="LBW13" s="12"/>
      <c r="LBX13" s="12"/>
      <c r="LBY13" s="12"/>
      <c r="LBZ13" s="12"/>
      <c r="LCA13" s="12"/>
      <c r="LCB13" s="12"/>
      <c r="LCC13" s="12"/>
      <c r="LCD13" s="12"/>
      <c r="LCE13" s="12"/>
      <c r="LCF13" s="12"/>
      <c r="LCG13" s="12"/>
      <c r="LCH13" s="12"/>
      <c r="LCI13" s="12"/>
      <c r="LCJ13" s="12"/>
      <c r="LCK13" s="12"/>
      <c r="LCL13" s="12"/>
      <c r="LCM13" s="12"/>
      <c r="LCN13" s="12"/>
      <c r="LCO13" s="12"/>
      <c r="LCP13" s="12"/>
      <c r="LCQ13" s="12"/>
      <c r="LCR13" s="12"/>
      <c r="LCS13" s="12"/>
      <c r="LCT13" s="12"/>
      <c r="LCU13" s="12"/>
      <c r="LCV13" s="12"/>
      <c r="LCW13" s="12"/>
      <c r="LCX13" s="12"/>
      <c r="LCY13" s="12"/>
      <c r="LCZ13" s="12"/>
      <c r="LDA13" s="12"/>
      <c r="LDB13" s="12"/>
      <c r="LDC13" s="12"/>
      <c r="LDD13" s="12"/>
      <c r="LDE13" s="12"/>
      <c r="LDF13" s="12"/>
      <c r="LDG13" s="12"/>
      <c r="LDH13" s="12"/>
      <c r="LDI13" s="12"/>
      <c r="LDJ13" s="12"/>
      <c r="LDK13" s="12"/>
      <c r="LDL13" s="12"/>
      <c r="LDM13" s="12"/>
      <c r="LDN13" s="12"/>
      <c r="LDO13" s="12"/>
      <c r="LDP13" s="12"/>
      <c r="LDQ13" s="12"/>
      <c r="LDR13" s="12"/>
      <c r="LDS13" s="12"/>
      <c r="LDT13" s="12"/>
      <c r="LDU13" s="12"/>
      <c r="LDV13" s="12"/>
      <c r="LDW13" s="12"/>
      <c r="LDX13" s="12"/>
      <c r="LDY13" s="12"/>
      <c r="LDZ13" s="12"/>
      <c r="LEA13" s="12"/>
      <c r="LEB13" s="12"/>
      <c r="LEC13" s="12"/>
      <c r="LED13" s="12"/>
      <c r="LEE13" s="12"/>
      <c r="LEF13" s="12"/>
      <c r="LEG13" s="12"/>
      <c r="LEH13" s="12"/>
      <c r="LEI13" s="12"/>
      <c r="LEJ13" s="12"/>
      <c r="LEK13" s="12"/>
      <c r="LEL13" s="12"/>
      <c r="LEM13" s="12"/>
      <c r="LEN13" s="12"/>
      <c r="LEO13" s="12"/>
      <c r="LEP13" s="12"/>
      <c r="LEQ13" s="12"/>
      <c r="LER13" s="12"/>
      <c r="LES13" s="12"/>
      <c r="LET13" s="12"/>
      <c r="LEU13" s="12"/>
      <c r="LEV13" s="12"/>
      <c r="LEW13" s="12"/>
      <c r="LEX13" s="12"/>
      <c r="LEY13" s="12"/>
      <c r="LEZ13" s="12"/>
      <c r="LFA13" s="12"/>
      <c r="LFB13" s="12"/>
      <c r="LFC13" s="12"/>
      <c r="LFD13" s="12"/>
      <c r="LFE13" s="12"/>
      <c r="LFF13" s="12"/>
      <c r="LFG13" s="12"/>
      <c r="LFH13" s="12"/>
      <c r="LFI13" s="12"/>
      <c r="LFJ13" s="12"/>
      <c r="LFK13" s="12"/>
      <c r="LFL13" s="12"/>
      <c r="LFM13" s="12"/>
      <c r="LFN13" s="12"/>
      <c r="LFO13" s="12"/>
      <c r="LFP13" s="12"/>
      <c r="LFQ13" s="12"/>
      <c r="LFR13" s="12"/>
      <c r="LFS13" s="12"/>
      <c r="LFT13" s="12"/>
      <c r="LFU13" s="12"/>
      <c r="LFV13" s="12"/>
      <c r="LFW13" s="12"/>
      <c r="LFX13" s="12"/>
      <c r="LFY13" s="12"/>
      <c r="LFZ13" s="12"/>
      <c r="LGA13" s="12"/>
      <c r="LGB13" s="12"/>
      <c r="LGC13" s="12"/>
      <c r="LGD13" s="12"/>
      <c r="LGE13" s="12"/>
      <c r="LGF13" s="12"/>
      <c r="LGG13" s="12"/>
      <c r="LGH13" s="12"/>
      <c r="LGI13" s="12"/>
      <c r="LGJ13" s="12"/>
      <c r="LGK13" s="12"/>
      <c r="LGL13" s="12"/>
      <c r="LGM13" s="12"/>
      <c r="LGN13" s="12"/>
      <c r="LGO13" s="12"/>
      <c r="LGP13" s="12"/>
      <c r="LGQ13" s="12"/>
      <c r="LGR13" s="12"/>
      <c r="LGS13" s="12"/>
      <c r="LGT13" s="12"/>
      <c r="LGU13" s="12"/>
      <c r="LGV13" s="12"/>
      <c r="LGW13" s="12"/>
      <c r="LGX13" s="12"/>
      <c r="LGY13" s="12"/>
      <c r="LGZ13" s="12"/>
      <c r="LHA13" s="12"/>
      <c r="LHB13" s="12"/>
      <c r="LHC13" s="12"/>
      <c r="LHD13" s="12"/>
      <c r="LHE13" s="12"/>
      <c r="LHF13" s="12"/>
      <c r="LHG13" s="12"/>
      <c r="LHH13" s="12"/>
      <c r="LHI13" s="12"/>
      <c r="LHJ13" s="12"/>
      <c r="LHK13" s="12"/>
      <c r="LHL13" s="12"/>
      <c r="LHM13" s="12"/>
      <c r="LHN13" s="12"/>
      <c r="LHO13" s="12"/>
      <c r="LHP13" s="12"/>
      <c r="LHQ13" s="12"/>
      <c r="LHR13" s="12"/>
      <c r="LHS13" s="12"/>
      <c r="LHT13" s="12"/>
      <c r="LHU13" s="12"/>
      <c r="LHV13" s="12"/>
      <c r="LHW13" s="12"/>
      <c r="LHX13" s="12"/>
      <c r="LHY13" s="12"/>
      <c r="LHZ13" s="12"/>
      <c r="LIA13" s="12"/>
      <c r="LIB13" s="12"/>
      <c r="LIC13" s="12"/>
      <c r="LID13" s="12"/>
      <c r="LIE13" s="12"/>
      <c r="LIF13" s="12"/>
      <c r="LIG13" s="12"/>
      <c r="LIH13" s="12"/>
      <c r="LII13" s="12"/>
      <c r="LIJ13" s="12"/>
      <c r="LIK13" s="12"/>
      <c r="LIL13" s="12"/>
      <c r="LIM13" s="12"/>
      <c r="LIN13" s="12"/>
      <c r="LIO13" s="12"/>
      <c r="LIP13" s="12"/>
      <c r="LIQ13" s="12"/>
      <c r="LIR13" s="12"/>
      <c r="LIS13" s="12"/>
      <c r="LIT13" s="12"/>
      <c r="LIU13" s="12"/>
      <c r="LIV13" s="12"/>
      <c r="LIW13" s="12"/>
      <c r="LIX13" s="12"/>
      <c r="LIY13" s="12"/>
      <c r="LIZ13" s="12"/>
      <c r="LJA13" s="12"/>
      <c r="LJB13" s="12"/>
      <c r="LJC13" s="12"/>
      <c r="LJD13" s="12"/>
      <c r="LJE13" s="12"/>
      <c r="LJF13" s="12"/>
      <c r="LJG13" s="12"/>
      <c r="LJH13" s="12"/>
      <c r="LJI13" s="12"/>
      <c r="LJJ13" s="12"/>
      <c r="LJK13" s="12"/>
      <c r="LJL13" s="12"/>
      <c r="LJM13" s="12"/>
      <c r="LJN13" s="12"/>
      <c r="LJO13" s="12"/>
      <c r="LJP13" s="12"/>
      <c r="LJQ13" s="12"/>
      <c r="LJR13" s="12"/>
      <c r="LJS13" s="12"/>
      <c r="LJT13" s="12"/>
      <c r="LJU13" s="12"/>
      <c r="LJV13" s="12"/>
      <c r="LJW13" s="12"/>
      <c r="LJX13" s="12"/>
      <c r="LJY13" s="12"/>
      <c r="LJZ13" s="12"/>
      <c r="LKA13" s="12"/>
      <c r="LKB13" s="12"/>
      <c r="LKC13" s="12"/>
      <c r="LKD13" s="12"/>
      <c r="LKE13" s="12"/>
      <c r="LKF13" s="12"/>
      <c r="LKG13" s="12"/>
      <c r="LKH13" s="12"/>
      <c r="LKI13" s="12"/>
      <c r="LKJ13" s="12"/>
      <c r="LKK13" s="12"/>
      <c r="LKL13" s="12"/>
      <c r="LKM13" s="12"/>
      <c r="LKN13" s="12"/>
      <c r="LKO13" s="12"/>
      <c r="LKP13" s="12"/>
      <c r="LKQ13" s="12"/>
      <c r="LKR13" s="12"/>
      <c r="LKS13" s="12"/>
      <c r="LKT13" s="12"/>
      <c r="LKU13" s="12"/>
      <c r="LKV13" s="12"/>
      <c r="LKW13" s="12"/>
      <c r="LKX13" s="12"/>
      <c r="LKY13" s="12"/>
      <c r="LKZ13" s="12"/>
      <c r="LLA13" s="12"/>
      <c r="LLB13" s="12"/>
      <c r="LLC13" s="12"/>
      <c r="LLD13" s="12"/>
      <c r="LLE13" s="12"/>
      <c r="LLF13" s="12"/>
      <c r="LLG13" s="12"/>
      <c r="LLH13" s="12"/>
      <c r="LLI13" s="12"/>
      <c r="LLJ13" s="12"/>
      <c r="LLK13" s="12"/>
      <c r="LLL13" s="12"/>
      <c r="LLM13" s="12"/>
      <c r="LLN13" s="12"/>
      <c r="LLO13" s="12"/>
      <c r="LLP13" s="12"/>
      <c r="LLQ13" s="12"/>
      <c r="LLR13" s="12"/>
      <c r="LLS13" s="12"/>
      <c r="LLT13" s="12"/>
      <c r="LLU13" s="12"/>
      <c r="LLV13" s="12"/>
      <c r="LLW13" s="12"/>
      <c r="LLX13" s="12"/>
      <c r="LLY13" s="12"/>
      <c r="LLZ13" s="12"/>
      <c r="LMA13" s="12"/>
      <c r="LMB13" s="12"/>
      <c r="LMC13" s="12"/>
      <c r="LMD13" s="12"/>
      <c r="LME13" s="12"/>
      <c r="LMF13" s="12"/>
      <c r="LMG13" s="12"/>
      <c r="LMH13" s="12"/>
      <c r="LMI13" s="12"/>
      <c r="LMJ13" s="12"/>
      <c r="LMK13" s="12"/>
      <c r="LML13" s="12"/>
      <c r="LMM13" s="12"/>
      <c r="LMN13" s="12"/>
      <c r="LMO13" s="12"/>
      <c r="LMP13" s="12"/>
      <c r="LMQ13" s="12"/>
      <c r="LMR13" s="12"/>
      <c r="LMS13" s="12"/>
      <c r="LMT13" s="12"/>
      <c r="LMU13" s="12"/>
      <c r="LMV13" s="12"/>
      <c r="LMW13" s="12"/>
      <c r="LMX13" s="12"/>
      <c r="LMY13" s="12"/>
      <c r="LMZ13" s="12"/>
      <c r="LNA13" s="12"/>
      <c r="LNB13" s="12"/>
      <c r="LNC13" s="12"/>
      <c r="LND13" s="12"/>
      <c r="LNE13" s="12"/>
      <c r="LNF13" s="12"/>
      <c r="LNG13" s="12"/>
      <c r="LNH13" s="12"/>
      <c r="LNI13" s="12"/>
      <c r="LNJ13" s="12"/>
      <c r="LNK13" s="12"/>
      <c r="LNL13" s="12"/>
      <c r="LNM13" s="12"/>
      <c r="LNN13" s="12"/>
      <c r="LNO13" s="12"/>
      <c r="LNP13" s="12"/>
      <c r="LNQ13" s="12"/>
      <c r="LNR13" s="12"/>
      <c r="LNS13" s="12"/>
      <c r="LNT13" s="12"/>
      <c r="LNU13" s="12"/>
      <c r="LNV13" s="12"/>
      <c r="LNW13" s="12"/>
      <c r="LNX13" s="12"/>
      <c r="LNY13" s="12"/>
      <c r="LNZ13" s="12"/>
      <c r="LOA13" s="12"/>
      <c r="LOB13" s="12"/>
      <c r="LOC13" s="12"/>
      <c r="LOD13" s="12"/>
      <c r="LOE13" s="12"/>
      <c r="LOF13" s="12"/>
      <c r="LOG13" s="12"/>
      <c r="LOH13" s="12"/>
      <c r="LOI13" s="12"/>
      <c r="LOJ13" s="12"/>
      <c r="LOK13" s="12"/>
      <c r="LOL13" s="12"/>
      <c r="LOM13" s="12"/>
      <c r="LON13" s="12"/>
      <c r="LOO13" s="12"/>
      <c r="LOP13" s="12"/>
      <c r="LOQ13" s="12"/>
      <c r="LOR13" s="12"/>
      <c r="LOS13" s="12"/>
      <c r="LOT13" s="12"/>
      <c r="LOU13" s="12"/>
      <c r="LOV13" s="12"/>
      <c r="LOW13" s="12"/>
      <c r="LOX13" s="12"/>
      <c r="LOY13" s="12"/>
      <c r="LOZ13" s="12"/>
      <c r="LPA13" s="12"/>
      <c r="LPB13" s="12"/>
      <c r="LPC13" s="12"/>
      <c r="LPD13" s="12"/>
      <c r="LPE13" s="12"/>
      <c r="LPF13" s="12"/>
      <c r="LPG13" s="12"/>
      <c r="LPH13" s="12"/>
      <c r="LPI13" s="12"/>
      <c r="LPJ13" s="12"/>
      <c r="LPK13" s="12"/>
      <c r="LPL13" s="12"/>
      <c r="LPM13" s="12"/>
      <c r="LPN13" s="12"/>
      <c r="LPO13" s="12"/>
      <c r="LPP13" s="12"/>
      <c r="LPQ13" s="12"/>
      <c r="LPR13" s="12"/>
      <c r="LPS13" s="12"/>
      <c r="LPT13" s="12"/>
      <c r="LPU13" s="12"/>
      <c r="LPV13" s="12"/>
      <c r="LPW13" s="12"/>
      <c r="LPX13" s="12"/>
      <c r="LPY13" s="12"/>
      <c r="LPZ13" s="12"/>
      <c r="LQA13" s="12"/>
      <c r="LQB13" s="12"/>
      <c r="LQC13" s="12"/>
      <c r="LQD13" s="12"/>
      <c r="LQE13" s="12"/>
      <c r="LQF13" s="12"/>
      <c r="LQG13" s="12"/>
      <c r="LQH13" s="12"/>
      <c r="LQI13" s="12"/>
      <c r="LQJ13" s="12"/>
      <c r="LQK13" s="12"/>
      <c r="LQL13" s="12"/>
      <c r="LQM13" s="12"/>
      <c r="LQN13" s="12"/>
      <c r="LQO13" s="12"/>
      <c r="LQP13" s="12"/>
      <c r="LQQ13" s="12"/>
      <c r="LQR13" s="12"/>
      <c r="LQS13" s="12"/>
      <c r="LQT13" s="12"/>
      <c r="LQU13" s="12"/>
      <c r="LQV13" s="12"/>
      <c r="LQW13" s="12"/>
      <c r="LQX13" s="12"/>
      <c r="LQY13" s="12"/>
      <c r="LQZ13" s="12"/>
      <c r="LRA13" s="12"/>
      <c r="LRB13" s="12"/>
      <c r="LRC13" s="12"/>
      <c r="LRD13" s="12"/>
      <c r="LRE13" s="12"/>
      <c r="LRF13" s="12"/>
      <c r="LRG13" s="12"/>
      <c r="LRH13" s="12"/>
      <c r="LRI13" s="12"/>
      <c r="LRJ13" s="12"/>
      <c r="LRK13" s="12"/>
      <c r="LRL13" s="12"/>
      <c r="LRM13" s="12"/>
      <c r="LRN13" s="12"/>
      <c r="LRO13" s="12"/>
      <c r="LRP13" s="12"/>
      <c r="LRQ13" s="12"/>
      <c r="LRR13" s="12"/>
      <c r="LRS13" s="12"/>
      <c r="LRT13" s="12"/>
      <c r="LRU13" s="12"/>
      <c r="LRV13" s="12"/>
      <c r="LRW13" s="12"/>
      <c r="LRX13" s="12"/>
      <c r="LRY13" s="12"/>
      <c r="LRZ13" s="12"/>
      <c r="LSA13" s="12"/>
      <c r="LSB13" s="12"/>
      <c r="LSC13" s="12"/>
      <c r="LSD13" s="12"/>
      <c r="LSE13" s="12"/>
      <c r="LSF13" s="12"/>
      <c r="LSG13" s="12"/>
      <c r="LSH13" s="12"/>
      <c r="LSI13" s="12"/>
      <c r="LSJ13" s="12"/>
      <c r="LSK13" s="12"/>
      <c r="LSL13" s="12"/>
      <c r="LSM13" s="12"/>
      <c r="LSN13" s="12"/>
      <c r="LSO13" s="12"/>
      <c r="LSP13" s="12"/>
      <c r="LSQ13" s="12"/>
      <c r="LSR13" s="12"/>
      <c r="LSS13" s="12"/>
      <c r="LST13" s="12"/>
      <c r="LSU13" s="12"/>
      <c r="LSV13" s="12"/>
      <c r="LSW13" s="12"/>
      <c r="LSX13" s="12"/>
      <c r="LSY13" s="12"/>
      <c r="LSZ13" s="12"/>
      <c r="LTA13" s="12"/>
      <c r="LTB13" s="12"/>
      <c r="LTC13" s="12"/>
      <c r="LTD13" s="12"/>
      <c r="LTE13" s="12"/>
      <c r="LTF13" s="12"/>
      <c r="LTG13" s="12"/>
      <c r="LTH13" s="12"/>
      <c r="LTI13" s="12"/>
      <c r="LTJ13" s="12"/>
      <c r="LTK13" s="12"/>
      <c r="LTL13" s="12"/>
      <c r="LTM13" s="12"/>
      <c r="LTN13" s="12"/>
      <c r="LTO13" s="12"/>
      <c r="LTP13" s="12"/>
      <c r="LTQ13" s="12"/>
      <c r="LTR13" s="12"/>
      <c r="LTS13" s="12"/>
      <c r="LTT13" s="12"/>
      <c r="LTU13" s="12"/>
      <c r="LTV13" s="12"/>
      <c r="LTW13" s="12"/>
      <c r="LTX13" s="12"/>
      <c r="LTY13" s="12"/>
      <c r="LTZ13" s="12"/>
      <c r="LUA13" s="12"/>
      <c r="LUB13" s="12"/>
      <c r="LUC13" s="12"/>
      <c r="LUD13" s="12"/>
      <c r="LUE13" s="12"/>
      <c r="LUF13" s="12"/>
      <c r="LUG13" s="12"/>
      <c r="LUH13" s="12"/>
      <c r="LUI13" s="12"/>
      <c r="LUJ13" s="12"/>
      <c r="LUK13" s="12"/>
      <c r="LUL13" s="12"/>
      <c r="LUM13" s="12"/>
      <c r="LUN13" s="12"/>
      <c r="LUO13" s="12"/>
      <c r="LUP13" s="12"/>
      <c r="LUQ13" s="12"/>
      <c r="LUR13" s="12"/>
      <c r="LUS13" s="12"/>
      <c r="LUT13" s="12"/>
      <c r="LUU13" s="12"/>
      <c r="LUV13" s="12"/>
      <c r="LUW13" s="12"/>
      <c r="LUX13" s="12"/>
      <c r="LUY13" s="12"/>
      <c r="LUZ13" s="12"/>
      <c r="LVA13" s="12"/>
      <c r="LVB13" s="12"/>
      <c r="LVC13" s="12"/>
      <c r="LVD13" s="12"/>
      <c r="LVE13" s="12"/>
      <c r="LVF13" s="12"/>
      <c r="LVG13" s="12"/>
      <c r="LVH13" s="12"/>
      <c r="LVI13" s="12"/>
      <c r="LVJ13" s="12"/>
      <c r="LVK13" s="12"/>
      <c r="LVL13" s="12"/>
      <c r="LVM13" s="12"/>
      <c r="LVN13" s="12"/>
      <c r="LVO13" s="12"/>
      <c r="LVP13" s="12"/>
      <c r="LVQ13" s="12"/>
      <c r="LVR13" s="12"/>
      <c r="LVS13" s="12"/>
      <c r="LVT13" s="12"/>
      <c r="LVU13" s="12"/>
      <c r="LVV13" s="12"/>
      <c r="LVW13" s="12"/>
      <c r="LVX13" s="12"/>
      <c r="LVY13" s="12"/>
      <c r="LVZ13" s="12"/>
      <c r="LWA13" s="12"/>
      <c r="LWB13" s="12"/>
      <c r="LWC13" s="12"/>
      <c r="LWD13" s="12"/>
      <c r="LWE13" s="12"/>
      <c r="LWF13" s="12"/>
      <c r="LWG13" s="12"/>
      <c r="LWH13" s="12"/>
      <c r="LWI13" s="12"/>
      <c r="LWJ13" s="12"/>
      <c r="LWK13" s="12"/>
      <c r="LWL13" s="12"/>
      <c r="LWM13" s="12"/>
      <c r="LWN13" s="12"/>
      <c r="LWO13" s="12"/>
      <c r="LWP13" s="12"/>
      <c r="LWQ13" s="12"/>
      <c r="LWR13" s="12"/>
      <c r="LWS13" s="12"/>
      <c r="LWT13" s="12"/>
      <c r="LWU13" s="12"/>
      <c r="LWV13" s="12"/>
      <c r="LWW13" s="12"/>
      <c r="LWX13" s="12"/>
      <c r="LWY13" s="12"/>
      <c r="LWZ13" s="12"/>
      <c r="LXA13" s="12"/>
      <c r="LXB13" s="12"/>
      <c r="LXC13" s="12"/>
      <c r="LXD13" s="12"/>
      <c r="LXE13" s="12"/>
      <c r="LXF13" s="12"/>
      <c r="LXG13" s="12"/>
      <c r="LXH13" s="12"/>
      <c r="LXI13" s="12"/>
      <c r="LXJ13" s="12"/>
      <c r="LXK13" s="12"/>
      <c r="LXL13" s="12"/>
      <c r="LXM13" s="12"/>
      <c r="LXN13" s="12"/>
      <c r="LXO13" s="12"/>
      <c r="LXP13" s="12"/>
      <c r="LXQ13" s="12"/>
      <c r="LXR13" s="12"/>
      <c r="LXS13" s="12"/>
      <c r="LXT13" s="12"/>
      <c r="LXU13" s="12"/>
      <c r="LXV13" s="12"/>
      <c r="LXW13" s="12"/>
      <c r="LXX13" s="12"/>
      <c r="LXY13" s="12"/>
      <c r="LXZ13" s="12"/>
      <c r="LYA13" s="12"/>
      <c r="LYB13" s="12"/>
      <c r="LYC13" s="12"/>
      <c r="LYD13" s="12"/>
      <c r="LYE13" s="12"/>
      <c r="LYF13" s="12"/>
      <c r="LYG13" s="12"/>
      <c r="LYH13" s="12"/>
      <c r="LYI13" s="12"/>
      <c r="LYJ13" s="12"/>
      <c r="LYK13" s="12"/>
      <c r="LYL13" s="12"/>
      <c r="LYM13" s="12"/>
      <c r="LYN13" s="12"/>
      <c r="LYO13" s="12"/>
      <c r="LYP13" s="12"/>
      <c r="LYQ13" s="12"/>
      <c r="LYR13" s="12"/>
      <c r="LYS13" s="12"/>
      <c r="LYT13" s="12"/>
      <c r="LYU13" s="12"/>
      <c r="LYV13" s="12"/>
      <c r="LYW13" s="12"/>
      <c r="LYX13" s="12"/>
      <c r="LYY13" s="12"/>
      <c r="LYZ13" s="12"/>
      <c r="LZA13" s="12"/>
      <c r="LZB13" s="12"/>
      <c r="LZC13" s="12"/>
      <c r="LZD13" s="12"/>
      <c r="LZE13" s="12"/>
      <c r="LZF13" s="12"/>
      <c r="LZG13" s="12"/>
      <c r="LZH13" s="12"/>
      <c r="LZI13" s="12"/>
      <c r="LZJ13" s="12"/>
      <c r="LZK13" s="12"/>
      <c r="LZL13" s="12"/>
      <c r="LZM13" s="12"/>
      <c r="LZN13" s="12"/>
      <c r="LZO13" s="12"/>
      <c r="LZP13" s="12"/>
      <c r="LZQ13" s="12"/>
      <c r="LZR13" s="12"/>
      <c r="LZS13" s="12"/>
      <c r="LZT13" s="12"/>
      <c r="LZU13" s="12"/>
      <c r="LZV13" s="12"/>
      <c r="LZW13" s="12"/>
      <c r="LZX13" s="12"/>
      <c r="LZY13" s="12"/>
      <c r="LZZ13" s="12"/>
      <c r="MAA13" s="12"/>
      <c r="MAB13" s="12"/>
      <c r="MAC13" s="12"/>
      <c r="MAD13" s="12"/>
      <c r="MAE13" s="12"/>
      <c r="MAF13" s="12"/>
      <c r="MAG13" s="12"/>
      <c r="MAH13" s="12"/>
      <c r="MAI13" s="12"/>
      <c r="MAJ13" s="12"/>
      <c r="MAK13" s="12"/>
      <c r="MAL13" s="12"/>
      <c r="MAM13" s="12"/>
      <c r="MAN13" s="12"/>
      <c r="MAO13" s="12"/>
      <c r="MAP13" s="12"/>
      <c r="MAQ13" s="12"/>
      <c r="MAR13" s="12"/>
      <c r="MAS13" s="12"/>
      <c r="MAT13" s="12"/>
      <c r="MAU13" s="12"/>
      <c r="MAV13" s="12"/>
      <c r="MAW13" s="12"/>
      <c r="MAX13" s="12"/>
      <c r="MAY13" s="12"/>
      <c r="MAZ13" s="12"/>
      <c r="MBA13" s="12"/>
      <c r="MBB13" s="12"/>
      <c r="MBC13" s="12"/>
      <c r="MBD13" s="12"/>
      <c r="MBE13" s="12"/>
      <c r="MBF13" s="12"/>
      <c r="MBG13" s="12"/>
      <c r="MBH13" s="12"/>
      <c r="MBI13" s="12"/>
      <c r="MBJ13" s="12"/>
      <c r="MBK13" s="12"/>
      <c r="MBL13" s="12"/>
      <c r="MBM13" s="12"/>
      <c r="MBN13" s="12"/>
      <c r="MBO13" s="12"/>
      <c r="MBP13" s="12"/>
      <c r="MBQ13" s="12"/>
      <c r="MBR13" s="12"/>
      <c r="MBS13" s="12"/>
      <c r="MBT13" s="12"/>
      <c r="MBU13" s="12"/>
      <c r="MBV13" s="12"/>
      <c r="MBW13" s="12"/>
      <c r="MBX13" s="12"/>
      <c r="MBY13" s="12"/>
      <c r="MBZ13" s="12"/>
      <c r="MCA13" s="12"/>
      <c r="MCB13" s="12"/>
      <c r="MCC13" s="12"/>
      <c r="MCD13" s="12"/>
      <c r="MCE13" s="12"/>
      <c r="MCF13" s="12"/>
      <c r="MCG13" s="12"/>
      <c r="MCH13" s="12"/>
      <c r="MCI13" s="12"/>
      <c r="MCJ13" s="12"/>
      <c r="MCK13" s="12"/>
      <c r="MCL13" s="12"/>
      <c r="MCM13" s="12"/>
      <c r="MCN13" s="12"/>
      <c r="MCO13" s="12"/>
      <c r="MCP13" s="12"/>
      <c r="MCQ13" s="12"/>
      <c r="MCR13" s="12"/>
      <c r="MCS13" s="12"/>
      <c r="MCT13" s="12"/>
      <c r="MCU13" s="12"/>
      <c r="MCV13" s="12"/>
      <c r="MCW13" s="12"/>
      <c r="MCX13" s="12"/>
      <c r="MCY13" s="12"/>
      <c r="MCZ13" s="12"/>
      <c r="MDA13" s="12"/>
      <c r="MDB13" s="12"/>
      <c r="MDC13" s="12"/>
      <c r="MDD13" s="12"/>
      <c r="MDE13" s="12"/>
      <c r="MDF13" s="12"/>
      <c r="MDG13" s="12"/>
      <c r="MDH13" s="12"/>
      <c r="MDI13" s="12"/>
      <c r="MDJ13" s="12"/>
      <c r="MDK13" s="12"/>
      <c r="MDL13" s="12"/>
      <c r="MDM13" s="12"/>
      <c r="MDN13" s="12"/>
      <c r="MDO13" s="12"/>
      <c r="MDP13" s="12"/>
      <c r="MDQ13" s="12"/>
      <c r="MDR13" s="12"/>
      <c r="MDS13" s="12"/>
      <c r="MDT13" s="12"/>
      <c r="MDU13" s="12"/>
      <c r="MDV13" s="12"/>
      <c r="MDW13" s="12"/>
      <c r="MDX13" s="12"/>
      <c r="MDY13" s="12"/>
      <c r="MDZ13" s="12"/>
      <c r="MEA13" s="12"/>
      <c r="MEB13" s="12"/>
      <c r="MEC13" s="12"/>
      <c r="MED13" s="12"/>
      <c r="MEE13" s="12"/>
      <c r="MEF13" s="12"/>
      <c r="MEG13" s="12"/>
      <c r="MEH13" s="12"/>
      <c r="MEI13" s="12"/>
      <c r="MEJ13" s="12"/>
      <c r="MEK13" s="12"/>
      <c r="MEL13" s="12"/>
      <c r="MEM13" s="12"/>
      <c r="MEN13" s="12"/>
      <c r="MEO13" s="12"/>
      <c r="MEP13" s="12"/>
      <c r="MEQ13" s="12"/>
      <c r="MER13" s="12"/>
      <c r="MES13" s="12"/>
      <c r="MET13" s="12"/>
      <c r="MEU13" s="12"/>
      <c r="MEV13" s="12"/>
      <c r="MEW13" s="12"/>
      <c r="MEX13" s="12"/>
      <c r="MEY13" s="12"/>
      <c r="MEZ13" s="12"/>
      <c r="MFA13" s="12"/>
      <c r="MFB13" s="12"/>
      <c r="MFC13" s="12"/>
      <c r="MFD13" s="12"/>
      <c r="MFE13" s="12"/>
      <c r="MFF13" s="12"/>
      <c r="MFG13" s="12"/>
      <c r="MFH13" s="12"/>
      <c r="MFI13" s="12"/>
      <c r="MFJ13" s="12"/>
      <c r="MFK13" s="12"/>
      <c r="MFL13" s="12"/>
      <c r="MFM13" s="12"/>
      <c r="MFN13" s="12"/>
      <c r="MFO13" s="12"/>
      <c r="MFP13" s="12"/>
      <c r="MFQ13" s="12"/>
      <c r="MFR13" s="12"/>
      <c r="MFS13" s="12"/>
      <c r="MFT13" s="12"/>
      <c r="MFU13" s="12"/>
      <c r="MFV13" s="12"/>
      <c r="MFW13" s="12"/>
      <c r="MFX13" s="12"/>
      <c r="MFY13" s="12"/>
      <c r="MFZ13" s="12"/>
      <c r="MGA13" s="12"/>
      <c r="MGB13" s="12"/>
      <c r="MGC13" s="12"/>
      <c r="MGD13" s="12"/>
      <c r="MGE13" s="12"/>
      <c r="MGF13" s="12"/>
      <c r="MGG13" s="12"/>
      <c r="MGH13" s="12"/>
      <c r="MGI13" s="12"/>
      <c r="MGJ13" s="12"/>
      <c r="MGK13" s="12"/>
      <c r="MGL13" s="12"/>
      <c r="MGM13" s="12"/>
      <c r="MGN13" s="12"/>
      <c r="MGO13" s="12"/>
      <c r="MGP13" s="12"/>
      <c r="MGQ13" s="12"/>
      <c r="MGR13" s="12"/>
      <c r="MGS13" s="12"/>
      <c r="MGT13" s="12"/>
      <c r="MGU13" s="12"/>
      <c r="MGV13" s="12"/>
      <c r="MGW13" s="12"/>
      <c r="MGX13" s="12"/>
      <c r="MGY13" s="12"/>
      <c r="MGZ13" s="12"/>
      <c r="MHA13" s="12"/>
      <c r="MHB13" s="12"/>
      <c r="MHC13" s="12"/>
      <c r="MHD13" s="12"/>
      <c r="MHE13" s="12"/>
      <c r="MHF13" s="12"/>
      <c r="MHG13" s="12"/>
      <c r="MHH13" s="12"/>
      <c r="MHI13" s="12"/>
      <c r="MHJ13" s="12"/>
      <c r="MHK13" s="12"/>
      <c r="MHL13" s="12"/>
      <c r="MHM13" s="12"/>
      <c r="MHN13" s="12"/>
      <c r="MHO13" s="12"/>
      <c r="MHP13" s="12"/>
      <c r="MHQ13" s="12"/>
      <c r="MHR13" s="12"/>
      <c r="MHS13" s="12"/>
      <c r="MHT13" s="12"/>
      <c r="MHU13" s="12"/>
      <c r="MHV13" s="12"/>
      <c r="MHW13" s="12"/>
      <c r="MHX13" s="12"/>
      <c r="MHY13" s="12"/>
      <c r="MHZ13" s="12"/>
      <c r="MIA13" s="12"/>
      <c r="MIB13" s="12"/>
      <c r="MIC13" s="12"/>
      <c r="MID13" s="12"/>
      <c r="MIE13" s="12"/>
      <c r="MIF13" s="12"/>
      <c r="MIG13" s="12"/>
      <c r="MIH13" s="12"/>
      <c r="MII13" s="12"/>
      <c r="MIJ13" s="12"/>
      <c r="MIK13" s="12"/>
      <c r="MIL13" s="12"/>
      <c r="MIM13" s="12"/>
      <c r="MIN13" s="12"/>
      <c r="MIO13" s="12"/>
      <c r="MIP13" s="12"/>
      <c r="MIQ13" s="12"/>
      <c r="MIR13" s="12"/>
      <c r="MIS13" s="12"/>
      <c r="MIT13" s="12"/>
      <c r="MIU13" s="12"/>
      <c r="MIV13" s="12"/>
      <c r="MIW13" s="12"/>
      <c r="MIX13" s="12"/>
      <c r="MIY13" s="12"/>
      <c r="MIZ13" s="12"/>
      <c r="MJA13" s="12"/>
      <c r="MJB13" s="12"/>
      <c r="MJC13" s="12"/>
      <c r="MJD13" s="12"/>
      <c r="MJE13" s="12"/>
      <c r="MJF13" s="12"/>
      <c r="MJG13" s="12"/>
      <c r="MJH13" s="12"/>
      <c r="MJI13" s="12"/>
      <c r="MJJ13" s="12"/>
      <c r="MJK13" s="12"/>
      <c r="MJL13" s="12"/>
      <c r="MJM13" s="12"/>
      <c r="MJN13" s="12"/>
      <c r="MJO13" s="12"/>
      <c r="MJP13" s="12"/>
      <c r="MJQ13" s="12"/>
      <c r="MJR13" s="12"/>
      <c r="MJS13" s="12"/>
      <c r="MJT13" s="12"/>
      <c r="MJU13" s="12"/>
      <c r="MJV13" s="12"/>
      <c r="MJW13" s="12"/>
      <c r="MJX13" s="12"/>
      <c r="MJY13" s="12"/>
      <c r="MJZ13" s="12"/>
      <c r="MKA13" s="12"/>
      <c r="MKB13" s="12"/>
      <c r="MKC13" s="12"/>
      <c r="MKD13" s="12"/>
      <c r="MKE13" s="12"/>
      <c r="MKF13" s="12"/>
      <c r="MKG13" s="12"/>
      <c r="MKH13" s="12"/>
      <c r="MKI13" s="12"/>
      <c r="MKJ13" s="12"/>
      <c r="MKK13" s="12"/>
      <c r="MKL13" s="12"/>
      <c r="MKM13" s="12"/>
      <c r="MKN13" s="12"/>
      <c r="MKO13" s="12"/>
      <c r="MKP13" s="12"/>
      <c r="MKQ13" s="12"/>
      <c r="MKR13" s="12"/>
      <c r="MKS13" s="12"/>
      <c r="MKT13" s="12"/>
      <c r="MKU13" s="12"/>
      <c r="MKV13" s="12"/>
      <c r="MKW13" s="12"/>
      <c r="MKX13" s="12"/>
      <c r="MKY13" s="12"/>
      <c r="MKZ13" s="12"/>
      <c r="MLA13" s="12"/>
      <c r="MLB13" s="12"/>
      <c r="MLC13" s="12"/>
      <c r="MLD13" s="12"/>
      <c r="MLE13" s="12"/>
      <c r="MLF13" s="12"/>
      <c r="MLG13" s="12"/>
      <c r="MLH13" s="12"/>
      <c r="MLI13" s="12"/>
      <c r="MLJ13" s="12"/>
      <c r="MLK13" s="12"/>
      <c r="MLL13" s="12"/>
      <c r="MLM13" s="12"/>
      <c r="MLN13" s="12"/>
      <c r="MLO13" s="12"/>
      <c r="MLP13" s="12"/>
      <c r="MLQ13" s="12"/>
      <c r="MLR13" s="12"/>
      <c r="MLS13" s="12"/>
      <c r="MLT13" s="12"/>
      <c r="MLU13" s="12"/>
      <c r="MLV13" s="12"/>
      <c r="MLW13" s="12"/>
      <c r="MLX13" s="12"/>
      <c r="MLY13" s="12"/>
      <c r="MLZ13" s="12"/>
      <c r="MMA13" s="12"/>
      <c r="MMB13" s="12"/>
      <c r="MMC13" s="12"/>
      <c r="MMD13" s="12"/>
      <c r="MME13" s="12"/>
      <c r="MMF13" s="12"/>
      <c r="MMG13" s="12"/>
      <c r="MMH13" s="12"/>
      <c r="MMI13" s="12"/>
      <c r="MMJ13" s="12"/>
      <c r="MMK13" s="12"/>
      <c r="MML13" s="12"/>
      <c r="MMM13" s="12"/>
      <c r="MMN13" s="12"/>
      <c r="MMO13" s="12"/>
      <c r="MMP13" s="12"/>
      <c r="MMQ13" s="12"/>
      <c r="MMR13" s="12"/>
      <c r="MMS13" s="12"/>
      <c r="MMT13" s="12"/>
      <c r="MMU13" s="12"/>
      <c r="MMV13" s="12"/>
      <c r="MMW13" s="12"/>
      <c r="MMX13" s="12"/>
      <c r="MMY13" s="12"/>
      <c r="MMZ13" s="12"/>
      <c r="MNA13" s="12"/>
      <c r="MNB13" s="12"/>
      <c r="MNC13" s="12"/>
      <c r="MND13" s="12"/>
      <c r="MNE13" s="12"/>
      <c r="MNF13" s="12"/>
      <c r="MNG13" s="12"/>
      <c r="MNH13" s="12"/>
      <c r="MNI13" s="12"/>
      <c r="MNJ13" s="12"/>
      <c r="MNK13" s="12"/>
      <c r="MNL13" s="12"/>
      <c r="MNM13" s="12"/>
      <c r="MNN13" s="12"/>
      <c r="MNO13" s="12"/>
      <c r="MNP13" s="12"/>
      <c r="MNQ13" s="12"/>
      <c r="MNR13" s="12"/>
      <c r="MNS13" s="12"/>
      <c r="MNT13" s="12"/>
      <c r="MNU13" s="12"/>
      <c r="MNV13" s="12"/>
      <c r="MNW13" s="12"/>
      <c r="MNX13" s="12"/>
      <c r="MNY13" s="12"/>
      <c r="MNZ13" s="12"/>
      <c r="MOA13" s="12"/>
      <c r="MOB13" s="12"/>
      <c r="MOC13" s="12"/>
      <c r="MOD13" s="12"/>
      <c r="MOE13" s="12"/>
      <c r="MOF13" s="12"/>
      <c r="MOG13" s="12"/>
      <c r="MOH13" s="12"/>
      <c r="MOI13" s="12"/>
      <c r="MOJ13" s="12"/>
      <c r="MOK13" s="12"/>
      <c r="MOL13" s="12"/>
      <c r="MOM13" s="12"/>
      <c r="MON13" s="12"/>
      <c r="MOO13" s="12"/>
      <c r="MOP13" s="12"/>
      <c r="MOQ13" s="12"/>
      <c r="MOR13" s="12"/>
      <c r="MOS13" s="12"/>
      <c r="MOT13" s="12"/>
      <c r="MOU13" s="12"/>
      <c r="MOV13" s="12"/>
      <c r="MOW13" s="12"/>
      <c r="MOX13" s="12"/>
      <c r="MOY13" s="12"/>
      <c r="MOZ13" s="12"/>
      <c r="MPA13" s="12"/>
      <c r="MPB13" s="12"/>
      <c r="MPC13" s="12"/>
      <c r="MPD13" s="12"/>
      <c r="MPE13" s="12"/>
      <c r="MPF13" s="12"/>
      <c r="MPG13" s="12"/>
      <c r="MPH13" s="12"/>
      <c r="MPI13" s="12"/>
      <c r="MPJ13" s="12"/>
      <c r="MPK13" s="12"/>
      <c r="MPL13" s="12"/>
      <c r="MPM13" s="12"/>
      <c r="MPN13" s="12"/>
      <c r="MPO13" s="12"/>
      <c r="MPP13" s="12"/>
      <c r="MPQ13" s="12"/>
      <c r="MPR13" s="12"/>
      <c r="MPS13" s="12"/>
      <c r="MPT13" s="12"/>
      <c r="MPU13" s="12"/>
      <c r="MPV13" s="12"/>
      <c r="MPW13" s="12"/>
      <c r="MPX13" s="12"/>
      <c r="MPY13" s="12"/>
      <c r="MPZ13" s="12"/>
      <c r="MQA13" s="12"/>
      <c r="MQB13" s="12"/>
      <c r="MQC13" s="12"/>
      <c r="MQD13" s="12"/>
      <c r="MQE13" s="12"/>
      <c r="MQF13" s="12"/>
      <c r="MQG13" s="12"/>
      <c r="MQH13" s="12"/>
      <c r="MQI13" s="12"/>
      <c r="MQJ13" s="12"/>
      <c r="MQK13" s="12"/>
      <c r="MQL13" s="12"/>
      <c r="MQM13" s="12"/>
      <c r="MQN13" s="12"/>
      <c r="MQO13" s="12"/>
      <c r="MQP13" s="12"/>
      <c r="MQQ13" s="12"/>
      <c r="MQR13" s="12"/>
      <c r="MQS13" s="12"/>
      <c r="MQT13" s="12"/>
      <c r="MQU13" s="12"/>
      <c r="MQV13" s="12"/>
      <c r="MQW13" s="12"/>
      <c r="MQX13" s="12"/>
      <c r="MQY13" s="12"/>
      <c r="MQZ13" s="12"/>
      <c r="MRA13" s="12"/>
      <c r="MRB13" s="12"/>
      <c r="MRC13" s="12"/>
      <c r="MRD13" s="12"/>
      <c r="MRE13" s="12"/>
      <c r="MRF13" s="12"/>
      <c r="MRG13" s="12"/>
      <c r="MRH13" s="12"/>
      <c r="MRI13" s="12"/>
      <c r="MRJ13" s="12"/>
      <c r="MRK13" s="12"/>
      <c r="MRL13" s="12"/>
      <c r="MRM13" s="12"/>
      <c r="MRN13" s="12"/>
      <c r="MRO13" s="12"/>
      <c r="MRP13" s="12"/>
      <c r="MRQ13" s="12"/>
      <c r="MRR13" s="12"/>
      <c r="MRS13" s="12"/>
      <c r="MRT13" s="12"/>
      <c r="MRU13" s="12"/>
      <c r="MRV13" s="12"/>
      <c r="MRW13" s="12"/>
      <c r="MRX13" s="12"/>
      <c r="MRY13" s="12"/>
      <c r="MRZ13" s="12"/>
      <c r="MSA13" s="12"/>
      <c r="MSB13" s="12"/>
      <c r="MSC13" s="12"/>
      <c r="MSD13" s="12"/>
      <c r="MSE13" s="12"/>
      <c r="MSF13" s="12"/>
      <c r="MSG13" s="12"/>
      <c r="MSH13" s="12"/>
      <c r="MSI13" s="12"/>
      <c r="MSJ13" s="12"/>
      <c r="MSK13" s="12"/>
      <c r="MSL13" s="12"/>
      <c r="MSM13" s="12"/>
      <c r="MSN13" s="12"/>
      <c r="MSO13" s="12"/>
      <c r="MSP13" s="12"/>
      <c r="MSQ13" s="12"/>
      <c r="MSR13" s="12"/>
      <c r="MSS13" s="12"/>
      <c r="MST13" s="12"/>
      <c r="MSU13" s="12"/>
      <c r="MSV13" s="12"/>
      <c r="MSW13" s="12"/>
      <c r="MSX13" s="12"/>
      <c r="MSY13" s="12"/>
      <c r="MSZ13" s="12"/>
      <c r="MTA13" s="12"/>
      <c r="MTB13" s="12"/>
      <c r="MTC13" s="12"/>
      <c r="MTD13" s="12"/>
      <c r="MTE13" s="12"/>
      <c r="MTF13" s="12"/>
      <c r="MTG13" s="12"/>
      <c r="MTH13" s="12"/>
      <c r="MTI13" s="12"/>
      <c r="MTJ13" s="12"/>
      <c r="MTK13" s="12"/>
      <c r="MTL13" s="12"/>
      <c r="MTM13" s="12"/>
      <c r="MTN13" s="12"/>
      <c r="MTO13" s="12"/>
      <c r="MTP13" s="12"/>
      <c r="MTQ13" s="12"/>
      <c r="MTR13" s="12"/>
      <c r="MTS13" s="12"/>
      <c r="MTT13" s="12"/>
      <c r="MTU13" s="12"/>
      <c r="MTV13" s="12"/>
      <c r="MTW13" s="12"/>
      <c r="MTX13" s="12"/>
      <c r="MTY13" s="12"/>
      <c r="MTZ13" s="12"/>
      <c r="MUA13" s="12"/>
      <c r="MUB13" s="12"/>
      <c r="MUC13" s="12"/>
      <c r="MUD13" s="12"/>
      <c r="MUE13" s="12"/>
      <c r="MUF13" s="12"/>
      <c r="MUG13" s="12"/>
      <c r="MUH13" s="12"/>
      <c r="MUI13" s="12"/>
      <c r="MUJ13" s="12"/>
      <c r="MUK13" s="12"/>
      <c r="MUL13" s="12"/>
      <c r="MUM13" s="12"/>
      <c r="MUN13" s="12"/>
      <c r="MUO13" s="12"/>
      <c r="MUP13" s="12"/>
      <c r="MUQ13" s="12"/>
      <c r="MUR13" s="12"/>
      <c r="MUS13" s="12"/>
      <c r="MUT13" s="12"/>
      <c r="MUU13" s="12"/>
      <c r="MUV13" s="12"/>
      <c r="MUW13" s="12"/>
      <c r="MUX13" s="12"/>
      <c r="MUY13" s="12"/>
      <c r="MUZ13" s="12"/>
      <c r="MVA13" s="12"/>
      <c r="MVB13" s="12"/>
      <c r="MVC13" s="12"/>
      <c r="MVD13" s="12"/>
      <c r="MVE13" s="12"/>
      <c r="MVF13" s="12"/>
      <c r="MVG13" s="12"/>
      <c r="MVH13" s="12"/>
      <c r="MVI13" s="12"/>
      <c r="MVJ13" s="12"/>
      <c r="MVK13" s="12"/>
      <c r="MVL13" s="12"/>
      <c r="MVM13" s="12"/>
      <c r="MVN13" s="12"/>
      <c r="MVO13" s="12"/>
      <c r="MVP13" s="12"/>
      <c r="MVQ13" s="12"/>
      <c r="MVR13" s="12"/>
      <c r="MVS13" s="12"/>
      <c r="MVT13" s="12"/>
      <c r="MVU13" s="12"/>
      <c r="MVV13" s="12"/>
      <c r="MVW13" s="12"/>
      <c r="MVX13" s="12"/>
      <c r="MVY13" s="12"/>
      <c r="MVZ13" s="12"/>
      <c r="MWA13" s="12"/>
      <c r="MWB13" s="12"/>
      <c r="MWC13" s="12"/>
      <c r="MWD13" s="12"/>
      <c r="MWE13" s="12"/>
      <c r="MWF13" s="12"/>
      <c r="MWG13" s="12"/>
      <c r="MWH13" s="12"/>
      <c r="MWI13" s="12"/>
      <c r="MWJ13" s="12"/>
      <c r="MWK13" s="12"/>
      <c r="MWL13" s="12"/>
      <c r="MWM13" s="12"/>
      <c r="MWN13" s="12"/>
      <c r="MWO13" s="12"/>
      <c r="MWP13" s="12"/>
      <c r="MWQ13" s="12"/>
      <c r="MWR13" s="12"/>
      <c r="MWS13" s="12"/>
      <c r="MWT13" s="12"/>
      <c r="MWU13" s="12"/>
      <c r="MWV13" s="12"/>
      <c r="MWW13" s="12"/>
      <c r="MWX13" s="12"/>
      <c r="MWY13" s="12"/>
      <c r="MWZ13" s="12"/>
      <c r="MXA13" s="12"/>
      <c r="MXB13" s="12"/>
      <c r="MXC13" s="12"/>
      <c r="MXD13" s="12"/>
      <c r="MXE13" s="12"/>
      <c r="MXF13" s="12"/>
      <c r="MXG13" s="12"/>
      <c r="MXH13" s="12"/>
      <c r="MXI13" s="12"/>
      <c r="MXJ13" s="12"/>
      <c r="MXK13" s="12"/>
      <c r="MXL13" s="12"/>
      <c r="MXM13" s="12"/>
      <c r="MXN13" s="12"/>
      <c r="MXO13" s="12"/>
      <c r="MXP13" s="12"/>
      <c r="MXQ13" s="12"/>
      <c r="MXR13" s="12"/>
      <c r="MXS13" s="12"/>
      <c r="MXT13" s="12"/>
      <c r="MXU13" s="12"/>
      <c r="MXV13" s="12"/>
      <c r="MXW13" s="12"/>
      <c r="MXX13" s="12"/>
      <c r="MXY13" s="12"/>
      <c r="MXZ13" s="12"/>
      <c r="MYA13" s="12"/>
      <c r="MYB13" s="12"/>
      <c r="MYC13" s="12"/>
      <c r="MYD13" s="12"/>
      <c r="MYE13" s="12"/>
      <c r="MYF13" s="12"/>
      <c r="MYG13" s="12"/>
      <c r="MYH13" s="12"/>
      <c r="MYI13" s="12"/>
      <c r="MYJ13" s="12"/>
      <c r="MYK13" s="12"/>
      <c r="MYL13" s="12"/>
      <c r="MYM13" s="12"/>
      <c r="MYN13" s="12"/>
      <c r="MYO13" s="12"/>
      <c r="MYP13" s="12"/>
      <c r="MYQ13" s="12"/>
      <c r="MYR13" s="12"/>
      <c r="MYS13" s="12"/>
      <c r="MYT13" s="12"/>
      <c r="MYU13" s="12"/>
      <c r="MYV13" s="12"/>
      <c r="MYW13" s="12"/>
      <c r="MYX13" s="12"/>
      <c r="MYY13" s="12"/>
      <c r="MYZ13" s="12"/>
      <c r="MZA13" s="12"/>
      <c r="MZB13" s="12"/>
      <c r="MZC13" s="12"/>
      <c r="MZD13" s="12"/>
      <c r="MZE13" s="12"/>
      <c r="MZF13" s="12"/>
      <c r="MZG13" s="12"/>
      <c r="MZH13" s="12"/>
      <c r="MZI13" s="12"/>
      <c r="MZJ13" s="12"/>
      <c r="MZK13" s="12"/>
      <c r="MZL13" s="12"/>
      <c r="MZM13" s="12"/>
      <c r="MZN13" s="12"/>
      <c r="MZO13" s="12"/>
      <c r="MZP13" s="12"/>
      <c r="MZQ13" s="12"/>
      <c r="MZR13" s="12"/>
      <c r="MZS13" s="12"/>
      <c r="MZT13" s="12"/>
      <c r="MZU13" s="12"/>
      <c r="MZV13" s="12"/>
      <c r="MZW13" s="12"/>
      <c r="MZX13" s="12"/>
      <c r="MZY13" s="12"/>
      <c r="MZZ13" s="12"/>
      <c r="NAA13" s="12"/>
      <c r="NAB13" s="12"/>
      <c r="NAC13" s="12"/>
      <c r="NAD13" s="12"/>
      <c r="NAE13" s="12"/>
      <c r="NAF13" s="12"/>
      <c r="NAG13" s="12"/>
      <c r="NAH13" s="12"/>
      <c r="NAI13" s="12"/>
      <c r="NAJ13" s="12"/>
      <c r="NAK13" s="12"/>
      <c r="NAL13" s="12"/>
      <c r="NAM13" s="12"/>
      <c r="NAN13" s="12"/>
      <c r="NAO13" s="12"/>
      <c r="NAP13" s="12"/>
      <c r="NAQ13" s="12"/>
      <c r="NAR13" s="12"/>
      <c r="NAS13" s="12"/>
      <c r="NAT13" s="12"/>
      <c r="NAU13" s="12"/>
      <c r="NAV13" s="12"/>
      <c r="NAW13" s="12"/>
      <c r="NAX13" s="12"/>
      <c r="NAY13" s="12"/>
      <c r="NAZ13" s="12"/>
      <c r="NBA13" s="12"/>
      <c r="NBB13" s="12"/>
      <c r="NBC13" s="12"/>
      <c r="NBD13" s="12"/>
      <c r="NBE13" s="12"/>
      <c r="NBF13" s="12"/>
      <c r="NBG13" s="12"/>
      <c r="NBH13" s="12"/>
      <c r="NBI13" s="12"/>
      <c r="NBJ13" s="12"/>
      <c r="NBK13" s="12"/>
      <c r="NBL13" s="12"/>
      <c r="NBM13" s="12"/>
      <c r="NBN13" s="12"/>
      <c r="NBO13" s="12"/>
      <c r="NBP13" s="12"/>
      <c r="NBQ13" s="12"/>
      <c r="NBR13" s="12"/>
      <c r="NBS13" s="12"/>
      <c r="NBT13" s="12"/>
      <c r="NBU13" s="12"/>
      <c r="NBV13" s="12"/>
      <c r="NBW13" s="12"/>
      <c r="NBX13" s="12"/>
      <c r="NBY13" s="12"/>
      <c r="NBZ13" s="12"/>
      <c r="NCA13" s="12"/>
      <c r="NCB13" s="12"/>
      <c r="NCC13" s="12"/>
      <c r="NCD13" s="12"/>
      <c r="NCE13" s="12"/>
      <c r="NCF13" s="12"/>
      <c r="NCG13" s="12"/>
      <c r="NCH13" s="12"/>
      <c r="NCI13" s="12"/>
      <c r="NCJ13" s="12"/>
      <c r="NCK13" s="12"/>
      <c r="NCL13" s="12"/>
      <c r="NCM13" s="12"/>
      <c r="NCN13" s="12"/>
      <c r="NCO13" s="12"/>
      <c r="NCP13" s="12"/>
      <c r="NCQ13" s="12"/>
      <c r="NCR13" s="12"/>
      <c r="NCS13" s="12"/>
      <c r="NCT13" s="12"/>
      <c r="NCU13" s="12"/>
      <c r="NCV13" s="12"/>
      <c r="NCW13" s="12"/>
      <c r="NCX13" s="12"/>
      <c r="NCY13" s="12"/>
      <c r="NCZ13" s="12"/>
      <c r="NDA13" s="12"/>
      <c r="NDB13" s="12"/>
      <c r="NDC13" s="12"/>
      <c r="NDD13" s="12"/>
      <c r="NDE13" s="12"/>
      <c r="NDF13" s="12"/>
      <c r="NDG13" s="12"/>
      <c r="NDH13" s="12"/>
      <c r="NDI13" s="12"/>
      <c r="NDJ13" s="12"/>
      <c r="NDK13" s="12"/>
      <c r="NDL13" s="12"/>
      <c r="NDM13" s="12"/>
      <c r="NDN13" s="12"/>
      <c r="NDO13" s="12"/>
      <c r="NDP13" s="12"/>
      <c r="NDQ13" s="12"/>
      <c r="NDR13" s="12"/>
      <c r="NDS13" s="12"/>
      <c r="NDT13" s="12"/>
      <c r="NDU13" s="12"/>
      <c r="NDV13" s="12"/>
      <c r="NDW13" s="12"/>
      <c r="NDX13" s="12"/>
      <c r="NDY13" s="12"/>
      <c r="NDZ13" s="12"/>
      <c r="NEA13" s="12"/>
      <c r="NEB13" s="12"/>
      <c r="NEC13" s="12"/>
      <c r="NED13" s="12"/>
      <c r="NEE13" s="12"/>
      <c r="NEF13" s="12"/>
      <c r="NEG13" s="12"/>
      <c r="NEH13" s="12"/>
      <c r="NEI13" s="12"/>
      <c r="NEJ13" s="12"/>
      <c r="NEK13" s="12"/>
      <c r="NEL13" s="12"/>
      <c r="NEM13" s="12"/>
      <c r="NEN13" s="12"/>
      <c r="NEO13" s="12"/>
      <c r="NEP13" s="12"/>
      <c r="NEQ13" s="12"/>
      <c r="NER13" s="12"/>
      <c r="NES13" s="12"/>
      <c r="NET13" s="12"/>
      <c r="NEU13" s="12"/>
      <c r="NEV13" s="12"/>
      <c r="NEW13" s="12"/>
      <c r="NEX13" s="12"/>
      <c r="NEY13" s="12"/>
      <c r="NEZ13" s="12"/>
      <c r="NFA13" s="12"/>
      <c r="NFB13" s="12"/>
      <c r="NFC13" s="12"/>
      <c r="NFD13" s="12"/>
      <c r="NFE13" s="12"/>
      <c r="NFF13" s="12"/>
      <c r="NFG13" s="12"/>
      <c r="NFH13" s="12"/>
      <c r="NFI13" s="12"/>
      <c r="NFJ13" s="12"/>
      <c r="NFK13" s="12"/>
      <c r="NFL13" s="12"/>
      <c r="NFM13" s="12"/>
      <c r="NFN13" s="12"/>
      <c r="NFO13" s="12"/>
      <c r="NFP13" s="12"/>
      <c r="NFQ13" s="12"/>
      <c r="NFR13" s="12"/>
      <c r="NFS13" s="12"/>
      <c r="NFT13" s="12"/>
      <c r="NFU13" s="12"/>
      <c r="NFV13" s="12"/>
      <c r="NFW13" s="12"/>
      <c r="NFX13" s="12"/>
      <c r="NFY13" s="12"/>
      <c r="NFZ13" s="12"/>
      <c r="NGA13" s="12"/>
      <c r="NGB13" s="12"/>
      <c r="NGC13" s="12"/>
      <c r="NGD13" s="12"/>
      <c r="NGE13" s="12"/>
      <c r="NGF13" s="12"/>
      <c r="NGG13" s="12"/>
      <c r="NGH13" s="12"/>
      <c r="NGI13" s="12"/>
      <c r="NGJ13" s="12"/>
      <c r="NGK13" s="12"/>
      <c r="NGL13" s="12"/>
      <c r="NGM13" s="12"/>
      <c r="NGN13" s="12"/>
      <c r="NGO13" s="12"/>
      <c r="NGP13" s="12"/>
      <c r="NGQ13" s="12"/>
      <c r="NGR13" s="12"/>
      <c r="NGS13" s="12"/>
      <c r="NGT13" s="12"/>
      <c r="NGU13" s="12"/>
      <c r="NGV13" s="12"/>
      <c r="NGW13" s="12"/>
      <c r="NGX13" s="12"/>
      <c r="NGY13" s="12"/>
      <c r="NGZ13" s="12"/>
      <c r="NHA13" s="12"/>
      <c r="NHB13" s="12"/>
      <c r="NHC13" s="12"/>
      <c r="NHD13" s="12"/>
      <c r="NHE13" s="12"/>
      <c r="NHF13" s="12"/>
      <c r="NHG13" s="12"/>
      <c r="NHH13" s="12"/>
      <c r="NHI13" s="12"/>
      <c r="NHJ13" s="12"/>
      <c r="NHK13" s="12"/>
      <c r="NHL13" s="12"/>
      <c r="NHM13" s="12"/>
      <c r="NHN13" s="12"/>
      <c r="NHO13" s="12"/>
      <c r="NHP13" s="12"/>
      <c r="NHQ13" s="12"/>
      <c r="NHR13" s="12"/>
      <c r="NHS13" s="12"/>
      <c r="NHT13" s="12"/>
      <c r="NHU13" s="12"/>
      <c r="NHV13" s="12"/>
      <c r="NHW13" s="12"/>
      <c r="NHX13" s="12"/>
      <c r="NHY13" s="12"/>
      <c r="NHZ13" s="12"/>
      <c r="NIA13" s="12"/>
      <c r="NIB13" s="12"/>
      <c r="NIC13" s="12"/>
      <c r="NID13" s="12"/>
      <c r="NIE13" s="12"/>
      <c r="NIF13" s="12"/>
      <c r="NIG13" s="12"/>
      <c r="NIH13" s="12"/>
      <c r="NII13" s="12"/>
      <c r="NIJ13" s="12"/>
      <c r="NIK13" s="12"/>
      <c r="NIL13" s="12"/>
      <c r="NIM13" s="12"/>
      <c r="NIN13" s="12"/>
      <c r="NIO13" s="12"/>
      <c r="NIP13" s="12"/>
      <c r="NIQ13" s="12"/>
      <c r="NIR13" s="12"/>
      <c r="NIS13" s="12"/>
      <c r="NIT13" s="12"/>
      <c r="NIU13" s="12"/>
      <c r="NIV13" s="12"/>
      <c r="NIW13" s="12"/>
      <c r="NIX13" s="12"/>
      <c r="NIY13" s="12"/>
      <c r="NIZ13" s="12"/>
      <c r="NJA13" s="12"/>
      <c r="NJB13" s="12"/>
      <c r="NJC13" s="12"/>
      <c r="NJD13" s="12"/>
      <c r="NJE13" s="12"/>
      <c r="NJF13" s="12"/>
      <c r="NJG13" s="12"/>
      <c r="NJH13" s="12"/>
      <c r="NJI13" s="12"/>
      <c r="NJJ13" s="12"/>
      <c r="NJK13" s="12"/>
      <c r="NJL13" s="12"/>
      <c r="NJM13" s="12"/>
      <c r="NJN13" s="12"/>
      <c r="NJO13" s="12"/>
      <c r="NJP13" s="12"/>
      <c r="NJQ13" s="12"/>
      <c r="NJR13" s="12"/>
      <c r="NJS13" s="12"/>
      <c r="NJT13" s="12"/>
      <c r="NJU13" s="12"/>
      <c r="NJV13" s="12"/>
      <c r="NJW13" s="12"/>
      <c r="NJX13" s="12"/>
      <c r="NJY13" s="12"/>
      <c r="NJZ13" s="12"/>
      <c r="NKA13" s="12"/>
      <c r="NKB13" s="12"/>
      <c r="NKC13" s="12"/>
      <c r="NKD13" s="12"/>
      <c r="NKE13" s="12"/>
      <c r="NKF13" s="12"/>
      <c r="NKG13" s="12"/>
      <c r="NKH13" s="12"/>
      <c r="NKI13" s="12"/>
      <c r="NKJ13" s="12"/>
      <c r="NKK13" s="12"/>
      <c r="NKL13" s="12"/>
      <c r="NKM13" s="12"/>
      <c r="NKN13" s="12"/>
      <c r="NKO13" s="12"/>
      <c r="NKP13" s="12"/>
      <c r="NKQ13" s="12"/>
      <c r="NKR13" s="12"/>
      <c r="NKS13" s="12"/>
      <c r="NKT13" s="12"/>
      <c r="NKU13" s="12"/>
      <c r="NKV13" s="12"/>
      <c r="NKW13" s="12"/>
      <c r="NKX13" s="12"/>
      <c r="NKY13" s="12"/>
      <c r="NKZ13" s="12"/>
      <c r="NLA13" s="12"/>
      <c r="NLB13" s="12"/>
      <c r="NLC13" s="12"/>
      <c r="NLD13" s="12"/>
      <c r="NLE13" s="12"/>
      <c r="NLF13" s="12"/>
      <c r="NLG13" s="12"/>
      <c r="NLH13" s="12"/>
      <c r="NLI13" s="12"/>
      <c r="NLJ13" s="12"/>
      <c r="NLK13" s="12"/>
      <c r="NLL13" s="12"/>
      <c r="NLM13" s="12"/>
      <c r="NLN13" s="12"/>
      <c r="NLO13" s="12"/>
      <c r="NLP13" s="12"/>
      <c r="NLQ13" s="12"/>
      <c r="NLR13" s="12"/>
      <c r="NLS13" s="12"/>
      <c r="NLT13" s="12"/>
      <c r="NLU13" s="12"/>
      <c r="NLV13" s="12"/>
      <c r="NLW13" s="12"/>
      <c r="NLX13" s="12"/>
      <c r="NLY13" s="12"/>
      <c r="NLZ13" s="12"/>
      <c r="NMA13" s="12"/>
      <c r="NMB13" s="12"/>
      <c r="NMC13" s="12"/>
      <c r="NMD13" s="12"/>
      <c r="NME13" s="12"/>
      <c r="NMF13" s="12"/>
      <c r="NMG13" s="12"/>
      <c r="NMH13" s="12"/>
      <c r="NMI13" s="12"/>
      <c r="NMJ13" s="12"/>
      <c r="NMK13" s="12"/>
      <c r="NML13" s="12"/>
      <c r="NMM13" s="12"/>
      <c r="NMN13" s="12"/>
      <c r="NMO13" s="12"/>
      <c r="NMP13" s="12"/>
      <c r="NMQ13" s="12"/>
      <c r="NMR13" s="12"/>
      <c r="NMS13" s="12"/>
      <c r="NMT13" s="12"/>
      <c r="NMU13" s="12"/>
      <c r="NMV13" s="12"/>
      <c r="NMW13" s="12"/>
      <c r="NMX13" s="12"/>
      <c r="NMY13" s="12"/>
      <c r="NMZ13" s="12"/>
      <c r="NNA13" s="12"/>
      <c r="NNB13" s="12"/>
      <c r="NNC13" s="12"/>
      <c r="NND13" s="12"/>
      <c r="NNE13" s="12"/>
      <c r="NNF13" s="12"/>
      <c r="NNG13" s="12"/>
      <c r="NNH13" s="12"/>
      <c r="NNI13" s="12"/>
      <c r="NNJ13" s="12"/>
      <c r="NNK13" s="12"/>
      <c r="NNL13" s="12"/>
      <c r="NNM13" s="12"/>
      <c r="NNN13" s="12"/>
      <c r="NNO13" s="12"/>
      <c r="NNP13" s="12"/>
      <c r="NNQ13" s="12"/>
      <c r="NNR13" s="12"/>
      <c r="NNS13" s="12"/>
      <c r="NNT13" s="12"/>
      <c r="NNU13" s="12"/>
      <c r="NNV13" s="12"/>
      <c r="NNW13" s="12"/>
      <c r="NNX13" s="12"/>
      <c r="NNY13" s="12"/>
      <c r="NNZ13" s="12"/>
      <c r="NOA13" s="12"/>
      <c r="NOB13" s="12"/>
      <c r="NOC13" s="12"/>
      <c r="NOD13" s="12"/>
      <c r="NOE13" s="12"/>
      <c r="NOF13" s="12"/>
      <c r="NOG13" s="12"/>
      <c r="NOH13" s="12"/>
      <c r="NOI13" s="12"/>
      <c r="NOJ13" s="12"/>
      <c r="NOK13" s="12"/>
      <c r="NOL13" s="12"/>
      <c r="NOM13" s="12"/>
      <c r="NON13" s="12"/>
      <c r="NOO13" s="12"/>
      <c r="NOP13" s="12"/>
      <c r="NOQ13" s="12"/>
      <c r="NOR13" s="12"/>
      <c r="NOS13" s="12"/>
      <c r="NOT13" s="12"/>
      <c r="NOU13" s="12"/>
      <c r="NOV13" s="12"/>
      <c r="NOW13" s="12"/>
      <c r="NOX13" s="12"/>
      <c r="NOY13" s="12"/>
      <c r="NOZ13" s="12"/>
      <c r="NPA13" s="12"/>
      <c r="NPB13" s="12"/>
      <c r="NPC13" s="12"/>
      <c r="NPD13" s="12"/>
      <c r="NPE13" s="12"/>
      <c r="NPF13" s="12"/>
      <c r="NPG13" s="12"/>
      <c r="NPH13" s="12"/>
      <c r="NPI13" s="12"/>
      <c r="NPJ13" s="12"/>
      <c r="NPK13" s="12"/>
      <c r="NPL13" s="12"/>
      <c r="NPM13" s="12"/>
      <c r="NPN13" s="12"/>
      <c r="NPO13" s="12"/>
      <c r="NPP13" s="12"/>
      <c r="NPQ13" s="12"/>
      <c r="NPR13" s="12"/>
      <c r="NPS13" s="12"/>
      <c r="NPT13" s="12"/>
      <c r="NPU13" s="12"/>
      <c r="NPV13" s="12"/>
      <c r="NPW13" s="12"/>
      <c r="NPX13" s="12"/>
      <c r="NPY13" s="12"/>
      <c r="NPZ13" s="12"/>
      <c r="NQA13" s="12"/>
      <c r="NQB13" s="12"/>
      <c r="NQC13" s="12"/>
      <c r="NQD13" s="12"/>
      <c r="NQE13" s="12"/>
      <c r="NQF13" s="12"/>
      <c r="NQG13" s="12"/>
      <c r="NQH13" s="12"/>
      <c r="NQI13" s="12"/>
      <c r="NQJ13" s="12"/>
      <c r="NQK13" s="12"/>
      <c r="NQL13" s="12"/>
      <c r="NQM13" s="12"/>
      <c r="NQN13" s="12"/>
      <c r="NQO13" s="12"/>
      <c r="NQP13" s="12"/>
      <c r="NQQ13" s="12"/>
      <c r="NQR13" s="12"/>
      <c r="NQS13" s="12"/>
      <c r="NQT13" s="12"/>
      <c r="NQU13" s="12"/>
      <c r="NQV13" s="12"/>
      <c r="NQW13" s="12"/>
      <c r="NQX13" s="12"/>
      <c r="NQY13" s="12"/>
      <c r="NQZ13" s="12"/>
      <c r="NRA13" s="12"/>
      <c r="NRB13" s="12"/>
      <c r="NRC13" s="12"/>
      <c r="NRD13" s="12"/>
      <c r="NRE13" s="12"/>
      <c r="NRF13" s="12"/>
      <c r="NRG13" s="12"/>
      <c r="NRH13" s="12"/>
      <c r="NRI13" s="12"/>
      <c r="NRJ13" s="12"/>
      <c r="NRK13" s="12"/>
      <c r="NRL13" s="12"/>
      <c r="NRM13" s="12"/>
      <c r="NRN13" s="12"/>
      <c r="NRO13" s="12"/>
      <c r="NRP13" s="12"/>
      <c r="NRQ13" s="12"/>
      <c r="NRR13" s="12"/>
      <c r="NRS13" s="12"/>
      <c r="NRT13" s="12"/>
      <c r="NRU13" s="12"/>
      <c r="NRV13" s="12"/>
      <c r="NRW13" s="12"/>
      <c r="NRX13" s="12"/>
      <c r="NRY13" s="12"/>
      <c r="NRZ13" s="12"/>
      <c r="NSA13" s="12"/>
      <c r="NSB13" s="12"/>
      <c r="NSC13" s="12"/>
      <c r="NSD13" s="12"/>
      <c r="NSE13" s="12"/>
      <c r="NSF13" s="12"/>
      <c r="NSG13" s="12"/>
      <c r="NSH13" s="12"/>
      <c r="NSI13" s="12"/>
      <c r="NSJ13" s="12"/>
      <c r="NSK13" s="12"/>
      <c r="NSL13" s="12"/>
      <c r="NSM13" s="12"/>
      <c r="NSN13" s="12"/>
      <c r="NSO13" s="12"/>
      <c r="NSP13" s="12"/>
      <c r="NSQ13" s="12"/>
      <c r="NSR13" s="12"/>
      <c r="NSS13" s="12"/>
      <c r="NST13" s="12"/>
      <c r="NSU13" s="12"/>
      <c r="NSV13" s="12"/>
      <c r="NSW13" s="12"/>
      <c r="NSX13" s="12"/>
      <c r="NSY13" s="12"/>
      <c r="NSZ13" s="12"/>
      <c r="NTA13" s="12"/>
      <c r="NTB13" s="12"/>
      <c r="NTC13" s="12"/>
      <c r="NTD13" s="12"/>
      <c r="NTE13" s="12"/>
      <c r="NTF13" s="12"/>
      <c r="NTG13" s="12"/>
      <c r="NTH13" s="12"/>
      <c r="NTI13" s="12"/>
      <c r="NTJ13" s="12"/>
      <c r="NTK13" s="12"/>
      <c r="NTL13" s="12"/>
      <c r="NTM13" s="12"/>
      <c r="NTN13" s="12"/>
      <c r="NTO13" s="12"/>
      <c r="NTP13" s="12"/>
      <c r="NTQ13" s="12"/>
      <c r="NTR13" s="12"/>
      <c r="NTS13" s="12"/>
      <c r="NTT13" s="12"/>
      <c r="NTU13" s="12"/>
      <c r="NTV13" s="12"/>
      <c r="NTW13" s="12"/>
      <c r="NTX13" s="12"/>
      <c r="NTY13" s="12"/>
      <c r="NTZ13" s="12"/>
      <c r="NUA13" s="12"/>
      <c r="NUB13" s="12"/>
      <c r="NUC13" s="12"/>
      <c r="NUD13" s="12"/>
      <c r="NUE13" s="12"/>
      <c r="NUF13" s="12"/>
      <c r="NUG13" s="12"/>
      <c r="NUH13" s="12"/>
      <c r="NUI13" s="12"/>
      <c r="NUJ13" s="12"/>
      <c r="NUK13" s="12"/>
      <c r="NUL13" s="12"/>
      <c r="NUM13" s="12"/>
      <c r="NUN13" s="12"/>
      <c r="NUO13" s="12"/>
      <c r="NUP13" s="12"/>
      <c r="NUQ13" s="12"/>
      <c r="NUR13" s="12"/>
      <c r="NUS13" s="12"/>
      <c r="NUT13" s="12"/>
      <c r="NUU13" s="12"/>
      <c r="NUV13" s="12"/>
      <c r="NUW13" s="12"/>
      <c r="NUX13" s="12"/>
      <c r="NUY13" s="12"/>
      <c r="NUZ13" s="12"/>
      <c r="NVA13" s="12"/>
      <c r="NVB13" s="12"/>
      <c r="NVC13" s="12"/>
      <c r="NVD13" s="12"/>
      <c r="NVE13" s="12"/>
      <c r="NVF13" s="12"/>
      <c r="NVG13" s="12"/>
      <c r="NVH13" s="12"/>
      <c r="NVI13" s="12"/>
      <c r="NVJ13" s="12"/>
      <c r="NVK13" s="12"/>
      <c r="NVL13" s="12"/>
      <c r="NVM13" s="12"/>
      <c r="NVN13" s="12"/>
      <c r="NVO13" s="12"/>
      <c r="NVP13" s="12"/>
      <c r="NVQ13" s="12"/>
      <c r="NVR13" s="12"/>
      <c r="NVS13" s="12"/>
      <c r="NVT13" s="12"/>
      <c r="NVU13" s="12"/>
      <c r="NVV13" s="12"/>
      <c r="NVW13" s="12"/>
      <c r="NVX13" s="12"/>
      <c r="NVY13" s="12"/>
      <c r="NVZ13" s="12"/>
      <c r="NWA13" s="12"/>
      <c r="NWB13" s="12"/>
      <c r="NWC13" s="12"/>
      <c r="NWD13" s="12"/>
      <c r="NWE13" s="12"/>
      <c r="NWF13" s="12"/>
      <c r="NWG13" s="12"/>
      <c r="NWH13" s="12"/>
      <c r="NWI13" s="12"/>
      <c r="NWJ13" s="12"/>
      <c r="NWK13" s="12"/>
      <c r="NWL13" s="12"/>
      <c r="NWM13" s="12"/>
      <c r="NWN13" s="12"/>
      <c r="NWO13" s="12"/>
      <c r="NWP13" s="12"/>
      <c r="NWQ13" s="12"/>
      <c r="NWR13" s="12"/>
      <c r="NWS13" s="12"/>
      <c r="NWT13" s="12"/>
      <c r="NWU13" s="12"/>
      <c r="NWV13" s="12"/>
      <c r="NWW13" s="12"/>
      <c r="NWX13" s="12"/>
      <c r="NWY13" s="12"/>
      <c r="NWZ13" s="12"/>
      <c r="NXA13" s="12"/>
      <c r="NXB13" s="12"/>
      <c r="NXC13" s="12"/>
      <c r="NXD13" s="12"/>
      <c r="NXE13" s="12"/>
      <c r="NXF13" s="12"/>
      <c r="NXG13" s="12"/>
      <c r="NXH13" s="12"/>
      <c r="NXI13" s="12"/>
      <c r="NXJ13" s="12"/>
      <c r="NXK13" s="12"/>
      <c r="NXL13" s="12"/>
      <c r="NXM13" s="12"/>
      <c r="NXN13" s="12"/>
      <c r="NXO13" s="12"/>
      <c r="NXP13" s="12"/>
      <c r="NXQ13" s="12"/>
      <c r="NXR13" s="12"/>
      <c r="NXS13" s="12"/>
      <c r="NXT13" s="12"/>
      <c r="NXU13" s="12"/>
      <c r="NXV13" s="12"/>
      <c r="NXW13" s="12"/>
      <c r="NXX13" s="12"/>
      <c r="NXY13" s="12"/>
      <c r="NXZ13" s="12"/>
      <c r="NYA13" s="12"/>
      <c r="NYB13" s="12"/>
      <c r="NYC13" s="12"/>
      <c r="NYD13" s="12"/>
      <c r="NYE13" s="12"/>
      <c r="NYF13" s="12"/>
      <c r="NYG13" s="12"/>
      <c r="NYH13" s="12"/>
      <c r="NYI13" s="12"/>
      <c r="NYJ13" s="12"/>
      <c r="NYK13" s="12"/>
      <c r="NYL13" s="12"/>
      <c r="NYM13" s="12"/>
      <c r="NYN13" s="12"/>
      <c r="NYO13" s="12"/>
      <c r="NYP13" s="12"/>
      <c r="NYQ13" s="12"/>
      <c r="NYR13" s="12"/>
      <c r="NYS13" s="12"/>
      <c r="NYT13" s="12"/>
      <c r="NYU13" s="12"/>
      <c r="NYV13" s="12"/>
      <c r="NYW13" s="12"/>
      <c r="NYX13" s="12"/>
      <c r="NYY13" s="12"/>
      <c r="NYZ13" s="12"/>
      <c r="NZA13" s="12"/>
      <c r="NZB13" s="12"/>
      <c r="NZC13" s="12"/>
      <c r="NZD13" s="12"/>
      <c r="NZE13" s="12"/>
      <c r="NZF13" s="12"/>
      <c r="NZG13" s="12"/>
      <c r="NZH13" s="12"/>
      <c r="NZI13" s="12"/>
      <c r="NZJ13" s="12"/>
      <c r="NZK13" s="12"/>
      <c r="NZL13" s="12"/>
      <c r="NZM13" s="12"/>
      <c r="NZN13" s="12"/>
      <c r="NZO13" s="12"/>
      <c r="NZP13" s="12"/>
      <c r="NZQ13" s="12"/>
      <c r="NZR13" s="12"/>
      <c r="NZS13" s="12"/>
      <c r="NZT13" s="12"/>
      <c r="NZU13" s="12"/>
      <c r="NZV13" s="12"/>
      <c r="NZW13" s="12"/>
      <c r="NZX13" s="12"/>
      <c r="NZY13" s="12"/>
      <c r="NZZ13" s="12"/>
      <c r="OAA13" s="12"/>
      <c r="OAB13" s="12"/>
      <c r="OAC13" s="12"/>
      <c r="OAD13" s="12"/>
      <c r="OAE13" s="12"/>
      <c r="OAF13" s="12"/>
      <c r="OAG13" s="12"/>
      <c r="OAH13" s="12"/>
      <c r="OAI13" s="12"/>
      <c r="OAJ13" s="12"/>
      <c r="OAK13" s="12"/>
      <c r="OAL13" s="12"/>
      <c r="OAM13" s="12"/>
      <c r="OAN13" s="12"/>
      <c r="OAO13" s="12"/>
      <c r="OAP13" s="12"/>
      <c r="OAQ13" s="12"/>
      <c r="OAR13" s="12"/>
      <c r="OAS13" s="12"/>
      <c r="OAT13" s="12"/>
      <c r="OAU13" s="12"/>
      <c r="OAV13" s="12"/>
      <c r="OAW13" s="12"/>
      <c r="OAX13" s="12"/>
      <c r="OAY13" s="12"/>
      <c r="OAZ13" s="12"/>
      <c r="OBA13" s="12"/>
      <c r="OBB13" s="12"/>
      <c r="OBC13" s="12"/>
      <c r="OBD13" s="12"/>
      <c r="OBE13" s="12"/>
      <c r="OBF13" s="12"/>
      <c r="OBG13" s="12"/>
      <c r="OBH13" s="12"/>
      <c r="OBI13" s="12"/>
      <c r="OBJ13" s="12"/>
      <c r="OBK13" s="12"/>
      <c r="OBL13" s="12"/>
      <c r="OBM13" s="12"/>
      <c r="OBN13" s="12"/>
      <c r="OBO13" s="12"/>
      <c r="OBP13" s="12"/>
      <c r="OBQ13" s="12"/>
      <c r="OBR13" s="12"/>
      <c r="OBS13" s="12"/>
      <c r="OBT13" s="12"/>
      <c r="OBU13" s="12"/>
      <c r="OBV13" s="12"/>
      <c r="OBW13" s="12"/>
      <c r="OBX13" s="12"/>
      <c r="OBY13" s="12"/>
      <c r="OBZ13" s="12"/>
      <c r="OCA13" s="12"/>
      <c r="OCB13" s="12"/>
      <c r="OCC13" s="12"/>
      <c r="OCD13" s="12"/>
      <c r="OCE13" s="12"/>
      <c r="OCF13" s="12"/>
      <c r="OCG13" s="12"/>
      <c r="OCH13" s="12"/>
      <c r="OCI13" s="12"/>
      <c r="OCJ13" s="12"/>
      <c r="OCK13" s="12"/>
      <c r="OCL13" s="12"/>
      <c r="OCM13" s="12"/>
      <c r="OCN13" s="12"/>
      <c r="OCO13" s="12"/>
      <c r="OCP13" s="12"/>
      <c r="OCQ13" s="12"/>
      <c r="OCR13" s="12"/>
      <c r="OCS13" s="12"/>
      <c r="OCT13" s="12"/>
      <c r="OCU13" s="12"/>
      <c r="OCV13" s="12"/>
      <c r="OCW13" s="12"/>
      <c r="OCX13" s="12"/>
      <c r="OCY13" s="12"/>
      <c r="OCZ13" s="12"/>
      <c r="ODA13" s="12"/>
      <c r="ODB13" s="12"/>
      <c r="ODC13" s="12"/>
      <c r="ODD13" s="12"/>
      <c r="ODE13" s="12"/>
      <c r="ODF13" s="12"/>
      <c r="ODG13" s="12"/>
      <c r="ODH13" s="12"/>
      <c r="ODI13" s="12"/>
      <c r="ODJ13" s="12"/>
      <c r="ODK13" s="12"/>
      <c r="ODL13" s="12"/>
      <c r="ODM13" s="12"/>
      <c r="ODN13" s="12"/>
      <c r="ODO13" s="12"/>
      <c r="ODP13" s="12"/>
      <c r="ODQ13" s="12"/>
      <c r="ODR13" s="12"/>
      <c r="ODS13" s="12"/>
      <c r="ODT13" s="12"/>
      <c r="ODU13" s="12"/>
      <c r="ODV13" s="12"/>
      <c r="ODW13" s="12"/>
      <c r="ODX13" s="12"/>
      <c r="ODY13" s="12"/>
      <c r="ODZ13" s="12"/>
      <c r="OEA13" s="12"/>
      <c r="OEB13" s="12"/>
      <c r="OEC13" s="12"/>
      <c r="OED13" s="12"/>
      <c r="OEE13" s="12"/>
      <c r="OEF13" s="12"/>
      <c r="OEG13" s="12"/>
      <c r="OEH13" s="12"/>
      <c r="OEI13" s="12"/>
      <c r="OEJ13" s="12"/>
      <c r="OEK13" s="12"/>
      <c r="OEL13" s="12"/>
      <c r="OEM13" s="12"/>
      <c r="OEN13" s="12"/>
      <c r="OEO13" s="12"/>
      <c r="OEP13" s="12"/>
      <c r="OEQ13" s="12"/>
      <c r="OER13" s="12"/>
      <c r="OES13" s="12"/>
      <c r="OET13" s="12"/>
      <c r="OEU13" s="12"/>
      <c r="OEV13" s="12"/>
      <c r="OEW13" s="12"/>
      <c r="OEX13" s="12"/>
      <c r="OEY13" s="12"/>
      <c r="OEZ13" s="12"/>
      <c r="OFA13" s="12"/>
      <c r="OFB13" s="12"/>
      <c r="OFC13" s="12"/>
      <c r="OFD13" s="12"/>
      <c r="OFE13" s="12"/>
      <c r="OFF13" s="12"/>
      <c r="OFG13" s="12"/>
      <c r="OFH13" s="12"/>
      <c r="OFI13" s="12"/>
      <c r="OFJ13" s="12"/>
      <c r="OFK13" s="12"/>
      <c r="OFL13" s="12"/>
      <c r="OFM13" s="12"/>
      <c r="OFN13" s="12"/>
      <c r="OFO13" s="12"/>
      <c r="OFP13" s="12"/>
      <c r="OFQ13" s="12"/>
      <c r="OFR13" s="12"/>
      <c r="OFS13" s="12"/>
      <c r="OFT13" s="12"/>
      <c r="OFU13" s="12"/>
      <c r="OFV13" s="12"/>
      <c r="OFW13" s="12"/>
      <c r="OFX13" s="12"/>
      <c r="OFY13" s="12"/>
      <c r="OFZ13" s="12"/>
      <c r="OGA13" s="12"/>
      <c r="OGB13" s="12"/>
      <c r="OGC13" s="12"/>
      <c r="OGD13" s="12"/>
      <c r="OGE13" s="12"/>
      <c r="OGF13" s="12"/>
      <c r="OGG13" s="12"/>
      <c r="OGH13" s="12"/>
      <c r="OGI13" s="12"/>
      <c r="OGJ13" s="12"/>
      <c r="OGK13" s="12"/>
      <c r="OGL13" s="12"/>
      <c r="OGM13" s="12"/>
      <c r="OGN13" s="12"/>
      <c r="OGO13" s="12"/>
      <c r="OGP13" s="12"/>
      <c r="OGQ13" s="12"/>
      <c r="OGR13" s="12"/>
      <c r="OGS13" s="12"/>
      <c r="OGT13" s="12"/>
      <c r="OGU13" s="12"/>
      <c r="OGV13" s="12"/>
      <c r="OGW13" s="12"/>
      <c r="OGX13" s="12"/>
      <c r="OGY13" s="12"/>
      <c r="OGZ13" s="12"/>
      <c r="OHA13" s="12"/>
      <c r="OHB13" s="12"/>
      <c r="OHC13" s="12"/>
      <c r="OHD13" s="12"/>
      <c r="OHE13" s="12"/>
      <c r="OHF13" s="12"/>
      <c r="OHG13" s="12"/>
      <c r="OHH13" s="12"/>
      <c r="OHI13" s="12"/>
      <c r="OHJ13" s="12"/>
      <c r="OHK13" s="12"/>
      <c r="OHL13" s="12"/>
      <c r="OHM13" s="12"/>
      <c r="OHN13" s="12"/>
      <c r="OHO13" s="12"/>
      <c r="OHP13" s="12"/>
      <c r="OHQ13" s="12"/>
      <c r="OHR13" s="12"/>
      <c r="OHS13" s="12"/>
      <c r="OHT13" s="12"/>
      <c r="OHU13" s="12"/>
      <c r="OHV13" s="12"/>
      <c r="OHW13" s="12"/>
      <c r="OHX13" s="12"/>
      <c r="OHY13" s="12"/>
      <c r="OHZ13" s="12"/>
      <c r="OIA13" s="12"/>
      <c r="OIB13" s="12"/>
      <c r="OIC13" s="12"/>
      <c r="OID13" s="12"/>
      <c r="OIE13" s="12"/>
      <c r="OIF13" s="12"/>
      <c r="OIG13" s="12"/>
      <c r="OIH13" s="12"/>
      <c r="OII13" s="12"/>
      <c r="OIJ13" s="12"/>
      <c r="OIK13" s="12"/>
      <c r="OIL13" s="12"/>
      <c r="OIM13" s="12"/>
      <c r="OIN13" s="12"/>
      <c r="OIO13" s="12"/>
      <c r="OIP13" s="12"/>
      <c r="OIQ13" s="12"/>
      <c r="OIR13" s="12"/>
      <c r="OIS13" s="12"/>
      <c r="OIT13" s="12"/>
      <c r="OIU13" s="12"/>
      <c r="OIV13" s="12"/>
      <c r="OIW13" s="12"/>
      <c r="OIX13" s="12"/>
      <c r="OIY13" s="12"/>
      <c r="OIZ13" s="12"/>
      <c r="OJA13" s="12"/>
      <c r="OJB13" s="12"/>
      <c r="OJC13" s="12"/>
      <c r="OJD13" s="12"/>
      <c r="OJE13" s="12"/>
      <c r="OJF13" s="12"/>
      <c r="OJG13" s="12"/>
      <c r="OJH13" s="12"/>
      <c r="OJI13" s="12"/>
      <c r="OJJ13" s="12"/>
      <c r="OJK13" s="12"/>
      <c r="OJL13" s="12"/>
      <c r="OJM13" s="12"/>
      <c r="OJN13" s="12"/>
      <c r="OJO13" s="12"/>
      <c r="OJP13" s="12"/>
      <c r="OJQ13" s="12"/>
      <c r="OJR13" s="12"/>
      <c r="OJS13" s="12"/>
      <c r="OJT13" s="12"/>
      <c r="OJU13" s="12"/>
      <c r="OJV13" s="12"/>
      <c r="OJW13" s="12"/>
      <c r="OJX13" s="12"/>
      <c r="OJY13" s="12"/>
      <c r="OJZ13" s="12"/>
      <c r="OKA13" s="12"/>
      <c r="OKB13" s="12"/>
      <c r="OKC13" s="12"/>
      <c r="OKD13" s="12"/>
      <c r="OKE13" s="12"/>
      <c r="OKF13" s="12"/>
      <c r="OKG13" s="12"/>
      <c r="OKH13" s="12"/>
      <c r="OKI13" s="12"/>
      <c r="OKJ13" s="12"/>
      <c r="OKK13" s="12"/>
      <c r="OKL13" s="12"/>
      <c r="OKM13" s="12"/>
      <c r="OKN13" s="12"/>
      <c r="OKO13" s="12"/>
      <c r="OKP13" s="12"/>
      <c r="OKQ13" s="12"/>
      <c r="OKR13" s="12"/>
      <c r="OKS13" s="12"/>
      <c r="OKT13" s="12"/>
      <c r="OKU13" s="12"/>
      <c r="OKV13" s="12"/>
      <c r="OKW13" s="12"/>
      <c r="OKX13" s="12"/>
      <c r="OKY13" s="12"/>
      <c r="OKZ13" s="12"/>
      <c r="OLA13" s="12"/>
      <c r="OLB13" s="12"/>
      <c r="OLC13" s="12"/>
      <c r="OLD13" s="12"/>
      <c r="OLE13" s="12"/>
      <c r="OLF13" s="12"/>
      <c r="OLG13" s="12"/>
      <c r="OLH13" s="12"/>
      <c r="OLI13" s="12"/>
      <c r="OLJ13" s="12"/>
      <c r="OLK13" s="12"/>
      <c r="OLL13" s="12"/>
      <c r="OLM13" s="12"/>
      <c r="OLN13" s="12"/>
      <c r="OLO13" s="12"/>
      <c r="OLP13" s="12"/>
      <c r="OLQ13" s="12"/>
      <c r="OLR13" s="12"/>
      <c r="OLS13" s="12"/>
      <c r="OLT13" s="12"/>
      <c r="OLU13" s="12"/>
      <c r="OLV13" s="12"/>
      <c r="OLW13" s="12"/>
      <c r="OLX13" s="12"/>
      <c r="OLY13" s="12"/>
      <c r="OLZ13" s="12"/>
      <c r="OMA13" s="12"/>
      <c r="OMB13" s="12"/>
      <c r="OMC13" s="12"/>
      <c r="OMD13" s="12"/>
      <c r="OME13" s="12"/>
      <c r="OMF13" s="12"/>
      <c r="OMG13" s="12"/>
      <c r="OMH13" s="12"/>
      <c r="OMI13" s="12"/>
      <c r="OMJ13" s="12"/>
      <c r="OMK13" s="12"/>
      <c r="OML13" s="12"/>
      <c r="OMM13" s="12"/>
      <c r="OMN13" s="12"/>
      <c r="OMO13" s="12"/>
      <c r="OMP13" s="12"/>
      <c r="OMQ13" s="12"/>
      <c r="OMR13" s="12"/>
      <c r="OMS13" s="12"/>
      <c r="OMT13" s="12"/>
      <c r="OMU13" s="12"/>
      <c r="OMV13" s="12"/>
      <c r="OMW13" s="12"/>
      <c r="OMX13" s="12"/>
      <c r="OMY13" s="12"/>
      <c r="OMZ13" s="12"/>
      <c r="ONA13" s="12"/>
      <c r="ONB13" s="12"/>
      <c r="ONC13" s="12"/>
      <c r="OND13" s="12"/>
      <c r="ONE13" s="12"/>
      <c r="ONF13" s="12"/>
      <c r="ONG13" s="12"/>
      <c r="ONH13" s="12"/>
      <c r="ONI13" s="12"/>
      <c r="ONJ13" s="12"/>
      <c r="ONK13" s="12"/>
      <c r="ONL13" s="12"/>
      <c r="ONM13" s="12"/>
      <c r="ONN13" s="12"/>
      <c r="ONO13" s="12"/>
      <c r="ONP13" s="12"/>
      <c r="ONQ13" s="12"/>
      <c r="ONR13" s="12"/>
      <c r="ONS13" s="12"/>
      <c r="ONT13" s="12"/>
      <c r="ONU13" s="12"/>
      <c r="ONV13" s="12"/>
      <c r="ONW13" s="12"/>
      <c r="ONX13" s="12"/>
      <c r="ONY13" s="12"/>
      <c r="ONZ13" s="12"/>
      <c r="OOA13" s="12"/>
      <c r="OOB13" s="12"/>
      <c r="OOC13" s="12"/>
      <c r="OOD13" s="12"/>
      <c r="OOE13" s="12"/>
      <c r="OOF13" s="12"/>
      <c r="OOG13" s="12"/>
      <c r="OOH13" s="12"/>
      <c r="OOI13" s="12"/>
      <c r="OOJ13" s="12"/>
      <c r="OOK13" s="12"/>
      <c r="OOL13" s="12"/>
      <c r="OOM13" s="12"/>
      <c r="OON13" s="12"/>
      <c r="OOO13" s="12"/>
      <c r="OOP13" s="12"/>
      <c r="OOQ13" s="12"/>
      <c r="OOR13" s="12"/>
      <c r="OOS13" s="12"/>
      <c r="OOT13" s="12"/>
      <c r="OOU13" s="12"/>
      <c r="OOV13" s="12"/>
      <c r="OOW13" s="12"/>
      <c r="OOX13" s="12"/>
      <c r="OOY13" s="12"/>
      <c r="OOZ13" s="12"/>
      <c r="OPA13" s="12"/>
      <c r="OPB13" s="12"/>
      <c r="OPC13" s="12"/>
      <c r="OPD13" s="12"/>
      <c r="OPE13" s="12"/>
      <c r="OPF13" s="12"/>
      <c r="OPG13" s="12"/>
      <c r="OPH13" s="12"/>
      <c r="OPI13" s="12"/>
      <c r="OPJ13" s="12"/>
      <c r="OPK13" s="12"/>
      <c r="OPL13" s="12"/>
      <c r="OPM13" s="12"/>
      <c r="OPN13" s="12"/>
      <c r="OPO13" s="12"/>
      <c r="OPP13" s="12"/>
      <c r="OPQ13" s="12"/>
      <c r="OPR13" s="12"/>
      <c r="OPS13" s="12"/>
      <c r="OPT13" s="12"/>
      <c r="OPU13" s="12"/>
      <c r="OPV13" s="12"/>
      <c r="OPW13" s="12"/>
      <c r="OPX13" s="12"/>
      <c r="OPY13" s="12"/>
      <c r="OPZ13" s="12"/>
      <c r="OQA13" s="12"/>
      <c r="OQB13" s="12"/>
      <c r="OQC13" s="12"/>
      <c r="OQD13" s="12"/>
      <c r="OQE13" s="12"/>
      <c r="OQF13" s="12"/>
      <c r="OQG13" s="12"/>
      <c r="OQH13" s="12"/>
      <c r="OQI13" s="12"/>
      <c r="OQJ13" s="12"/>
      <c r="OQK13" s="12"/>
      <c r="OQL13" s="12"/>
      <c r="OQM13" s="12"/>
      <c r="OQN13" s="12"/>
      <c r="OQO13" s="12"/>
      <c r="OQP13" s="12"/>
      <c r="OQQ13" s="12"/>
      <c r="OQR13" s="12"/>
      <c r="OQS13" s="12"/>
      <c r="OQT13" s="12"/>
      <c r="OQU13" s="12"/>
      <c r="OQV13" s="12"/>
      <c r="OQW13" s="12"/>
      <c r="OQX13" s="12"/>
      <c r="OQY13" s="12"/>
      <c r="OQZ13" s="12"/>
      <c r="ORA13" s="12"/>
      <c r="ORB13" s="12"/>
      <c r="ORC13" s="12"/>
      <c r="ORD13" s="12"/>
      <c r="ORE13" s="12"/>
      <c r="ORF13" s="12"/>
      <c r="ORG13" s="12"/>
      <c r="ORH13" s="12"/>
      <c r="ORI13" s="12"/>
      <c r="ORJ13" s="12"/>
      <c r="ORK13" s="12"/>
      <c r="ORL13" s="12"/>
      <c r="ORM13" s="12"/>
      <c r="ORN13" s="12"/>
      <c r="ORO13" s="12"/>
      <c r="ORP13" s="12"/>
      <c r="ORQ13" s="12"/>
      <c r="ORR13" s="12"/>
      <c r="ORS13" s="12"/>
      <c r="ORT13" s="12"/>
      <c r="ORU13" s="12"/>
      <c r="ORV13" s="12"/>
      <c r="ORW13" s="12"/>
      <c r="ORX13" s="12"/>
      <c r="ORY13" s="12"/>
      <c r="ORZ13" s="12"/>
      <c r="OSA13" s="12"/>
      <c r="OSB13" s="12"/>
      <c r="OSC13" s="12"/>
      <c r="OSD13" s="12"/>
      <c r="OSE13" s="12"/>
      <c r="OSF13" s="12"/>
      <c r="OSG13" s="12"/>
      <c r="OSH13" s="12"/>
      <c r="OSI13" s="12"/>
      <c r="OSJ13" s="12"/>
      <c r="OSK13" s="12"/>
      <c r="OSL13" s="12"/>
      <c r="OSM13" s="12"/>
      <c r="OSN13" s="12"/>
      <c r="OSO13" s="12"/>
      <c r="OSP13" s="12"/>
      <c r="OSQ13" s="12"/>
      <c r="OSR13" s="12"/>
      <c r="OSS13" s="12"/>
      <c r="OST13" s="12"/>
      <c r="OSU13" s="12"/>
      <c r="OSV13" s="12"/>
      <c r="OSW13" s="12"/>
      <c r="OSX13" s="12"/>
      <c r="OSY13" s="12"/>
      <c r="OSZ13" s="12"/>
      <c r="OTA13" s="12"/>
      <c r="OTB13" s="12"/>
      <c r="OTC13" s="12"/>
      <c r="OTD13" s="12"/>
      <c r="OTE13" s="12"/>
      <c r="OTF13" s="12"/>
      <c r="OTG13" s="12"/>
      <c r="OTH13" s="12"/>
      <c r="OTI13" s="12"/>
      <c r="OTJ13" s="12"/>
      <c r="OTK13" s="12"/>
      <c r="OTL13" s="12"/>
      <c r="OTM13" s="12"/>
      <c r="OTN13" s="12"/>
      <c r="OTO13" s="12"/>
      <c r="OTP13" s="12"/>
      <c r="OTQ13" s="12"/>
      <c r="OTR13" s="12"/>
      <c r="OTS13" s="12"/>
      <c r="OTT13" s="12"/>
      <c r="OTU13" s="12"/>
      <c r="OTV13" s="12"/>
      <c r="OTW13" s="12"/>
      <c r="OTX13" s="12"/>
      <c r="OTY13" s="12"/>
      <c r="OTZ13" s="12"/>
      <c r="OUA13" s="12"/>
      <c r="OUB13" s="12"/>
      <c r="OUC13" s="12"/>
      <c r="OUD13" s="12"/>
      <c r="OUE13" s="12"/>
      <c r="OUF13" s="12"/>
      <c r="OUG13" s="12"/>
      <c r="OUH13" s="12"/>
      <c r="OUI13" s="12"/>
      <c r="OUJ13" s="12"/>
      <c r="OUK13" s="12"/>
      <c r="OUL13" s="12"/>
      <c r="OUM13" s="12"/>
      <c r="OUN13" s="12"/>
      <c r="OUO13" s="12"/>
      <c r="OUP13" s="12"/>
      <c r="OUQ13" s="12"/>
      <c r="OUR13" s="12"/>
      <c r="OUS13" s="12"/>
      <c r="OUT13" s="12"/>
      <c r="OUU13" s="12"/>
      <c r="OUV13" s="12"/>
      <c r="OUW13" s="12"/>
      <c r="OUX13" s="12"/>
      <c r="OUY13" s="12"/>
      <c r="OUZ13" s="12"/>
      <c r="OVA13" s="12"/>
      <c r="OVB13" s="12"/>
      <c r="OVC13" s="12"/>
      <c r="OVD13" s="12"/>
      <c r="OVE13" s="12"/>
      <c r="OVF13" s="12"/>
      <c r="OVG13" s="12"/>
      <c r="OVH13" s="12"/>
      <c r="OVI13" s="12"/>
      <c r="OVJ13" s="12"/>
      <c r="OVK13" s="12"/>
      <c r="OVL13" s="12"/>
      <c r="OVM13" s="12"/>
      <c r="OVN13" s="12"/>
      <c r="OVO13" s="12"/>
      <c r="OVP13" s="12"/>
      <c r="OVQ13" s="12"/>
      <c r="OVR13" s="12"/>
      <c r="OVS13" s="12"/>
      <c r="OVT13" s="12"/>
      <c r="OVU13" s="12"/>
      <c r="OVV13" s="12"/>
      <c r="OVW13" s="12"/>
      <c r="OVX13" s="12"/>
      <c r="OVY13" s="12"/>
      <c r="OVZ13" s="12"/>
      <c r="OWA13" s="12"/>
      <c r="OWB13" s="12"/>
      <c r="OWC13" s="12"/>
      <c r="OWD13" s="12"/>
      <c r="OWE13" s="12"/>
      <c r="OWF13" s="12"/>
      <c r="OWG13" s="12"/>
      <c r="OWH13" s="12"/>
      <c r="OWI13" s="12"/>
      <c r="OWJ13" s="12"/>
      <c r="OWK13" s="12"/>
      <c r="OWL13" s="12"/>
      <c r="OWM13" s="12"/>
      <c r="OWN13" s="12"/>
      <c r="OWO13" s="12"/>
      <c r="OWP13" s="12"/>
      <c r="OWQ13" s="12"/>
      <c r="OWR13" s="12"/>
      <c r="OWS13" s="12"/>
      <c r="OWT13" s="12"/>
      <c r="OWU13" s="12"/>
      <c r="OWV13" s="12"/>
      <c r="OWW13" s="12"/>
      <c r="OWX13" s="12"/>
      <c r="OWY13" s="12"/>
      <c r="OWZ13" s="12"/>
      <c r="OXA13" s="12"/>
      <c r="OXB13" s="12"/>
      <c r="OXC13" s="12"/>
      <c r="OXD13" s="12"/>
      <c r="OXE13" s="12"/>
      <c r="OXF13" s="12"/>
      <c r="OXG13" s="12"/>
      <c r="OXH13" s="12"/>
      <c r="OXI13" s="12"/>
      <c r="OXJ13" s="12"/>
      <c r="OXK13" s="12"/>
      <c r="OXL13" s="12"/>
      <c r="OXM13" s="12"/>
      <c r="OXN13" s="12"/>
      <c r="OXO13" s="12"/>
      <c r="OXP13" s="12"/>
      <c r="OXQ13" s="12"/>
      <c r="OXR13" s="12"/>
      <c r="OXS13" s="12"/>
      <c r="OXT13" s="12"/>
      <c r="OXU13" s="12"/>
      <c r="OXV13" s="12"/>
      <c r="OXW13" s="12"/>
      <c r="OXX13" s="12"/>
      <c r="OXY13" s="12"/>
      <c r="OXZ13" s="12"/>
      <c r="OYA13" s="12"/>
      <c r="OYB13" s="12"/>
      <c r="OYC13" s="12"/>
      <c r="OYD13" s="12"/>
      <c r="OYE13" s="12"/>
      <c r="OYF13" s="12"/>
      <c r="OYG13" s="12"/>
      <c r="OYH13" s="12"/>
      <c r="OYI13" s="12"/>
      <c r="OYJ13" s="12"/>
      <c r="OYK13" s="12"/>
      <c r="OYL13" s="12"/>
      <c r="OYM13" s="12"/>
      <c r="OYN13" s="12"/>
      <c r="OYO13" s="12"/>
      <c r="OYP13" s="12"/>
      <c r="OYQ13" s="12"/>
      <c r="OYR13" s="12"/>
      <c r="OYS13" s="12"/>
      <c r="OYT13" s="12"/>
      <c r="OYU13" s="12"/>
      <c r="OYV13" s="12"/>
      <c r="OYW13" s="12"/>
      <c r="OYX13" s="12"/>
      <c r="OYY13" s="12"/>
      <c r="OYZ13" s="12"/>
      <c r="OZA13" s="12"/>
      <c r="OZB13" s="12"/>
      <c r="OZC13" s="12"/>
      <c r="OZD13" s="12"/>
      <c r="OZE13" s="12"/>
      <c r="OZF13" s="12"/>
      <c r="OZG13" s="12"/>
      <c r="OZH13" s="12"/>
      <c r="OZI13" s="12"/>
      <c r="OZJ13" s="12"/>
      <c r="OZK13" s="12"/>
      <c r="OZL13" s="12"/>
      <c r="OZM13" s="12"/>
      <c r="OZN13" s="12"/>
      <c r="OZO13" s="12"/>
      <c r="OZP13" s="12"/>
      <c r="OZQ13" s="12"/>
      <c r="OZR13" s="12"/>
      <c r="OZS13" s="12"/>
      <c r="OZT13" s="12"/>
      <c r="OZU13" s="12"/>
      <c r="OZV13" s="12"/>
      <c r="OZW13" s="12"/>
      <c r="OZX13" s="12"/>
      <c r="OZY13" s="12"/>
      <c r="OZZ13" s="12"/>
      <c r="PAA13" s="12"/>
      <c r="PAB13" s="12"/>
      <c r="PAC13" s="12"/>
      <c r="PAD13" s="12"/>
      <c r="PAE13" s="12"/>
      <c r="PAF13" s="12"/>
      <c r="PAG13" s="12"/>
      <c r="PAH13" s="12"/>
      <c r="PAI13" s="12"/>
      <c r="PAJ13" s="12"/>
      <c r="PAK13" s="12"/>
      <c r="PAL13" s="12"/>
      <c r="PAM13" s="12"/>
      <c r="PAN13" s="12"/>
      <c r="PAO13" s="12"/>
      <c r="PAP13" s="12"/>
      <c r="PAQ13" s="12"/>
      <c r="PAR13" s="12"/>
      <c r="PAS13" s="12"/>
      <c r="PAT13" s="12"/>
      <c r="PAU13" s="12"/>
      <c r="PAV13" s="12"/>
      <c r="PAW13" s="12"/>
      <c r="PAX13" s="12"/>
      <c r="PAY13" s="12"/>
      <c r="PAZ13" s="12"/>
      <c r="PBA13" s="12"/>
      <c r="PBB13" s="12"/>
      <c r="PBC13" s="12"/>
      <c r="PBD13" s="12"/>
      <c r="PBE13" s="12"/>
      <c r="PBF13" s="12"/>
      <c r="PBG13" s="12"/>
      <c r="PBH13" s="12"/>
      <c r="PBI13" s="12"/>
      <c r="PBJ13" s="12"/>
      <c r="PBK13" s="12"/>
      <c r="PBL13" s="12"/>
      <c r="PBM13" s="12"/>
      <c r="PBN13" s="12"/>
      <c r="PBO13" s="12"/>
      <c r="PBP13" s="12"/>
      <c r="PBQ13" s="12"/>
      <c r="PBR13" s="12"/>
      <c r="PBS13" s="12"/>
      <c r="PBT13" s="12"/>
      <c r="PBU13" s="12"/>
      <c r="PBV13" s="12"/>
      <c r="PBW13" s="12"/>
      <c r="PBX13" s="12"/>
      <c r="PBY13" s="12"/>
      <c r="PBZ13" s="12"/>
      <c r="PCA13" s="12"/>
      <c r="PCB13" s="12"/>
      <c r="PCC13" s="12"/>
      <c r="PCD13" s="12"/>
      <c r="PCE13" s="12"/>
      <c r="PCF13" s="12"/>
      <c r="PCG13" s="12"/>
      <c r="PCH13" s="12"/>
      <c r="PCI13" s="12"/>
      <c r="PCJ13" s="12"/>
      <c r="PCK13" s="12"/>
      <c r="PCL13" s="12"/>
      <c r="PCM13" s="12"/>
      <c r="PCN13" s="12"/>
      <c r="PCO13" s="12"/>
      <c r="PCP13" s="12"/>
      <c r="PCQ13" s="12"/>
      <c r="PCR13" s="12"/>
      <c r="PCS13" s="12"/>
      <c r="PCT13" s="12"/>
      <c r="PCU13" s="12"/>
      <c r="PCV13" s="12"/>
      <c r="PCW13" s="12"/>
      <c r="PCX13" s="12"/>
      <c r="PCY13" s="12"/>
      <c r="PCZ13" s="12"/>
      <c r="PDA13" s="12"/>
      <c r="PDB13" s="12"/>
      <c r="PDC13" s="12"/>
      <c r="PDD13" s="12"/>
      <c r="PDE13" s="12"/>
      <c r="PDF13" s="12"/>
      <c r="PDG13" s="12"/>
      <c r="PDH13" s="12"/>
      <c r="PDI13" s="12"/>
      <c r="PDJ13" s="12"/>
      <c r="PDK13" s="12"/>
      <c r="PDL13" s="12"/>
      <c r="PDM13" s="12"/>
      <c r="PDN13" s="12"/>
      <c r="PDO13" s="12"/>
      <c r="PDP13" s="12"/>
      <c r="PDQ13" s="12"/>
      <c r="PDR13" s="12"/>
      <c r="PDS13" s="12"/>
      <c r="PDT13" s="12"/>
      <c r="PDU13" s="12"/>
      <c r="PDV13" s="12"/>
      <c r="PDW13" s="12"/>
      <c r="PDX13" s="12"/>
      <c r="PDY13" s="12"/>
      <c r="PDZ13" s="12"/>
      <c r="PEA13" s="12"/>
      <c r="PEB13" s="12"/>
      <c r="PEC13" s="12"/>
      <c r="PED13" s="12"/>
      <c r="PEE13" s="12"/>
      <c r="PEF13" s="12"/>
      <c r="PEG13" s="12"/>
      <c r="PEH13" s="12"/>
      <c r="PEI13" s="12"/>
      <c r="PEJ13" s="12"/>
      <c r="PEK13" s="12"/>
      <c r="PEL13" s="12"/>
      <c r="PEM13" s="12"/>
      <c r="PEN13" s="12"/>
      <c r="PEO13" s="12"/>
      <c r="PEP13" s="12"/>
      <c r="PEQ13" s="12"/>
      <c r="PER13" s="12"/>
      <c r="PES13" s="12"/>
      <c r="PET13" s="12"/>
      <c r="PEU13" s="12"/>
      <c r="PEV13" s="12"/>
      <c r="PEW13" s="12"/>
      <c r="PEX13" s="12"/>
      <c r="PEY13" s="12"/>
      <c r="PEZ13" s="12"/>
      <c r="PFA13" s="12"/>
      <c r="PFB13" s="12"/>
      <c r="PFC13" s="12"/>
      <c r="PFD13" s="12"/>
      <c r="PFE13" s="12"/>
      <c r="PFF13" s="12"/>
      <c r="PFG13" s="12"/>
      <c r="PFH13" s="12"/>
      <c r="PFI13" s="12"/>
      <c r="PFJ13" s="12"/>
      <c r="PFK13" s="12"/>
      <c r="PFL13" s="12"/>
      <c r="PFM13" s="12"/>
      <c r="PFN13" s="12"/>
      <c r="PFO13" s="12"/>
      <c r="PFP13" s="12"/>
      <c r="PFQ13" s="12"/>
      <c r="PFR13" s="12"/>
      <c r="PFS13" s="12"/>
      <c r="PFT13" s="12"/>
      <c r="PFU13" s="12"/>
      <c r="PFV13" s="12"/>
      <c r="PFW13" s="12"/>
      <c r="PFX13" s="12"/>
      <c r="PFY13" s="12"/>
      <c r="PFZ13" s="12"/>
      <c r="PGA13" s="12"/>
      <c r="PGB13" s="12"/>
      <c r="PGC13" s="12"/>
      <c r="PGD13" s="12"/>
      <c r="PGE13" s="12"/>
      <c r="PGF13" s="12"/>
      <c r="PGG13" s="12"/>
      <c r="PGH13" s="12"/>
      <c r="PGI13" s="12"/>
      <c r="PGJ13" s="12"/>
      <c r="PGK13" s="12"/>
      <c r="PGL13" s="12"/>
      <c r="PGM13" s="12"/>
      <c r="PGN13" s="12"/>
      <c r="PGO13" s="12"/>
      <c r="PGP13" s="12"/>
      <c r="PGQ13" s="12"/>
      <c r="PGR13" s="12"/>
      <c r="PGS13" s="12"/>
      <c r="PGT13" s="12"/>
      <c r="PGU13" s="12"/>
      <c r="PGV13" s="12"/>
      <c r="PGW13" s="12"/>
      <c r="PGX13" s="12"/>
      <c r="PGY13" s="12"/>
      <c r="PGZ13" s="12"/>
      <c r="PHA13" s="12"/>
      <c r="PHB13" s="12"/>
      <c r="PHC13" s="12"/>
      <c r="PHD13" s="12"/>
      <c r="PHE13" s="12"/>
      <c r="PHF13" s="12"/>
      <c r="PHG13" s="12"/>
      <c r="PHH13" s="12"/>
      <c r="PHI13" s="12"/>
      <c r="PHJ13" s="12"/>
      <c r="PHK13" s="12"/>
      <c r="PHL13" s="12"/>
      <c r="PHM13" s="12"/>
      <c r="PHN13" s="12"/>
      <c r="PHO13" s="12"/>
      <c r="PHP13" s="12"/>
      <c r="PHQ13" s="12"/>
      <c r="PHR13" s="12"/>
      <c r="PHS13" s="12"/>
      <c r="PHT13" s="12"/>
      <c r="PHU13" s="12"/>
      <c r="PHV13" s="12"/>
      <c r="PHW13" s="12"/>
      <c r="PHX13" s="12"/>
      <c r="PHY13" s="12"/>
      <c r="PHZ13" s="12"/>
      <c r="PIA13" s="12"/>
      <c r="PIB13" s="12"/>
      <c r="PIC13" s="12"/>
      <c r="PID13" s="12"/>
      <c r="PIE13" s="12"/>
      <c r="PIF13" s="12"/>
      <c r="PIG13" s="12"/>
      <c r="PIH13" s="12"/>
      <c r="PII13" s="12"/>
      <c r="PIJ13" s="12"/>
      <c r="PIK13" s="12"/>
      <c r="PIL13" s="12"/>
      <c r="PIM13" s="12"/>
      <c r="PIN13" s="12"/>
      <c r="PIO13" s="12"/>
      <c r="PIP13" s="12"/>
      <c r="PIQ13" s="12"/>
      <c r="PIR13" s="12"/>
      <c r="PIS13" s="12"/>
      <c r="PIT13" s="12"/>
      <c r="PIU13" s="12"/>
      <c r="PIV13" s="12"/>
      <c r="PIW13" s="12"/>
      <c r="PIX13" s="12"/>
      <c r="PIY13" s="12"/>
      <c r="PIZ13" s="12"/>
      <c r="PJA13" s="12"/>
      <c r="PJB13" s="12"/>
      <c r="PJC13" s="12"/>
      <c r="PJD13" s="12"/>
      <c r="PJE13" s="12"/>
      <c r="PJF13" s="12"/>
      <c r="PJG13" s="12"/>
      <c r="PJH13" s="12"/>
      <c r="PJI13" s="12"/>
      <c r="PJJ13" s="12"/>
      <c r="PJK13" s="12"/>
      <c r="PJL13" s="12"/>
      <c r="PJM13" s="12"/>
      <c r="PJN13" s="12"/>
      <c r="PJO13" s="12"/>
      <c r="PJP13" s="12"/>
      <c r="PJQ13" s="12"/>
      <c r="PJR13" s="12"/>
      <c r="PJS13" s="12"/>
      <c r="PJT13" s="12"/>
      <c r="PJU13" s="12"/>
      <c r="PJV13" s="12"/>
      <c r="PJW13" s="12"/>
      <c r="PJX13" s="12"/>
      <c r="PJY13" s="12"/>
      <c r="PJZ13" s="12"/>
      <c r="PKA13" s="12"/>
      <c r="PKB13" s="12"/>
      <c r="PKC13" s="12"/>
      <c r="PKD13" s="12"/>
      <c r="PKE13" s="12"/>
      <c r="PKF13" s="12"/>
      <c r="PKG13" s="12"/>
      <c r="PKH13" s="12"/>
      <c r="PKI13" s="12"/>
      <c r="PKJ13" s="12"/>
      <c r="PKK13" s="12"/>
      <c r="PKL13" s="12"/>
      <c r="PKM13" s="12"/>
      <c r="PKN13" s="12"/>
      <c r="PKO13" s="12"/>
      <c r="PKP13" s="12"/>
      <c r="PKQ13" s="12"/>
      <c r="PKR13" s="12"/>
      <c r="PKS13" s="12"/>
      <c r="PKT13" s="12"/>
      <c r="PKU13" s="12"/>
      <c r="PKV13" s="12"/>
      <c r="PKW13" s="12"/>
      <c r="PKX13" s="12"/>
      <c r="PKY13" s="12"/>
      <c r="PKZ13" s="12"/>
      <c r="PLA13" s="12"/>
      <c r="PLB13" s="12"/>
      <c r="PLC13" s="12"/>
      <c r="PLD13" s="12"/>
      <c r="PLE13" s="12"/>
      <c r="PLF13" s="12"/>
      <c r="PLG13" s="12"/>
      <c r="PLH13" s="12"/>
      <c r="PLI13" s="12"/>
      <c r="PLJ13" s="12"/>
      <c r="PLK13" s="12"/>
      <c r="PLL13" s="12"/>
      <c r="PLM13" s="12"/>
      <c r="PLN13" s="12"/>
      <c r="PLO13" s="12"/>
      <c r="PLP13" s="12"/>
      <c r="PLQ13" s="12"/>
      <c r="PLR13" s="12"/>
      <c r="PLS13" s="12"/>
      <c r="PLT13" s="12"/>
      <c r="PLU13" s="12"/>
      <c r="PLV13" s="12"/>
      <c r="PLW13" s="12"/>
      <c r="PLX13" s="12"/>
      <c r="PLY13" s="12"/>
      <c r="PLZ13" s="12"/>
      <c r="PMA13" s="12"/>
      <c r="PMB13" s="12"/>
      <c r="PMC13" s="12"/>
      <c r="PMD13" s="12"/>
      <c r="PME13" s="12"/>
      <c r="PMF13" s="12"/>
      <c r="PMG13" s="12"/>
      <c r="PMH13" s="12"/>
      <c r="PMI13" s="12"/>
      <c r="PMJ13" s="12"/>
      <c r="PMK13" s="12"/>
      <c r="PML13" s="12"/>
      <c r="PMM13" s="12"/>
      <c r="PMN13" s="12"/>
      <c r="PMO13" s="12"/>
      <c r="PMP13" s="12"/>
      <c r="PMQ13" s="12"/>
      <c r="PMR13" s="12"/>
      <c r="PMS13" s="12"/>
      <c r="PMT13" s="12"/>
      <c r="PMU13" s="12"/>
      <c r="PMV13" s="12"/>
      <c r="PMW13" s="12"/>
      <c r="PMX13" s="12"/>
      <c r="PMY13" s="12"/>
      <c r="PMZ13" s="12"/>
      <c r="PNA13" s="12"/>
      <c r="PNB13" s="12"/>
      <c r="PNC13" s="12"/>
      <c r="PND13" s="12"/>
      <c r="PNE13" s="12"/>
      <c r="PNF13" s="12"/>
      <c r="PNG13" s="12"/>
      <c r="PNH13" s="12"/>
      <c r="PNI13" s="12"/>
      <c r="PNJ13" s="12"/>
      <c r="PNK13" s="12"/>
      <c r="PNL13" s="12"/>
      <c r="PNM13" s="12"/>
      <c r="PNN13" s="12"/>
      <c r="PNO13" s="12"/>
      <c r="PNP13" s="12"/>
      <c r="PNQ13" s="12"/>
      <c r="PNR13" s="12"/>
      <c r="PNS13" s="12"/>
      <c r="PNT13" s="12"/>
      <c r="PNU13" s="12"/>
      <c r="PNV13" s="12"/>
      <c r="PNW13" s="12"/>
      <c r="PNX13" s="12"/>
      <c r="PNY13" s="12"/>
      <c r="PNZ13" s="12"/>
      <c r="POA13" s="12"/>
      <c r="POB13" s="12"/>
      <c r="POC13" s="12"/>
      <c r="POD13" s="12"/>
      <c r="POE13" s="12"/>
      <c r="POF13" s="12"/>
      <c r="POG13" s="12"/>
      <c r="POH13" s="12"/>
      <c r="POI13" s="12"/>
      <c r="POJ13" s="12"/>
      <c r="POK13" s="12"/>
      <c r="POL13" s="12"/>
      <c r="POM13" s="12"/>
      <c r="PON13" s="12"/>
      <c r="POO13" s="12"/>
      <c r="POP13" s="12"/>
      <c r="POQ13" s="12"/>
      <c r="POR13" s="12"/>
      <c r="POS13" s="12"/>
      <c r="POT13" s="12"/>
      <c r="POU13" s="12"/>
      <c r="POV13" s="12"/>
      <c r="POW13" s="12"/>
      <c r="POX13" s="12"/>
      <c r="POY13" s="12"/>
      <c r="POZ13" s="12"/>
      <c r="PPA13" s="12"/>
      <c r="PPB13" s="12"/>
      <c r="PPC13" s="12"/>
      <c r="PPD13" s="12"/>
      <c r="PPE13" s="12"/>
      <c r="PPF13" s="12"/>
      <c r="PPG13" s="12"/>
      <c r="PPH13" s="12"/>
      <c r="PPI13" s="12"/>
      <c r="PPJ13" s="12"/>
      <c r="PPK13" s="12"/>
      <c r="PPL13" s="12"/>
      <c r="PPM13" s="12"/>
      <c r="PPN13" s="12"/>
      <c r="PPO13" s="12"/>
      <c r="PPP13" s="12"/>
      <c r="PPQ13" s="12"/>
      <c r="PPR13" s="12"/>
      <c r="PPS13" s="12"/>
      <c r="PPT13" s="12"/>
      <c r="PPU13" s="12"/>
      <c r="PPV13" s="12"/>
      <c r="PPW13" s="12"/>
      <c r="PPX13" s="12"/>
      <c r="PPY13" s="12"/>
      <c r="PPZ13" s="12"/>
      <c r="PQA13" s="12"/>
      <c r="PQB13" s="12"/>
      <c r="PQC13" s="12"/>
      <c r="PQD13" s="12"/>
      <c r="PQE13" s="12"/>
      <c r="PQF13" s="12"/>
      <c r="PQG13" s="12"/>
      <c r="PQH13" s="12"/>
      <c r="PQI13" s="12"/>
      <c r="PQJ13" s="12"/>
      <c r="PQK13" s="12"/>
      <c r="PQL13" s="12"/>
      <c r="PQM13" s="12"/>
      <c r="PQN13" s="12"/>
      <c r="PQO13" s="12"/>
      <c r="PQP13" s="12"/>
      <c r="PQQ13" s="12"/>
      <c r="PQR13" s="12"/>
      <c r="PQS13" s="12"/>
      <c r="PQT13" s="12"/>
      <c r="PQU13" s="12"/>
      <c r="PQV13" s="12"/>
      <c r="PQW13" s="12"/>
      <c r="PQX13" s="12"/>
      <c r="PQY13" s="12"/>
      <c r="PQZ13" s="12"/>
      <c r="PRA13" s="12"/>
      <c r="PRB13" s="12"/>
      <c r="PRC13" s="12"/>
      <c r="PRD13" s="12"/>
      <c r="PRE13" s="12"/>
      <c r="PRF13" s="12"/>
      <c r="PRG13" s="12"/>
      <c r="PRH13" s="12"/>
      <c r="PRI13" s="12"/>
      <c r="PRJ13" s="12"/>
      <c r="PRK13" s="12"/>
      <c r="PRL13" s="12"/>
      <c r="PRM13" s="12"/>
      <c r="PRN13" s="12"/>
      <c r="PRO13" s="12"/>
      <c r="PRP13" s="12"/>
      <c r="PRQ13" s="12"/>
      <c r="PRR13" s="12"/>
      <c r="PRS13" s="12"/>
      <c r="PRT13" s="12"/>
      <c r="PRU13" s="12"/>
      <c r="PRV13" s="12"/>
      <c r="PRW13" s="12"/>
      <c r="PRX13" s="12"/>
      <c r="PRY13" s="12"/>
      <c r="PRZ13" s="12"/>
      <c r="PSA13" s="12"/>
      <c r="PSB13" s="12"/>
      <c r="PSC13" s="12"/>
      <c r="PSD13" s="12"/>
      <c r="PSE13" s="12"/>
      <c r="PSF13" s="12"/>
      <c r="PSG13" s="12"/>
      <c r="PSH13" s="12"/>
      <c r="PSI13" s="12"/>
      <c r="PSJ13" s="12"/>
      <c r="PSK13" s="12"/>
      <c r="PSL13" s="12"/>
      <c r="PSM13" s="12"/>
      <c r="PSN13" s="12"/>
      <c r="PSO13" s="12"/>
      <c r="PSP13" s="12"/>
      <c r="PSQ13" s="12"/>
      <c r="PSR13" s="12"/>
      <c r="PSS13" s="12"/>
      <c r="PST13" s="12"/>
      <c r="PSU13" s="12"/>
      <c r="PSV13" s="12"/>
      <c r="PSW13" s="12"/>
      <c r="PSX13" s="12"/>
      <c r="PSY13" s="12"/>
      <c r="PSZ13" s="12"/>
      <c r="PTA13" s="12"/>
      <c r="PTB13" s="12"/>
      <c r="PTC13" s="12"/>
      <c r="PTD13" s="12"/>
      <c r="PTE13" s="12"/>
      <c r="PTF13" s="12"/>
      <c r="PTG13" s="12"/>
      <c r="PTH13" s="12"/>
      <c r="PTI13" s="12"/>
      <c r="PTJ13" s="12"/>
      <c r="PTK13" s="12"/>
      <c r="PTL13" s="12"/>
      <c r="PTM13" s="12"/>
      <c r="PTN13" s="12"/>
      <c r="PTO13" s="12"/>
      <c r="PTP13" s="12"/>
      <c r="PTQ13" s="12"/>
      <c r="PTR13" s="12"/>
      <c r="PTS13" s="12"/>
      <c r="PTT13" s="12"/>
      <c r="PTU13" s="12"/>
      <c r="PTV13" s="12"/>
      <c r="PTW13" s="12"/>
      <c r="PTX13" s="12"/>
      <c r="PTY13" s="12"/>
      <c r="PTZ13" s="12"/>
      <c r="PUA13" s="12"/>
      <c r="PUB13" s="12"/>
      <c r="PUC13" s="12"/>
      <c r="PUD13" s="12"/>
      <c r="PUE13" s="12"/>
      <c r="PUF13" s="12"/>
      <c r="PUG13" s="12"/>
      <c r="PUH13" s="12"/>
      <c r="PUI13" s="12"/>
      <c r="PUJ13" s="12"/>
      <c r="PUK13" s="12"/>
      <c r="PUL13" s="12"/>
      <c r="PUM13" s="12"/>
      <c r="PUN13" s="12"/>
      <c r="PUO13" s="12"/>
      <c r="PUP13" s="12"/>
      <c r="PUQ13" s="12"/>
      <c r="PUR13" s="12"/>
      <c r="PUS13" s="12"/>
      <c r="PUT13" s="12"/>
      <c r="PUU13" s="12"/>
      <c r="PUV13" s="12"/>
      <c r="PUW13" s="12"/>
      <c r="PUX13" s="12"/>
      <c r="PUY13" s="12"/>
      <c r="PUZ13" s="12"/>
      <c r="PVA13" s="12"/>
      <c r="PVB13" s="12"/>
      <c r="PVC13" s="12"/>
      <c r="PVD13" s="12"/>
      <c r="PVE13" s="12"/>
      <c r="PVF13" s="12"/>
      <c r="PVG13" s="12"/>
      <c r="PVH13" s="12"/>
      <c r="PVI13" s="12"/>
      <c r="PVJ13" s="12"/>
      <c r="PVK13" s="12"/>
      <c r="PVL13" s="12"/>
      <c r="PVM13" s="12"/>
      <c r="PVN13" s="12"/>
      <c r="PVO13" s="12"/>
      <c r="PVP13" s="12"/>
      <c r="PVQ13" s="12"/>
      <c r="PVR13" s="12"/>
      <c r="PVS13" s="12"/>
      <c r="PVT13" s="12"/>
      <c r="PVU13" s="12"/>
      <c r="PVV13" s="12"/>
      <c r="PVW13" s="12"/>
      <c r="PVX13" s="12"/>
      <c r="PVY13" s="12"/>
      <c r="PVZ13" s="12"/>
      <c r="PWA13" s="12"/>
      <c r="PWB13" s="12"/>
      <c r="PWC13" s="12"/>
      <c r="PWD13" s="12"/>
      <c r="PWE13" s="12"/>
      <c r="PWF13" s="12"/>
      <c r="PWG13" s="12"/>
      <c r="PWH13" s="12"/>
      <c r="PWI13" s="12"/>
      <c r="PWJ13" s="12"/>
      <c r="PWK13" s="12"/>
      <c r="PWL13" s="12"/>
      <c r="PWM13" s="12"/>
      <c r="PWN13" s="12"/>
      <c r="PWO13" s="12"/>
      <c r="PWP13" s="12"/>
      <c r="PWQ13" s="12"/>
      <c r="PWR13" s="12"/>
      <c r="PWS13" s="12"/>
      <c r="PWT13" s="12"/>
      <c r="PWU13" s="12"/>
      <c r="PWV13" s="12"/>
      <c r="PWW13" s="12"/>
      <c r="PWX13" s="12"/>
      <c r="PWY13" s="12"/>
      <c r="PWZ13" s="12"/>
      <c r="PXA13" s="12"/>
      <c r="PXB13" s="12"/>
      <c r="PXC13" s="12"/>
      <c r="PXD13" s="12"/>
      <c r="PXE13" s="12"/>
      <c r="PXF13" s="12"/>
      <c r="PXG13" s="12"/>
      <c r="PXH13" s="12"/>
      <c r="PXI13" s="12"/>
      <c r="PXJ13" s="12"/>
      <c r="PXK13" s="12"/>
      <c r="PXL13" s="12"/>
      <c r="PXM13" s="12"/>
      <c r="PXN13" s="12"/>
      <c r="PXO13" s="12"/>
      <c r="PXP13" s="12"/>
      <c r="PXQ13" s="12"/>
      <c r="PXR13" s="12"/>
      <c r="PXS13" s="12"/>
      <c r="PXT13" s="12"/>
      <c r="PXU13" s="12"/>
      <c r="PXV13" s="12"/>
      <c r="PXW13" s="12"/>
      <c r="PXX13" s="12"/>
      <c r="PXY13" s="12"/>
      <c r="PXZ13" s="12"/>
      <c r="PYA13" s="12"/>
      <c r="PYB13" s="12"/>
      <c r="PYC13" s="12"/>
      <c r="PYD13" s="12"/>
      <c r="PYE13" s="12"/>
      <c r="PYF13" s="12"/>
      <c r="PYG13" s="12"/>
      <c r="PYH13" s="12"/>
      <c r="PYI13" s="12"/>
      <c r="PYJ13" s="12"/>
      <c r="PYK13" s="12"/>
      <c r="PYL13" s="12"/>
      <c r="PYM13" s="12"/>
      <c r="PYN13" s="12"/>
      <c r="PYO13" s="12"/>
      <c r="PYP13" s="12"/>
      <c r="PYQ13" s="12"/>
      <c r="PYR13" s="12"/>
      <c r="PYS13" s="12"/>
      <c r="PYT13" s="12"/>
      <c r="PYU13" s="12"/>
      <c r="PYV13" s="12"/>
      <c r="PYW13" s="12"/>
      <c r="PYX13" s="12"/>
      <c r="PYY13" s="12"/>
      <c r="PYZ13" s="12"/>
      <c r="PZA13" s="12"/>
      <c r="PZB13" s="12"/>
      <c r="PZC13" s="12"/>
      <c r="PZD13" s="12"/>
      <c r="PZE13" s="12"/>
      <c r="PZF13" s="12"/>
      <c r="PZG13" s="12"/>
      <c r="PZH13" s="12"/>
      <c r="PZI13" s="12"/>
      <c r="PZJ13" s="12"/>
      <c r="PZK13" s="12"/>
      <c r="PZL13" s="12"/>
      <c r="PZM13" s="12"/>
      <c r="PZN13" s="12"/>
      <c r="PZO13" s="12"/>
      <c r="PZP13" s="12"/>
      <c r="PZQ13" s="12"/>
      <c r="PZR13" s="12"/>
      <c r="PZS13" s="12"/>
      <c r="PZT13" s="12"/>
      <c r="PZU13" s="12"/>
      <c r="PZV13" s="12"/>
      <c r="PZW13" s="12"/>
      <c r="PZX13" s="12"/>
      <c r="PZY13" s="12"/>
      <c r="PZZ13" s="12"/>
      <c r="QAA13" s="12"/>
      <c r="QAB13" s="12"/>
      <c r="QAC13" s="12"/>
      <c r="QAD13" s="12"/>
      <c r="QAE13" s="12"/>
      <c r="QAF13" s="12"/>
      <c r="QAG13" s="12"/>
      <c r="QAH13" s="12"/>
      <c r="QAI13" s="12"/>
      <c r="QAJ13" s="12"/>
      <c r="QAK13" s="12"/>
      <c r="QAL13" s="12"/>
      <c r="QAM13" s="12"/>
      <c r="QAN13" s="12"/>
      <c r="QAO13" s="12"/>
      <c r="QAP13" s="12"/>
      <c r="QAQ13" s="12"/>
      <c r="QAR13" s="12"/>
      <c r="QAS13" s="12"/>
      <c r="QAT13" s="12"/>
      <c r="QAU13" s="12"/>
      <c r="QAV13" s="12"/>
      <c r="QAW13" s="12"/>
      <c r="QAX13" s="12"/>
      <c r="QAY13" s="12"/>
      <c r="QAZ13" s="12"/>
      <c r="QBA13" s="12"/>
      <c r="QBB13" s="12"/>
      <c r="QBC13" s="12"/>
      <c r="QBD13" s="12"/>
      <c r="QBE13" s="12"/>
      <c r="QBF13" s="12"/>
      <c r="QBG13" s="12"/>
      <c r="QBH13" s="12"/>
      <c r="QBI13" s="12"/>
      <c r="QBJ13" s="12"/>
      <c r="QBK13" s="12"/>
      <c r="QBL13" s="12"/>
      <c r="QBM13" s="12"/>
      <c r="QBN13" s="12"/>
      <c r="QBO13" s="12"/>
      <c r="QBP13" s="12"/>
      <c r="QBQ13" s="12"/>
      <c r="QBR13" s="12"/>
      <c r="QBS13" s="12"/>
      <c r="QBT13" s="12"/>
      <c r="QBU13" s="12"/>
      <c r="QBV13" s="12"/>
      <c r="QBW13" s="12"/>
      <c r="QBX13" s="12"/>
      <c r="QBY13" s="12"/>
      <c r="QBZ13" s="12"/>
      <c r="QCA13" s="12"/>
      <c r="QCB13" s="12"/>
      <c r="QCC13" s="12"/>
      <c r="QCD13" s="12"/>
      <c r="QCE13" s="12"/>
      <c r="QCF13" s="12"/>
      <c r="QCG13" s="12"/>
      <c r="QCH13" s="12"/>
      <c r="QCI13" s="12"/>
      <c r="QCJ13" s="12"/>
      <c r="QCK13" s="12"/>
      <c r="QCL13" s="12"/>
      <c r="QCM13" s="12"/>
      <c r="QCN13" s="12"/>
      <c r="QCO13" s="12"/>
      <c r="QCP13" s="12"/>
      <c r="QCQ13" s="12"/>
      <c r="QCR13" s="12"/>
      <c r="QCS13" s="12"/>
      <c r="QCT13" s="12"/>
      <c r="QCU13" s="12"/>
      <c r="QCV13" s="12"/>
      <c r="QCW13" s="12"/>
      <c r="QCX13" s="12"/>
      <c r="QCY13" s="12"/>
      <c r="QCZ13" s="12"/>
      <c r="QDA13" s="12"/>
      <c r="QDB13" s="12"/>
      <c r="QDC13" s="12"/>
      <c r="QDD13" s="12"/>
      <c r="QDE13" s="12"/>
      <c r="QDF13" s="12"/>
      <c r="QDG13" s="12"/>
      <c r="QDH13" s="12"/>
      <c r="QDI13" s="12"/>
      <c r="QDJ13" s="12"/>
      <c r="QDK13" s="12"/>
      <c r="QDL13" s="12"/>
      <c r="QDM13" s="12"/>
      <c r="QDN13" s="12"/>
      <c r="QDO13" s="12"/>
      <c r="QDP13" s="12"/>
      <c r="QDQ13" s="12"/>
      <c r="QDR13" s="12"/>
      <c r="QDS13" s="12"/>
      <c r="QDT13" s="12"/>
      <c r="QDU13" s="12"/>
      <c r="QDV13" s="12"/>
      <c r="QDW13" s="12"/>
      <c r="QDX13" s="12"/>
      <c r="QDY13" s="12"/>
      <c r="QDZ13" s="12"/>
      <c r="QEA13" s="12"/>
      <c r="QEB13" s="12"/>
      <c r="QEC13" s="12"/>
      <c r="QED13" s="12"/>
      <c r="QEE13" s="12"/>
      <c r="QEF13" s="12"/>
      <c r="QEG13" s="12"/>
      <c r="QEH13" s="12"/>
      <c r="QEI13" s="12"/>
      <c r="QEJ13" s="12"/>
      <c r="QEK13" s="12"/>
      <c r="QEL13" s="12"/>
      <c r="QEM13" s="12"/>
      <c r="QEN13" s="12"/>
      <c r="QEO13" s="12"/>
      <c r="QEP13" s="12"/>
      <c r="QEQ13" s="12"/>
      <c r="QER13" s="12"/>
      <c r="QES13" s="12"/>
      <c r="QET13" s="12"/>
      <c r="QEU13" s="12"/>
      <c r="QEV13" s="12"/>
      <c r="QEW13" s="12"/>
      <c r="QEX13" s="12"/>
      <c r="QEY13" s="12"/>
      <c r="QEZ13" s="12"/>
      <c r="QFA13" s="12"/>
      <c r="QFB13" s="12"/>
      <c r="QFC13" s="12"/>
      <c r="QFD13" s="12"/>
      <c r="QFE13" s="12"/>
      <c r="QFF13" s="12"/>
      <c r="QFG13" s="12"/>
      <c r="QFH13" s="12"/>
      <c r="QFI13" s="12"/>
      <c r="QFJ13" s="12"/>
      <c r="QFK13" s="12"/>
      <c r="QFL13" s="12"/>
      <c r="QFM13" s="12"/>
      <c r="QFN13" s="12"/>
      <c r="QFO13" s="12"/>
      <c r="QFP13" s="12"/>
      <c r="QFQ13" s="12"/>
      <c r="QFR13" s="12"/>
      <c r="QFS13" s="12"/>
      <c r="QFT13" s="12"/>
      <c r="QFU13" s="12"/>
      <c r="QFV13" s="12"/>
      <c r="QFW13" s="12"/>
      <c r="QFX13" s="12"/>
      <c r="QFY13" s="12"/>
      <c r="QFZ13" s="12"/>
      <c r="QGA13" s="12"/>
      <c r="QGB13" s="12"/>
      <c r="QGC13" s="12"/>
      <c r="QGD13" s="12"/>
      <c r="QGE13" s="12"/>
      <c r="QGF13" s="12"/>
      <c r="QGG13" s="12"/>
      <c r="QGH13" s="12"/>
      <c r="QGI13" s="12"/>
      <c r="QGJ13" s="12"/>
      <c r="QGK13" s="12"/>
      <c r="QGL13" s="12"/>
      <c r="QGM13" s="12"/>
      <c r="QGN13" s="12"/>
      <c r="QGO13" s="12"/>
      <c r="QGP13" s="12"/>
      <c r="QGQ13" s="12"/>
      <c r="QGR13" s="12"/>
      <c r="QGS13" s="12"/>
      <c r="QGT13" s="12"/>
      <c r="QGU13" s="12"/>
      <c r="QGV13" s="12"/>
      <c r="QGW13" s="12"/>
      <c r="QGX13" s="12"/>
      <c r="QGY13" s="12"/>
      <c r="QGZ13" s="12"/>
      <c r="QHA13" s="12"/>
      <c r="QHB13" s="12"/>
      <c r="QHC13" s="12"/>
      <c r="QHD13" s="12"/>
      <c r="QHE13" s="12"/>
      <c r="QHF13" s="12"/>
      <c r="QHG13" s="12"/>
      <c r="QHH13" s="12"/>
      <c r="QHI13" s="12"/>
      <c r="QHJ13" s="12"/>
      <c r="QHK13" s="12"/>
      <c r="QHL13" s="12"/>
      <c r="QHM13" s="12"/>
      <c r="QHN13" s="12"/>
      <c r="QHO13" s="12"/>
      <c r="QHP13" s="12"/>
      <c r="QHQ13" s="12"/>
      <c r="QHR13" s="12"/>
      <c r="QHS13" s="12"/>
      <c r="QHT13" s="12"/>
      <c r="QHU13" s="12"/>
      <c r="QHV13" s="12"/>
      <c r="QHW13" s="12"/>
      <c r="QHX13" s="12"/>
      <c r="QHY13" s="12"/>
      <c r="QHZ13" s="12"/>
      <c r="QIA13" s="12"/>
      <c r="QIB13" s="12"/>
      <c r="QIC13" s="12"/>
      <c r="QID13" s="12"/>
      <c r="QIE13" s="12"/>
      <c r="QIF13" s="12"/>
      <c r="QIG13" s="12"/>
      <c r="QIH13" s="12"/>
      <c r="QII13" s="12"/>
      <c r="QIJ13" s="12"/>
      <c r="QIK13" s="12"/>
      <c r="QIL13" s="12"/>
      <c r="QIM13" s="12"/>
      <c r="QIN13" s="12"/>
      <c r="QIO13" s="12"/>
      <c r="QIP13" s="12"/>
      <c r="QIQ13" s="12"/>
      <c r="QIR13" s="12"/>
      <c r="QIS13" s="12"/>
      <c r="QIT13" s="12"/>
      <c r="QIU13" s="12"/>
      <c r="QIV13" s="12"/>
      <c r="QIW13" s="12"/>
      <c r="QIX13" s="12"/>
      <c r="QIY13" s="12"/>
      <c r="QIZ13" s="12"/>
      <c r="QJA13" s="12"/>
      <c r="QJB13" s="12"/>
      <c r="QJC13" s="12"/>
      <c r="QJD13" s="12"/>
      <c r="QJE13" s="12"/>
      <c r="QJF13" s="12"/>
      <c r="QJG13" s="12"/>
      <c r="QJH13" s="12"/>
      <c r="QJI13" s="12"/>
      <c r="QJJ13" s="12"/>
      <c r="QJK13" s="12"/>
      <c r="QJL13" s="12"/>
      <c r="QJM13" s="12"/>
      <c r="QJN13" s="12"/>
      <c r="QJO13" s="12"/>
      <c r="QJP13" s="12"/>
      <c r="QJQ13" s="12"/>
      <c r="QJR13" s="12"/>
      <c r="QJS13" s="12"/>
      <c r="QJT13" s="12"/>
      <c r="QJU13" s="12"/>
      <c r="QJV13" s="12"/>
      <c r="QJW13" s="12"/>
      <c r="QJX13" s="12"/>
      <c r="QJY13" s="12"/>
      <c r="QJZ13" s="12"/>
      <c r="QKA13" s="12"/>
      <c r="QKB13" s="12"/>
      <c r="QKC13" s="12"/>
      <c r="QKD13" s="12"/>
      <c r="QKE13" s="12"/>
      <c r="QKF13" s="12"/>
      <c r="QKG13" s="12"/>
      <c r="QKH13" s="12"/>
      <c r="QKI13" s="12"/>
      <c r="QKJ13" s="12"/>
      <c r="QKK13" s="12"/>
      <c r="QKL13" s="12"/>
      <c r="QKM13" s="12"/>
      <c r="QKN13" s="12"/>
      <c r="QKO13" s="12"/>
      <c r="QKP13" s="12"/>
      <c r="QKQ13" s="12"/>
      <c r="QKR13" s="12"/>
      <c r="QKS13" s="12"/>
      <c r="QKT13" s="12"/>
      <c r="QKU13" s="12"/>
      <c r="QKV13" s="12"/>
      <c r="QKW13" s="12"/>
      <c r="QKX13" s="12"/>
      <c r="QKY13" s="12"/>
      <c r="QKZ13" s="12"/>
      <c r="QLA13" s="12"/>
      <c r="QLB13" s="12"/>
      <c r="QLC13" s="12"/>
      <c r="QLD13" s="12"/>
      <c r="QLE13" s="12"/>
      <c r="QLF13" s="12"/>
      <c r="QLG13" s="12"/>
      <c r="QLH13" s="12"/>
      <c r="QLI13" s="12"/>
      <c r="QLJ13" s="12"/>
      <c r="QLK13" s="12"/>
      <c r="QLL13" s="12"/>
      <c r="QLM13" s="12"/>
      <c r="QLN13" s="12"/>
      <c r="QLO13" s="12"/>
      <c r="QLP13" s="12"/>
      <c r="QLQ13" s="12"/>
      <c r="QLR13" s="12"/>
      <c r="QLS13" s="12"/>
      <c r="QLT13" s="12"/>
      <c r="QLU13" s="12"/>
      <c r="QLV13" s="12"/>
      <c r="QLW13" s="12"/>
      <c r="QLX13" s="12"/>
      <c r="QLY13" s="12"/>
      <c r="QLZ13" s="12"/>
      <c r="QMA13" s="12"/>
      <c r="QMB13" s="12"/>
      <c r="QMC13" s="12"/>
      <c r="QMD13" s="12"/>
      <c r="QME13" s="12"/>
      <c r="QMF13" s="12"/>
      <c r="QMG13" s="12"/>
      <c r="QMH13" s="12"/>
      <c r="QMI13" s="12"/>
      <c r="QMJ13" s="12"/>
      <c r="QMK13" s="12"/>
      <c r="QML13" s="12"/>
      <c r="QMM13" s="12"/>
      <c r="QMN13" s="12"/>
      <c r="QMO13" s="12"/>
      <c r="QMP13" s="12"/>
      <c r="QMQ13" s="12"/>
      <c r="QMR13" s="12"/>
      <c r="QMS13" s="12"/>
      <c r="QMT13" s="12"/>
      <c r="QMU13" s="12"/>
      <c r="QMV13" s="12"/>
      <c r="QMW13" s="12"/>
      <c r="QMX13" s="12"/>
      <c r="QMY13" s="12"/>
      <c r="QMZ13" s="12"/>
      <c r="QNA13" s="12"/>
      <c r="QNB13" s="12"/>
      <c r="QNC13" s="12"/>
      <c r="QND13" s="12"/>
      <c r="QNE13" s="12"/>
      <c r="QNF13" s="12"/>
      <c r="QNG13" s="12"/>
      <c r="QNH13" s="12"/>
      <c r="QNI13" s="12"/>
      <c r="QNJ13" s="12"/>
      <c r="QNK13" s="12"/>
      <c r="QNL13" s="12"/>
      <c r="QNM13" s="12"/>
      <c r="QNN13" s="12"/>
      <c r="QNO13" s="12"/>
      <c r="QNP13" s="12"/>
      <c r="QNQ13" s="12"/>
      <c r="QNR13" s="12"/>
      <c r="QNS13" s="12"/>
      <c r="QNT13" s="12"/>
      <c r="QNU13" s="12"/>
      <c r="QNV13" s="12"/>
      <c r="QNW13" s="12"/>
      <c r="QNX13" s="12"/>
      <c r="QNY13" s="12"/>
      <c r="QNZ13" s="12"/>
      <c r="QOA13" s="12"/>
      <c r="QOB13" s="12"/>
      <c r="QOC13" s="12"/>
      <c r="QOD13" s="12"/>
      <c r="QOE13" s="12"/>
      <c r="QOF13" s="12"/>
      <c r="QOG13" s="12"/>
      <c r="QOH13" s="12"/>
      <c r="QOI13" s="12"/>
      <c r="QOJ13" s="12"/>
      <c r="QOK13" s="12"/>
      <c r="QOL13" s="12"/>
      <c r="QOM13" s="12"/>
      <c r="QON13" s="12"/>
      <c r="QOO13" s="12"/>
      <c r="QOP13" s="12"/>
      <c r="QOQ13" s="12"/>
      <c r="QOR13" s="12"/>
      <c r="QOS13" s="12"/>
      <c r="QOT13" s="12"/>
      <c r="QOU13" s="12"/>
      <c r="QOV13" s="12"/>
      <c r="QOW13" s="12"/>
      <c r="QOX13" s="12"/>
      <c r="QOY13" s="12"/>
      <c r="QOZ13" s="12"/>
      <c r="QPA13" s="12"/>
      <c r="QPB13" s="12"/>
      <c r="QPC13" s="12"/>
      <c r="QPD13" s="12"/>
      <c r="QPE13" s="12"/>
      <c r="QPF13" s="12"/>
      <c r="QPG13" s="12"/>
      <c r="QPH13" s="12"/>
      <c r="QPI13" s="12"/>
      <c r="QPJ13" s="12"/>
      <c r="QPK13" s="12"/>
      <c r="QPL13" s="12"/>
      <c r="QPM13" s="12"/>
      <c r="QPN13" s="12"/>
      <c r="QPO13" s="12"/>
      <c r="QPP13" s="12"/>
      <c r="QPQ13" s="12"/>
      <c r="QPR13" s="12"/>
      <c r="QPS13" s="12"/>
      <c r="QPT13" s="12"/>
      <c r="QPU13" s="12"/>
      <c r="QPV13" s="12"/>
      <c r="QPW13" s="12"/>
      <c r="QPX13" s="12"/>
      <c r="QPY13" s="12"/>
      <c r="QPZ13" s="12"/>
      <c r="QQA13" s="12"/>
      <c r="QQB13" s="12"/>
      <c r="QQC13" s="12"/>
      <c r="QQD13" s="12"/>
      <c r="QQE13" s="12"/>
      <c r="QQF13" s="12"/>
      <c r="QQG13" s="12"/>
      <c r="QQH13" s="12"/>
      <c r="QQI13" s="12"/>
      <c r="QQJ13" s="12"/>
      <c r="QQK13" s="12"/>
      <c r="QQL13" s="12"/>
      <c r="QQM13" s="12"/>
      <c r="QQN13" s="12"/>
      <c r="QQO13" s="12"/>
      <c r="QQP13" s="12"/>
      <c r="QQQ13" s="12"/>
      <c r="QQR13" s="12"/>
      <c r="QQS13" s="12"/>
      <c r="QQT13" s="12"/>
      <c r="QQU13" s="12"/>
      <c r="QQV13" s="12"/>
      <c r="QQW13" s="12"/>
      <c r="QQX13" s="12"/>
      <c r="QQY13" s="12"/>
      <c r="QQZ13" s="12"/>
      <c r="QRA13" s="12"/>
      <c r="QRB13" s="12"/>
      <c r="QRC13" s="12"/>
      <c r="QRD13" s="12"/>
      <c r="QRE13" s="12"/>
      <c r="QRF13" s="12"/>
      <c r="QRG13" s="12"/>
      <c r="QRH13" s="12"/>
      <c r="QRI13" s="12"/>
      <c r="QRJ13" s="12"/>
      <c r="QRK13" s="12"/>
      <c r="QRL13" s="12"/>
      <c r="QRM13" s="12"/>
      <c r="QRN13" s="12"/>
      <c r="QRO13" s="12"/>
      <c r="QRP13" s="12"/>
      <c r="QRQ13" s="12"/>
      <c r="QRR13" s="12"/>
      <c r="QRS13" s="12"/>
      <c r="QRT13" s="12"/>
      <c r="QRU13" s="12"/>
      <c r="QRV13" s="12"/>
      <c r="QRW13" s="12"/>
      <c r="QRX13" s="12"/>
      <c r="QRY13" s="12"/>
      <c r="QRZ13" s="12"/>
      <c r="QSA13" s="12"/>
      <c r="QSB13" s="12"/>
      <c r="QSC13" s="12"/>
      <c r="QSD13" s="12"/>
      <c r="QSE13" s="12"/>
      <c r="QSF13" s="12"/>
      <c r="QSG13" s="12"/>
      <c r="QSH13" s="12"/>
      <c r="QSI13" s="12"/>
      <c r="QSJ13" s="12"/>
      <c r="QSK13" s="12"/>
      <c r="QSL13" s="12"/>
      <c r="QSM13" s="12"/>
      <c r="QSN13" s="12"/>
      <c r="QSO13" s="12"/>
      <c r="QSP13" s="12"/>
      <c r="QSQ13" s="12"/>
      <c r="QSR13" s="12"/>
      <c r="QSS13" s="12"/>
      <c r="QST13" s="12"/>
      <c r="QSU13" s="12"/>
      <c r="QSV13" s="12"/>
      <c r="QSW13" s="12"/>
      <c r="QSX13" s="12"/>
      <c r="QSY13" s="12"/>
      <c r="QSZ13" s="12"/>
      <c r="QTA13" s="12"/>
      <c r="QTB13" s="12"/>
      <c r="QTC13" s="12"/>
      <c r="QTD13" s="12"/>
      <c r="QTE13" s="12"/>
      <c r="QTF13" s="12"/>
      <c r="QTG13" s="12"/>
      <c r="QTH13" s="12"/>
      <c r="QTI13" s="12"/>
      <c r="QTJ13" s="12"/>
      <c r="QTK13" s="12"/>
      <c r="QTL13" s="12"/>
      <c r="QTM13" s="12"/>
      <c r="QTN13" s="12"/>
      <c r="QTO13" s="12"/>
      <c r="QTP13" s="12"/>
      <c r="QTQ13" s="12"/>
      <c r="QTR13" s="12"/>
      <c r="QTS13" s="12"/>
      <c r="QTT13" s="12"/>
      <c r="QTU13" s="12"/>
      <c r="QTV13" s="12"/>
      <c r="QTW13" s="12"/>
      <c r="QTX13" s="12"/>
      <c r="QTY13" s="12"/>
      <c r="QTZ13" s="12"/>
      <c r="QUA13" s="12"/>
      <c r="QUB13" s="12"/>
      <c r="QUC13" s="12"/>
      <c r="QUD13" s="12"/>
      <c r="QUE13" s="12"/>
      <c r="QUF13" s="12"/>
      <c r="QUG13" s="12"/>
      <c r="QUH13" s="12"/>
      <c r="QUI13" s="12"/>
      <c r="QUJ13" s="12"/>
      <c r="QUK13" s="12"/>
      <c r="QUL13" s="12"/>
      <c r="QUM13" s="12"/>
      <c r="QUN13" s="12"/>
      <c r="QUO13" s="12"/>
      <c r="QUP13" s="12"/>
      <c r="QUQ13" s="12"/>
      <c r="QUR13" s="12"/>
      <c r="QUS13" s="12"/>
      <c r="QUT13" s="12"/>
      <c r="QUU13" s="12"/>
      <c r="QUV13" s="12"/>
      <c r="QUW13" s="12"/>
      <c r="QUX13" s="12"/>
      <c r="QUY13" s="12"/>
      <c r="QUZ13" s="12"/>
      <c r="QVA13" s="12"/>
      <c r="QVB13" s="12"/>
      <c r="QVC13" s="12"/>
      <c r="QVD13" s="12"/>
      <c r="QVE13" s="12"/>
      <c r="QVF13" s="12"/>
      <c r="QVG13" s="12"/>
      <c r="QVH13" s="12"/>
      <c r="QVI13" s="12"/>
      <c r="QVJ13" s="12"/>
      <c r="QVK13" s="12"/>
      <c r="QVL13" s="12"/>
      <c r="QVM13" s="12"/>
      <c r="QVN13" s="12"/>
      <c r="QVO13" s="12"/>
      <c r="QVP13" s="12"/>
      <c r="QVQ13" s="12"/>
      <c r="QVR13" s="12"/>
      <c r="QVS13" s="12"/>
      <c r="QVT13" s="12"/>
      <c r="QVU13" s="12"/>
      <c r="QVV13" s="12"/>
      <c r="QVW13" s="12"/>
      <c r="QVX13" s="12"/>
      <c r="QVY13" s="12"/>
      <c r="QVZ13" s="12"/>
      <c r="QWA13" s="12"/>
      <c r="QWB13" s="12"/>
      <c r="QWC13" s="12"/>
      <c r="QWD13" s="12"/>
      <c r="QWE13" s="12"/>
      <c r="QWF13" s="12"/>
      <c r="QWG13" s="12"/>
      <c r="QWH13" s="12"/>
      <c r="QWI13" s="12"/>
      <c r="QWJ13" s="12"/>
      <c r="QWK13" s="12"/>
      <c r="QWL13" s="12"/>
      <c r="QWM13" s="12"/>
      <c r="QWN13" s="12"/>
      <c r="QWO13" s="12"/>
      <c r="QWP13" s="12"/>
      <c r="QWQ13" s="12"/>
      <c r="QWR13" s="12"/>
      <c r="QWS13" s="12"/>
      <c r="QWT13" s="12"/>
      <c r="QWU13" s="12"/>
      <c r="QWV13" s="12"/>
      <c r="QWW13" s="12"/>
      <c r="QWX13" s="12"/>
      <c r="QWY13" s="12"/>
      <c r="QWZ13" s="12"/>
      <c r="QXA13" s="12"/>
      <c r="QXB13" s="12"/>
      <c r="QXC13" s="12"/>
      <c r="QXD13" s="12"/>
      <c r="QXE13" s="12"/>
      <c r="QXF13" s="12"/>
      <c r="QXG13" s="12"/>
      <c r="QXH13" s="12"/>
      <c r="QXI13" s="12"/>
      <c r="QXJ13" s="12"/>
      <c r="QXK13" s="12"/>
      <c r="QXL13" s="12"/>
      <c r="QXM13" s="12"/>
      <c r="QXN13" s="12"/>
      <c r="QXO13" s="12"/>
      <c r="QXP13" s="12"/>
      <c r="QXQ13" s="12"/>
      <c r="QXR13" s="12"/>
      <c r="QXS13" s="12"/>
      <c r="QXT13" s="12"/>
      <c r="QXU13" s="12"/>
      <c r="QXV13" s="12"/>
      <c r="QXW13" s="12"/>
      <c r="QXX13" s="12"/>
      <c r="QXY13" s="12"/>
      <c r="QXZ13" s="12"/>
      <c r="QYA13" s="12"/>
      <c r="QYB13" s="12"/>
      <c r="QYC13" s="12"/>
      <c r="QYD13" s="12"/>
      <c r="QYE13" s="12"/>
      <c r="QYF13" s="12"/>
      <c r="QYG13" s="12"/>
      <c r="QYH13" s="12"/>
      <c r="QYI13" s="12"/>
      <c r="QYJ13" s="12"/>
      <c r="QYK13" s="12"/>
      <c r="QYL13" s="12"/>
      <c r="QYM13" s="12"/>
      <c r="QYN13" s="12"/>
      <c r="QYO13" s="12"/>
      <c r="QYP13" s="12"/>
      <c r="QYQ13" s="12"/>
      <c r="QYR13" s="12"/>
      <c r="QYS13" s="12"/>
      <c r="QYT13" s="12"/>
      <c r="QYU13" s="12"/>
      <c r="QYV13" s="12"/>
      <c r="QYW13" s="12"/>
      <c r="QYX13" s="12"/>
      <c r="QYY13" s="12"/>
      <c r="QYZ13" s="12"/>
      <c r="QZA13" s="12"/>
      <c r="QZB13" s="12"/>
      <c r="QZC13" s="12"/>
      <c r="QZD13" s="12"/>
      <c r="QZE13" s="12"/>
      <c r="QZF13" s="12"/>
      <c r="QZG13" s="12"/>
      <c r="QZH13" s="12"/>
      <c r="QZI13" s="12"/>
      <c r="QZJ13" s="12"/>
      <c r="QZK13" s="12"/>
      <c r="QZL13" s="12"/>
      <c r="QZM13" s="12"/>
      <c r="QZN13" s="12"/>
      <c r="QZO13" s="12"/>
      <c r="QZP13" s="12"/>
      <c r="QZQ13" s="12"/>
      <c r="QZR13" s="12"/>
      <c r="QZS13" s="12"/>
      <c r="QZT13" s="12"/>
      <c r="QZU13" s="12"/>
      <c r="QZV13" s="12"/>
      <c r="QZW13" s="12"/>
      <c r="QZX13" s="12"/>
      <c r="QZY13" s="12"/>
      <c r="QZZ13" s="12"/>
      <c r="RAA13" s="12"/>
      <c r="RAB13" s="12"/>
      <c r="RAC13" s="12"/>
      <c r="RAD13" s="12"/>
      <c r="RAE13" s="12"/>
      <c r="RAF13" s="12"/>
      <c r="RAG13" s="12"/>
      <c r="RAH13" s="12"/>
      <c r="RAI13" s="12"/>
      <c r="RAJ13" s="12"/>
      <c r="RAK13" s="12"/>
      <c r="RAL13" s="12"/>
      <c r="RAM13" s="12"/>
      <c r="RAN13" s="12"/>
      <c r="RAO13" s="12"/>
      <c r="RAP13" s="12"/>
      <c r="RAQ13" s="12"/>
      <c r="RAR13" s="12"/>
      <c r="RAS13" s="12"/>
      <c r="RAT13" s="12"/>
      <c r="RAU13" s="12"/>
      <c r="RAV13" s="12"/>
      <c r="RAW13" s="12"/>
      <c r="RAX13" s="12"/>
      <c r="RAY13" s="12"/>
      <c r="RAZ13" s="12"/>
      <c r="RBA13" s="12"/>
      <c r="RBB13" s="12"/>
      <c r="RBC13" s="12"/>
      <c r="RBD13" s="12"/>
      <c r="RBE13" s="12"/>
      <c r="RBF13" s="12"/>
      <c r="RBG13" s="12"/>
      <c r="RBH13" s="12"/>
      <c r="RBI13" s="12"/>
      <c r="RBJ13" s="12"/>
      <c r="RBK13" s="12"/>
      <c r="RBL13" s="12"/>
      <c r="RBM13" s="12"/>
      <c r="RBN13" s="12"/>
      <c r="RBO13" s="12"/>
      <c r="RBP13" s="12"/>
      <c r="RBQ13" s="12"/>
      <c r="RBR13" s="12"/>
      <c r="RBS13" s="12"/>
      <c r="RBT13" s="12"/>
      <c r="RBU13" s="12"/>
      <c r="RBV13" s="12"/>
      <c r="RBW13" s="12"/>
      <c r="RBX13" s="12"/>
      <c r="RBY13" s="12"/>
      <c r="RBZ13" s="12"/>
      <c r="RCA13" s="12"/>
      <c r="RCB13" s="12"/>
      <c r="RCC13" s="12"/>
      <c r="RCD13" s="12"/>
      <c r="RCE13" s="12"/>
      <c r="RCF13" s="12"/>
      <c r="RCG13" s="12"/>
      <c r="RCH13" s="12"/>
      <c r="RCI13" s="12"/>
      <c r="RCJ13" s="12"/>
      <c r="RCK13" s="12"/>
      <c r="RCL13" s="12"/>
      <c r="RCM13" s="12"/>
      <c r="RCN13" s="12"/>
      <c r="RCO13" s="12"/>
      <c r="RCP13" s="12"/>
      <c r="RCQ13" s="12"/>
      <c r="RCR13" s="12"/>
      <c r="RCS13" s="12"/>
      <c r="RCT13" s="12"/>
      <c r="RCU13" s="12"/>
      <c r="RCV13" s="12"/>
      <c r="RCW13" s="12"/>
      <c r="RCX13" s="12"/>
      <c r="RCY13" s="12"/>
      <c r="RCZ13" s="12"/>
      <c r="RDA13" s="12"/>
      <c r="RDB13" s="12"/>
      <c r="RDC13" s="12"/>
      <c r="RDD13" s="12"/>
      <c r="RDE13" s="12"/>
      <c r="RDF13" s="12"/>
      <c r="RDG13" s="12"/>
      <c r="RDH13" s="12"/>
      <c r="RDI13" s="12"/>
      <c r="RDJ13" s="12"/>
      <c r="RDK13" s="12"/>
      <c r="RDL13" s="12"/>
      <c r="RDM13" s="12"/>
      <c r="RDN13" s="12"/>
      <c r="RDO13" s="12"/>
      <c r="RDP13" s="12"/>
      <c r="RDQ13" s="12"/>
      <c r="RDR13" s="12"/>
      <c r="RDS13" s="12"/>
      <c r="RDT13" s="12"/>
      <c r="RDU13" s="12"/>
      <c r="RDV13" s="12"/>
      <c r="RDW13" s="12"/>
      <c r="RDX13" s="12"/>
      <c r="RDY13" s="12"/>
      <c r="RDZ13" s="12"/>
      <c r="REA13" s="12"/>
      <c r="REB13" s="12"/>
      <c r="REC13" s="12"/>
      <c r="RED13" s="12"/>
      <c r="REE13" s="12"/>
      <c r="REF13" s="12"/>
      <c r="REG13" s="12"/>
      <c r="REH13" s="12"/>
      <c r="REI13" s="12"/>
      <c r="REJ13" s="12"/>
      <c r="REK13" s="12"/>
      <c r="REL13" s="12"/>
      <c r="REM13" s="12"/>
      <c r="REN13" s="12"/>
      <c r="REO13" s="12"/>
      <c r="REP13" s="12"/>
      <c r="REQ13" s="12"/>
      <c r="RER13" s="12"/>
      <c r="RES13" s="12"/>
      <c r="RET13" s="12"/>
      <c r="REU13" s="12"/>
      <c r="REV13" s="12"/>
      <c r="REW13" s="12"/>
      <c r="REX13" s="12"/>
      <c r="REY13" s="12"/>
      <c r="REZ13" s="12"/>
      <c r="RFA13" s="12"/>
      <c r="RFB13" s="12"/>
      <c r="RFC13" s="12"/>
      <c r="RFD13" s="12"/>
      <c r="RFE13" s="12"/>
      <c r="RFF13" s="12"/>
      <c r="RFG13" s="12"/>
      <c r="RFH13" s="12"/>
      <c r="RFI13" s="12"/>
      <c r="RFJ13" s="12"/>
      <c r="RFK13" s="12"/>
      <c r="RFL13" s="12"/>
      <c r="RFM13" s="12"/>
      <c r="RFN13" s="12"/>
      <c r="RFO13" s="12"/>
      <c r="RFP13" s="12"/>
      <c r="RFQ13" s="12"/>
      <c r="RFR13" s="12"/>
      <c r="RFS13" s="12"/>
      <c r="RFT13" s="12"/>
      <c r="RFU13" s="12"/>
      <c r="RFV13" s="12"/>
      <c r="RFW13" s="12"/>
      <c r="RFX13" s="12"/>
      <c r="RFY13" s="12"/>
      <c r="RFZ13" s="12"/>
      <c r="RGA13" s="12"/>
      <c r="RGB13" s="12"/>
      <c r="RGC13" s="12"/>
      <c r="RGD13" s="12"/>
      <c r="RGE13" s="12"/>
      <c r="RGF13" s="12"/>
      <c r="RGG13" s="12"/>
      <c r="RGH13" s="12"/>
      <c r="RGI13" s="12"/>
      <c r="RGJ13" s="12"/>
      <c r="RGK13" s="12"/>
      <c r="RGL13" s="12"/>
      <c r="RGM13" s="12"/>
      <c r="RGN13" s="12"/>
      <c r="RGO13" s="12"/>
      <c r="RGP13" s="12"/>
      <c r="RGQ13" s="12"/>
      <c r="RGR13" s="12"/>
      <c r="RGS13" s="12"/>
      <c r="RGT13" s="12"/>
      <c r="RGU13" s="12"/>
      <c r="RGV13" s="12"/>
      <c r="RGW13" s="12"/>
      <c r="RGX13" s="12"/>
      <c r="RGY13" s="12"/>
      <c r="RGZ13" s="12"/>
      <c r="RHA13" s="12"/>
      <c r="RHB13" s="12"/>
      <c r="RHC13" s="12"/>
      <c r="RHD13" s="12"/>
      <c r="RHE13" s="12"/>
      <c r="RHF13" s="12"/>
      <c r="RHG13" s="12"/>
      <c r="RHH13" s="12"/>
      <c r="RHI13" s="12"/>
      <c r="RHJ13" s="12"/>
      <c r="RHK13" s="12"/>
      <c r="RHL13" s="12"/>
      <c r="RHM13" s="12"/>
      <c r="RHN13" s="12"/>
      <c r="RHO13" s="12"/>
      <c r="RHP13" s="12"/>
      <c r="RHQ13" s="12"/>
      <c r="RHR13" s="12"/>
      <c r="RHS13" s="12"/>
      <c r="RHT13" s="12"/>
      <c r="RHU13" s="12"/>
      <c r="RHV13" s="12"/>
      <c r="RHW13" s="12"/>
      <c r="RHX13" s="12"/>
      <c r="RHY13" s="12"/>
      <c r="RHZ13" s="12"/>
      <c r="RIA13" s="12"/>
      <c r="RIB13" s="12"/>
      <c r="RIC13" s="12"/>
      <c r="RID13" s="12"/>
      <c r="RIE13" s="12"/>
      <c r="RIF13" s="12"/>
      <c r="RIG13" s="12"/>
      <c r="RIH13" s="12"/>
      <c r="RII13" s="12"/>
      <c r="RIJ13" s="12"/>
      <c r="RIK13" s="12"/>
      <c r="RIL13" s="12"/>
      <c r="RIM13" s="12"/>
      <c r="RIN13" s="12"/>
      <c r="RIO13" s="12"/>
      <c r="RIP13" s="12"/>
      <c r="RIQ13" s="12"/>
      <c r="RIR13" s="12"/>
      <c r="RIS13" s="12"/>
      <c r="RIT13" s="12"/>
      <c r="RIU13" s="12"/>
      <c r="RIV13" s="12"/>
      <c r="RIW13" s="12"/>
      <c r="RIX13" s="12"/>
      <c r="RIY13" s="12"/>
      <c r="RIZ13" s="12"/>
      <c r="RJA13" s="12"/>
      <c r="RJB13" s="12"/>
      <c r="RJC13" s="12"/>
      <c r="RJD13" s="12"/>
      <c r="RJE13" s="12"/>
      <c r="RJF13" s="12"/>
      <c r="RJG13" s="12"/>
      <c r="RJH13" s="12"/>
      <c r="RJI13" s="12"/>
      <c r="RJJ13" s="12"/>
      <c r="RJK13" s="12"/>
      <c r="RJL13" s="12"/>
      <c r="RJM13" s="12"/>
      <c r="RJN13" s="12"/>
      <c r="RJO13" s="12"/>
      <c r="RJP13" s="12"/>
      <c r="RJQ13" s="12"/>
      <c r="RJR13" s="12"/>
      <c r="RJS13" s="12"/>
      <c r="RJT13" s="12"/>
      <c r="RJU13" s="12"/>
      <c r="RJV13" s="12"/>
      <c r="RJW13" s="12"/>
      <c r="RJX13" s="12"/>
      <c r="RJY13" s="12"/>
      <c r="RJZ13" s="12"/>
      <c r="RKA13" s="12"/>
      <c r="RKB13" s="12"/>
      <c r="RKC13" s="12"/>
      <c r="RKD13" s="12"/>
      <c r="RKE13" s="12"/>
      <c r="RKF13" s="12"/>
      <c r="RKG13" s="12"/>
      <c r="RKH13" s="12"/>
      <c r="RKI13" s="12"/>
      <c r="RKJ13" s="12"/>
      <c r="RKK13" s="12"/>
      <c r="RKL13" s="12"/>
      <c r="RKM13" s="12"/>
      <c r="RKN13" s="12"/>
      <c r="RKO13" s="12"/>
      <c r="RKP13" s="12"/>
      <c r="RKQ13" s="12"/>
      <c r="RKR13" s="12"/>
      <c r="RKS13" s="12"/>
      <c r="RKT13" s="12"/>
      <c r="RKU13" s="12"/>
      <c r="RKV13" s="12"/>
      <c r="RKW13" s="12"/>
      <c r="RKX13" s="12"/>
      <c r="RKY13" s="12"/>
      <c r="RKZ13" s="12"/>
      <c r="RLA13" s="12"/>
      <c r="RLB13" s="12"/>
      <c r="RLC13" s="12"/>
      <c r="RLD13" s="12"/>
      <c r="RLE13" s="12"/>
      <c r="RLF13" s="12"/>
      <c r="RLG13" s="12"/>
      <c r="RLH13" s="12"/>
      <c r="RLI13" s="12"/>
      <c r="RLJ13" s="12"/>
      <c r="RLK13" s="12"/>
      <c r="RLL13" s="12"/>
      <c r="RLM13" s="12"/>
      <c r="RLN13" s="12"/>
      <c r="RLO13" s="12"/>
      <c r="RLP13" s="12"/>
      <c r="RLQ13" s="12"/>
      <c r="RLR13" s="12"/>
      <c r="RLS13" s="12"/>
      <c r="RLT13" s="12"/>
      <c r="RLU13" s="12"/>
      <c r="RLV13" s="12"/>
      <c r="RLW13" s="12"/>
      <c r="RLX13" s="12"/>
      <c r="RLY13" s="12"/>
      <c r="RLZ13" s="12"/>
      <c r="RMA13" s="12"/>
      <c r="RMB13" s="12"/>
      <c r="RMC13" s="12"/>
      <c r="RMD13" s="12"/>
      <c r="RME13" s="12"/>
      <c r="RMF13" s="12"/>
      <c r="RMG13" s="12"/>
      <c r="RMH13" s="12"/>
      <c r="RMI13" s="12"/>
      <c r="RMJ13" s="12"/>
      <c r="RMK13" s="12"/>
      <c r="RML13" s="12"/>
      <c r="RMM13" s="12"/>
      <c r="RMN13" s="12"/>
      <c r="RMO13" s="12"/>
      <c r="RMP13" s="12"/>
      <c r="RMQ13" s="12"/>
      <c r="RMR13" s="12"/>
      <c r="RMS13" s="12"/>
      <c r="RMT13" s="12"/>
      <c r="RMU13" s="12"/>
      <c r="RMV13" s="12"/>
      <c r="RMW13" s="12"/>
      <c r="RMX13" s="12"/>
      <c r="RMY13" s="12"/>
      <c r="RMZ13" s="12"/>
      <c r="RNA13" s="12"/>
      <c r="RNB13" s="12"/>
      <c r="RNC13" s="12"/>
      <c r="RND13" s="12"/>
      <c r="RNE13" s="12"/>
      <c r="RNF13" s="12"/>
      <c r="RNG13" s="12"/>
      <c r="RNH13" s="12"/>
      <c r="RNI13" s="12"/>
      <c r="RNJ13" s="12"/>
      <c r="RNK13" s="12"/>
      <c r="RNL13" s="12"/>
      <c r="RNM13" s="12"/>
      <c r="RNN13" s="12"/>
      <c r="RNO13" s="12"/>
      <c r="RNP13" s="12"/>
      <c r="RNQ13" s="12"/>
      <c r="RNR13" s="12"/>
      <c r="RNS13" s="12"/>
      <c r="RNT13" s="12"/>
      <c r="RNU13" s="12"/>
      <c r="RNV13" s="12"/>
      <c r="RNW13" s="12"/>
      <c r="RNX13" s="12"/>
      <c r="RNY13" s="12"/>
      <c r="RNZ13" s="12"/>
      <c r="ROA13" s="12"/>
      <c r="ROB13" s="12"/>
      <c r="ROC13" s="12"/>
      <c r="ROD13" s="12"/>
      <c r="ROE13" s="12"/>
      <c r="ROF13" s="12"/>
      <c r="ROG13" s="12"/>
      <c r="ROH13" s="12"/>
      <c r="ROI13" s="12"/>
      <c r="ROJ13" s="12"/>
      <c r="ROK13" s="12"/>
      <c r="ROL13" s="12"/>
      <c r="ROM13" s="12"/>
      <c r="RON13" s="12"/>
      <c r="ROO13" s="12"/>
      <c r="ROP13" s="12"/>
      <c r="ROQ13" s="12"/>
      <c r="ROR13" s="12"/>
      <c r="ROS13" s="12"/>
      <c r="ROT13" s="12"/>
      <c r="ROU13" s="12"/>
      <c r="ROV13" s="12"/>
      <c r="ROW13" s="12"/>
      <c r="ROX13" s="12"/>
      <c r="ROY13" s="12"/>
      <c r="ROZ13" s="12"/>
      <c r="RPA13" s="12"/>
      <c r="RPB13" s="12"/>
      <c r="RPC13" s="12"/>
      <c r="RPD13" s="12"/>
      <c r="RPE13" s="12"/>
      <c r="RPF13" s="12"/>
      <c r="RPG13" s="12"/>
      <c r="RPH13" s="12"/>
      <c r="RPI13" s="12"/>
      <c r="RPJ13" s="12"/>
      <c r="RPK13" s="12"/>
      <c r="RPL13" s="12"/>
      <c r="RPM13" s="12"/>
      <c r="RPN13" s="12"/>
      <c r="RPO13" s="12"/>
      <c r="RPP13" s="12"/>
      <c r="RPQ13" s="12"/>
      <c r="RPR13" s="12"/>
      <c r="RPS13" s="12"/>
      <c r="RPT13" s="12"/>
      <c r="RPU13" s="12"/>
      <c r="RPV13" s="12"/>
      <c r="RPW13" s="12"/>
      <c r="RPX13" s="12"/>
      <c r="RPY13" s="12"/>
      <c r="RPZ13" s="12"/>
      <c r="RQA13" s="12"/>
      <c r="RQB13" s="12"/>
      <c r="RQC13" s="12"/>
      <c r="RQD13" s="12"/>
      <c r="RQE13" s="12"/>
      <c r="RQF13" s="12"/>
      <c r="RQG13" s="12"/>
      <c r="RQH13" s="12"/>
      <c r="RQI13" s="12"/>
      <c r="RQJ13" s="12"/>
      <c r="RQK13" s="12"/>
      <c r="RQL13" s="12"/>
      <c r="RQM13" s="12"/>
      <c r="RQN13" s="12"/>
      <c r="RQO13" s="12"/>
      <c r="RQP13" s="12"/>
      <c r="RQQ13" s="12"/>
      <c r="RQR13" s="12"/>
      <c r="RQS13" s="12"/>
      <c r="RQT13" s="12"/>
      <c r="RQU13" s="12"/>
      <c r="RQV13" s="12"/>
      <c r="RQW13" s="12"/>
      <c r="RQX13" s="12"/>
      <c r="RQY13" s="12"/>
      <c r="RQZ13" s="12"/>
      <c r="RRA13" s="12"/>
      <c r="RRB13" s="12"/>
      <c r="RRC13" s="12"/>
      <c r="RRD13" s="12"/>
      <c r="RRE13" s="12"/>
      <c r="RRF13" s="12"/>
      <c r="RRG13" s="12"/>
      <c r="RRH13" s="12"/>
      <c r="RRI13" s="12"/>
      <c r="RRJ13" s="12"/>
      <c r="RRK13" s="12"/>
      <c r="RRL13" s="12"/>
      <c r="RRM13" s="12"/>
      <c r="RRN13" s="12"/>
      <c r="RRO13" s="12"/>
      <c r="RRP13" s="12"/>
      <c r="RRQ13" s="12"/>
      <c r="RRR13" s="12"/>
      <c r="RRS13" s="12"/>
      <c r="RRT13" s="12"/>
      <c r="RRU13" s="12"/>
      <c r="RRV13" s="12"/>
      <c r="RRW13" s="12"/>
      <c r="RRX13" s="12"/>
      <c r="RRY13" s="12"/>
      <c r="RRZ13" s="12"/>
      <c r="RSA13" s="12"/>
      <c r="RSB13" s="12"/>
      <c r="RSC13" s="12"/>
      <c r="RSD13" s="12"/>
      <c r="RSE13" s="12"/>
      <c r="RSF13" s="12"/>
      <c r="RSG13" s="12"/>
      <c r="RSH13" s="12"/>
      <c r="RSI13" s="12"/>
      <c r="RSJ13" s="12"/>
      <c r="RSK13" s="12"/>
      <c r="RSL13" s="12"/>
      <c r="RSM13" s="12"/>
      <c r="RSN13" s="12"/>
      <c r="RSO13" s="12"/>
      <c r="RSP13" s="12"/>
      <c r="RSQ13" s="12"/>
      <c r="RSR13" s="12"/>
      <c r="RSS13" s="12"/>
      <c r="RST13" s="12"/>
      <c r="RSU13" s="12"/>
      <c r="RSV13" s="12"/>
      <c r="RSW13" s="12"/>
      <c r="RSX13" s="12"/>
      <c r="RSY13" s="12"/>
      <c r="RSZ13" s="12"/>
      <c r="RTA13" s="12"/>
      <c r="RTB13" s="12"/>
      <c r="RTC13" s="12"/>
      <c r="RTD13" s="12"/>
      <c r="RTE13" s="12"/>
      <c r="RTF13" s="12"/>
      <c r="RTG13" s="12"/>
      <c r="RTH13" s="12"/>
      <c r="RTI13" s="12"/>
      <c r="RTJ13" s="12"/>
      <c r="RTK13" s="12"/>
      <c r="RTL13" s="12"/>
      <c r="RTM13" s="12"/>
      <c r="RTN13" s="12"/>
      <c r="RTO13" s="12"/>
      <c r="RTP13" s="12"/>
      <c r="RTQ13" s="12"/>
      <c r="RTR13" s="12"/>
      <c r="RTS13" s="12"/>
      <c r="RTT13" s="12"/>
      <c r="RTU13" s="12"/>
      <c r="RTV13" s="12"/>
      <c r="RTW13" s="12"/>
      <c r="RTX13" s="12"/>
      <c r="RTY13" s="12"/>
      <c r="RTZ13" s="12"/>
      <c r="RUA13" s="12"/>
      <c r="RUB13" s="12"/>
      <c r="RUC13" s="12"/>
      <c r="RUD13" s="12"/>
      <c r="RUE13" s="12"/>
      <c r="RUF13" s="12"/>
      <c r="RUG13" s="12"/>
      <c r="RUH13" s="12"/>
      <c r="RUI13" s="12"/>
      <c r="RUJ13" s="12"/>
      <c r="RUK13" s="12"/>
      <c r="RUL13" s="12"/>
      <c r="RUM13" s="12"/>
      <c r="RUN13" s="12"/>
      <c r="RUO13" s="12"/>
      <c r="RUP13" s="12"/>
      <c r="RUQ13" s="12"/>
      <c r="RUR13" s="12"/>
      <c r="RUS13" s="12"/>
      <c r="RUT13" s="12"/>
      <c r="RUU13" s="12"/>
      <c r="RUV13" s="12"/>
      <c r="RUW13" s="12"/>
      <c r="RUX13" s="12"/>
      <c r="RUY13" s="12"/>
      <c r="RUZ13" s="12"/>
      <c r="RVA13" s="12"/>
      <c r="RVB13" s="12"/>
      <c r="RVC13" s="12"/>
      <c r="RVD13" s="12"/>
      <c r="RVE13" s="12"/>
      <c r="RVF13" s="12"/>
      <c r="RVG13" s="12"/>
      <c r="RVH13" s="12"/>
      <c r="RVI13" s="12"/>
      <c r="RVJ13" s="12"/>
      <c r="RVK13" s="12"/>
      <c r="RVL13" s="12"/>
      <c r="RVM13" s="12"/>
      <c r="RVN13" s="12"/>
      <c r="RVO13" s="12"/>
      <c r="RVP13" s="12"/>
      <c r="RVQ13" s="12"/>
      <c r="RVR13" s="12"/>
      <c r="RVS13" s="12"/>
      <c r="RVT13" s="12"/>
      <c r="RVU13" s="12"/>
      <c r="RVV13" s="12"/>
      <c r="RVW13" s="12"/>
      <c r="RVX13" s="12"/>
      <c r="RVY13" s="12"/>
      <c r="RVZ13" s="12"/>
      <c r="RWA13" s="12"/>
      <c r="RWB13" s="12"/>
      <c r="RWC13" s="12"/>
      <c r="RWD13" s="12"/>
      <c r="RWE13" s="12"/>
      <c r="RWF13" s="12"/>
      <c r="RWG13" s="12"/>
      <c r="RWH13" s="12"/>
      <c r="RWI13" s="12"/>
      <c r="RWJ13" s="12"/>
      <c r="RWK13" s="12"/>
      <c r="RWL13" s="12"/>
      <c r="RWM13" s="12"/>
      <c r="RWN13" s="12"/>
      <c r="RWO13" s="12"/>
      <c r="RWP13" s="12"/>
      <c r="RWQ13" s="12"/>
      <c r="RWR13" s="12"/>
      <c r="RWS13" s="12"/>
      <c r="RWT13" s="12"/>
      <c r="RWU13" s="12"/>
      <c r="RWV13" s="12"/>
      <c r="RWW13" s="12"/>
      <c r="RWX13" s="12"/>
      <c r="RWY13" s="12"/>
      <c r="RWZ13" s="12"/>
      <c r="RXA13" s="12"/>
      <c r="RXB13" s="12"/>
      <c r="RXC13" s="12"/>
      <c r="RXD13" s="12"/>
      <c r="RXE13" s="12"/>
      <c r="RXF13" s="12"/>
      <c r="RXG13" s="12"/>
      <c r="RXH13" s="12"/>
      <c r="RXI13" s="12"/>
      <c r="RXJ13" s="12"/>
      <c r="RXK13" s="12"/>
      <c r="RXL13" s="12"/>
      <c r="RXM13" s="12"/>
      <c r="RXN13" s="12"/>
      <c r="RXO13" s="12"/>
      <c r="RXP13" s="12"/>
      <c r="RXQ13" s="12"/>
      <c r="RXR13" s="12"/>
      <c r="RXS13" s="12"/>
      <c r="RXT13" s="12"/>
      <c r="RXU13" s="12"/>
      <c r="RXV13" s="12"/>
      <c r="RXW13" s="12"/>
      <c r="RXX13" s="12"/>
      <c r="RXY13" s="12"/>
      <c r="RXZ13" s="12"/>
      <c r="RYA13" s="12"/>
      <c r="RYB13" s="12"/>
      <c r="RYC13" s="12"/>
      <c r="RYD13" s="12"/>
      <c r="RYE13" s="12"/>
      <c r="RYF13" s="12"/>
      <c r="RYG13" s="12"/>
      <c r="RYH13" s="12"/>
      <c r="RYI13" s="12"/>
      <c r="RYJ13" s="12"/>
      <c r="RYK13" s="12"/>
      <c r="RYL13" s="12"/>
      <c r="RYM13" s="12"/>
      <c r="RYN13" s="12"/>
      <c r="RYO13" s="12"/>
      <c r="RYP13" s="12"/>
      <c r="RYQ13" s="12"/>
      <c r="RYR13" s="12"/>
      <c r="RYS13" s="12"/>
      <c r="RYT13" s="12"/>
      <c r="RYU13" s="12"/>
      <c r="RYV13" s="12"/>
      <c r="RYW13" s="12"/>
      <c r="RYX13" s="12"/>
      <c r="RYY13" s="12"/>
      <c r="RYZ13" s="12"/>
      <c r="RZA13" s="12"/>
      <c r="RZB13" s="12"/>
      <c r="RZC13" s="12"/>
      <c r="RZD13" s="12"/>
      <c r="RZE13" s="12"/>
      <c r="RZF13" s="12"/>
      <c r="RZG13" s="12"/>
      <c r="RZH13" s="12"/>
      <c r="RZI13" s="12"/>
      <c r="RZJ13" s="12"/>
      <c r="RZK13" s="12"/>
      <c r="RZL13" s="12"/>
      <c r="RZM13" s="12"/>
      <c r="RZN13" s="12"/>
      <c r="RZO13" s="12"/>
      <c r="RZP13" s="12"/>
      <c r="RZQ13" s="12"/>
      <c r="RZR13" s="12"/>
      <c r="RZS13" s="12"/>
      <c r="RZT13" s="12"/>
      <c r="RZU13" s="12"/>
      <c r="RZV13" s="12"/>
      <c r="RZW13" s="12"/>
      <c r="RZX13" s="12"/>
      <c r="RZY13" s="12"/>
      <c r="RZZ13" s="12"/>
      <c r="SAA13" s="12"/>
      <c r="SAB13" s="12"/>
      <c r="SAC13" s="12"/>
      <c r="SAD13" s="12"/>
      <c r="SAE13" s="12"/>
      <c r="SAF13" s="12"/>
      <c r="SAG13" s="12"/>
      <c r="SAH13" s="12"/>
      <c r="SAI13" s="12"/>
      <c r="SAJ13" s="12"/>
      <c r="SAK13" s="12"/>
      <c r="SAL13" s="12"/>
      <c r="SAM13" s="12"/>
      <c r="SAN13" s="12"/>
      <c r="SAO13" s="12"/>
      <c r="SAP13" s="12"/>
      <c r="SAQ13" s="12"/>
      <c r="SAR13" s="12"/>
      <c r="SAS13" s="12"/>
      <c r="SAT13" s="12"/>
      <c r="SAU13" s="12"/>
      <c r="SAV13" s="12"/>
      <c r="SAW13" s="12"/>
      <c r="SAX13" s="12"/>
      <c r="SAY13" s="12"/>
      <c r="SAZ13" s="12"/>
      <c r="SBA13" s="12"/>
      <c r="SBB13" s="12"/>
      <c r="SBC13" s="12"/>
      <c r="SBD13" s="12"/>
      <c r="SBE13" s="12"/>
      <c r="SBF13" s="12"/>
      <c r="SBG13" s="12"/>
      <c r="SBH13" s="12"/>
      <c r="SBI13" s="12"/>
      <c r="SBJ13" s="12"/>
      <c r="SBK13" s="12"/>
      <c r="SBL13" s="12"/>
      <c r="SBM13" s="12"/>
      <c r="SBN13" s="12"/>
      <c r="SBO13" s="12"/>
      <c r="SBP13" s="12"/>
      <c r="SBQ13" s="12"/>
      <c r="SBR13" s="12"/>
      <c r="SBS13" s="12"/>
      <c r="SBT13" s="12"/>
      <c r="SBU13" s="12"/>
      <c r="SBV13" s="12"/>
      <c r="SBW13" s="12"/>
      <c r="SBX13" s="12"/>
      <c r="SBY13" s="12"/>
      <c r="SBZ13" s="12"/>
      <c r="SCA13" s="12"/>
      <c r="SCB13" s="12"/>
      <c r="SCC13" s="12"/>
      <c r="SCD13" s="12"/>
      <c r="SCE13" s="12"/>
      <c r="SCF13" s="12"/>
      <c r="SCG13" s="12"/>
      <c r="SCH13" s="12"/>
      <c r="SCI13" s="12"/>
      <c r="SCJ13" s="12"/>
      <c r="SCK13" s="12"/>
      <c r="SCL13" s="12"/>
      <c r="SCM13" s="12"/>
      <c r="SCN13" s="12"/>
      <c r="SCO13" s="12"/>
      <c r="SCP13" s="12"/>
      <c r="SCQ13" s="12"/>
      <c r="SCR13" s="12"/>
      <c r="SCS13" s="12"/>
      <c r="SCT13" s="12"/>
      <c r="SCU13" s="12"/>
      <c r="SCV13" s="12"/>
      <c r="SCW13" s="12"/>
      <c r="SCX13" s="12"/>
      <c r="SCY13" s="12"/>
      <c r="SCZ13" s="12"/>
      <c r="SDA13" s="12"/>
      <c r="SDB13" s="12"/>
      <c r="SDC13" s="12"/>
      <c r="SDD13" s="12"/>
      <c r="SDE13" s="12"/>
      <c r="SDF13" s="12"/>
      <c r="SDG13" s="12"/>
      <c r="SDH13" s="12"/>
      <c r="SDI13" s="12"/>
      <c r="SDJ13" s="12"/>
      <c r="SDK13" s="12"/>
      <c r="SDL13" s="12"/>
      <c r="SDM13" s="12"/>
      <c r="SDN13" s="12"/>
      <c r="SDO13" s="12"/>
      <c r="SDP13" s="12"/>
      <c r="SDQ13" s="12"/>
      <c r="SDR13" s="12"/>
      <c r="SDS13" s="12"/>
      <c r="SDT13" s="12"/>
      <c r="SDU13" s="12"/>
      <c r="SDV13" s="12"/>
      <c r="SDW13" s="12"/>
      <c r="SDX13" s="12"/>
      <c r="SDY13" s="12"/>
      <c r="SDZ13" s="12"/>
      <c r="SEA13" s="12"/>
      <c r="SEB13" s="12"/>
      <c r="SEC13" s="12"/>
      <c r="SED13" s="12"/>
      <c r="SEE13" s="12"/>
      <c r="SEF13" s="12"/>
      <c r="SEG13" s="12"/>
      <c r="SEH13" s="12"/>
      <c r="SEI13" s="12"/>
      <c r="SEJ13" s="12"/>
      <c r="SEK13" s="12"/>
      <c r="SEL13" s="12"/>
      <c r="SEM13" s="12"/>
      <c r="SEN13" s="12"/>
      <c r="SEO13" s="12"/>
      <c r="SEP13" s="12"/>
      <c r="SEQ13" s="12"/>
      <c r="SER13" s="12"/>
      <c r="SES13" s="12"/>
      <c r="SET13" s="12"/>
      <c r="SEU13" s="12"/>
      <c r="SEV13" s="12"/>
      <c r="SEW13" s="12"/>
      <c r="SEX13" s="12"/>
      <c r="SEY13" s="12"/>
      <c r="SEZ13" s="12"/>
      <c r="SFA13" s="12"/>
      <c r="SFB13" s="12"/>
      <c r="SFC13" s="12"/>
      <c r="SFD13" s="12"/>
      <c r="SFE13" s="12"/>
      <c r="SFF13" s="12"/>
      <c r="SFG13" s="12"/>
      <c r="SFH13" s="12"/>
      <c r="SFI13" s="12"/>
      <c r="SFJ13" s="12"/>
      <c r="SFK13" s="12"/>
      <c r="SFL13" s="12"/>
      <c r="SFM13" s="12"/>
      <c r="SFN13" s="12"/>
      <c r="SFO13" s="12"/>
      <c r="SFP13" s="12"/>
      <c r="SFQ13" s="12"/>
      <c r="SFR13" s="12"/>
      <c r="SFS13" s="12"/>
      <c r="SFT13" s="12"/>
      <c r="SFU13" s="12"/>
      <c r="SFV13" s="12"/>
      <c r="SFW13" s="12"/>
      <c r="SFX13" s="12"/>
      <c r="SFY13" s="12"/>
      <c r="SFZ13" s="12"/>
      <c r="SGA13" s="12"/>
      <c r="SGB13" s="12"/>
      <c r="SGC13" s="12"/>
      <c r="SGD13" s="12"/>
      <c r="SGE13" s="12"/>
      <c r="SGF13" s="12"/>
      <c r="SGG13" s="12"/>
      <c r="SGH13" s="12"/>
      <c r="SGI13" s="12"/>
      <c r="SGJ13" s="12"/>
      <c r="SGK13" s="12"/>
      <c r="SGL13" s="12"/>
      <c r="SGM13" s="12"/>
      <c r="SGN13" s="12"/>
      <c r="SGO13" s="12"/>
      <c r="SGP13" s="12"/>
      <c r="SGQ13" s="12"/>
      <c r="SGR13" s="12"/>
      <c r="SGS13" s="12"/>
      <c r="SGT13" s="12"/>
      <c r="SGU13" s="12"/>
      <c r="SGV13" s="12"/>
      <c r="SGW13" s="12"/>
      <c r="SGX13" s="12"/>
      <c r="SGY13" s="12"/>
      <c r="SGZ13" s="12"/>
      <c r="SHA13" s="12"/>
      <c r="SHB13" s="12"/>
      <c r="SHC13" s="12"/>
      <c r="SHD13" s="12"/>
      <c r="SHE13" s="12"/>
      <c r="SHF13" s="12"/>
      <c r="SHG13" s="12"/>
      <c r="SHH13" s="12"/>
      <c r="SHI13" s="12"/>
      <c r="SHJ13" s="12"/>
      <c r="SHK13" s="12"/>
      <c r="SHL13" s="12"/>
      <c r="SHM13" s="12"/>
      <c r="SHN13" s="12"/>
      <c r="SHO13" s="12"/>
      <c r="SHP13" s="12"/>
      <c r="SHQ13" s="12"/>
      <c r="SHR13" s="12"/>
      <c r="SHS13" s="12"/>
      <c r="SHT13" s="12"/>
      <c r="SHU13" s="12"/>
      <c r="SHV13" s="12"/>
      <c r="SHW13" s="12"/>
      <c r="SHX13" s="12"/>
      <c r="SHY13" s="12"/>
      <c r="SHZ13" s="12"/>
      <c r="SIA13" s="12"/>
      <c r="SIB13" s="12"/>
      <c r="SIC13" s="12"/>
      <c r="SID13" s="12"/>
      <c r="SIE13" s="12"/>
      <c r="SIF13" s="12"/>
      <c r="SIG13" s="12"/>
      <c r="SIH13" s="12"/>
      <c r="SII13" s="12"/>
      <c r="SIJ13" s="12"/>
      <c r="SIK13" s="12"/>
      <c r="SIL13" s="12"/>
      <c r="SIM13" s="12"/>
      <c r="SIN13" s="12"/>
      <c r="SIO13" s="12"/>
      <c r="SIP13" s="12"/>
      <c r="SIQ13" s="12"/>
      <c r="SIR13" s="12"/>
      <c r="SIS13" s="12"/>
      <c r="SIT13" s="12"/>
      <c r="SIU13" s="12"/>
      <c r="SIV13" s="12"/>
      <c r="SIW13" s="12"/>
      <c r="SIX13" s="12"/>
      <c r="SIY13" s="12"/>
      <c r="SIZ13" s="12"/>
      <c r="SJA13" s="12"/>
      <c r="SJB13" s="12"/>
      <c r="SJC13" s="12"/>
      <c r="SJD13" s="12"/>
      <c r="SJE13" s="12"/>
      <c r="SJF13" s="12"/>
      <c r="SJG13" s="12"/>
      <c r="SJH13" s="12"/>
      <c r="SJI13" s="12"/>
      <c r="SJJ13" s="12"/>
      <c r="SJK13" s="12"/>
      <c r="SJL13" s="12"/>
      <c r="SJM13" s="12"/>
      <c r="SJN13" s="12"/>
      <c r="SJO13" s="12"/>
      <c r="SJP13" s="12"/>
      <c r="SJQ13" s="12"/>
      <c r="SJR13" s="12"/>
      <c r="SJS13" s="12"/>
      <c r="SJT13" s="12"/>
      <c r="SJU13" s="12"/>
      <c r="SJV13" s="12"/>
      <c r="SJW13" s="12"/>
      <c r="SJX13" s="12"/>
      <c r="SJY13" s="12"/>
      <c r="SJZ13" s="12"/>
      <c r="SKA13" s="12"/>
      <c r="SKB13" s="12"/>
      <c r="SKC13" s="12"/>
      <c r="SKD13" s="12"/>
      <c r="SKE13" s="12"/>
      <c r="SKF13" s="12"/>
      <c r="SKG13" s="12"/>
      <c r="SKH13" s="12"/>
      <c r="SKI13" s="12"/>
      <c r="SKJ13" s="12"/>
      <c r="SKK13" s="12"/>
      <c r="SKL13" s="12"/>
      <c r="SKM13" s="12"/>
      <c r="SKN13" s="12"/>
      <c r="SKO13" s="12"/>
      <c r="SKP13" s="12"/>
      <c r="SKQ13" s="12"/>
      <c r="SKR13" s="12"/>
      <c r="SKS13" s="12"/>
      <c r="SKT13" s="12"/>
      <c r="SKU13" s="12"/>
      <c r="SKV13" s="12"/>
      <c r="SKW13" s="12"/>
      <c r="SKX13" s="12"/>
      <c r="SKY13" s="12"/>
      <c r="SKZ13" s="12"/>
      <c r="SLA13" s="12"/>
      <c r="SLB13" s="12"/>
      <c r="SLC13" s="12"/>
      <c r="SLD13" s="12"/>
      <c r="SLE13" s="12"/>
      <c r="SLF13" s="12"/>
      <c r="SLG13" s="12"/>
      <c r="SLH13" s="12"/>
      <c r="SLI13" s="12"/>
      <c r="SLJ13" s="12"/>
      <c r="SLK13" s="12"/>
      <c r="SLL13" s="12"/>
      <c r="SLM13" s="12"/>
      <c r="SLN13" s="12"/>
      <c r="SLO13" s="12"/>
      <c r="SLP13" s="12"/>
      <c r="SLQ13" s="12"/>
      <c r="SLR13" s="12"/>
      <c r="SLS13" s="12"/>
      <c r="SLT13" s="12"/>
      <c r="SLU13" s="12"/>
      <c r="SLV13" s="12"/>
      <c r="SLW13" s="12"/>
      <c r="SLX13" s="12"/>
      <c r="SLY13" s="12"/>
      <c r="SLZ13" s="12"/>
      <c r="SMA13" s="12"/>
      <c r="SMB13" s="12"/>
      <c r="SMC13" s="12"/>
      <c r="SMD13" s="12"/>
      <c r="SME13" s="12"/>
      <c r="SMF13" s="12"/>
      <c r="SMG13" s="12"/>
      <c r="SMH13" s="12"/>
      <c r="SMI13" s="12"/>
      <c r="SMJ13" s="12"/>
      <c r="SMK13" s="12"/>
      <c r="SML13" s="12"/>
      <c r="SMM13" s="12"/>
      <c r="SMN13" s="12"/>
      <c r="SMO13" s="12"/>
      <c r="SMP13" s="12"/>
      <c r="SMQ13" s="12"/>
      <c r="SMR13" s="12"/>
      <c r="SMS13" s="12"/>
      <c r="SMT13" s="12"/>
      <c r="SMU13" s="12"/>
      <c r="SMV13" s="12"/>
      <c r="SMW13" s="12"/>
      <c r="SMX13" s="12"/>
      <c r="SMY13" s="12"/>
      <c r="SMZ13" s="12"/>
      <c r="SNA13" s="12"/>
      <c r="SNB13" s="12"/>
      <c r="SNC13" s="12"/>
      <c r="SND13" s="12"/>
      <c r="SNE13" s="12"/>
      <c r="SNF13" s="12"/>
      <c r="SNG13" s="12"/>
      <c r="SNH13" s="12"/>
      <c r="SNI13" s="12"/>
      <c r="SNJ13" s="12"/>
      <c r="SNK13" s="12"/>
      <c r="SNL13" s="12"/>
      <c r="SNM13" s="12"/>
      <c r="SNN13" s="12"/>
      <c r="SNO13" s="12"/>
      <c r="SNP13" s="12"/>
      <c r="SNQ13" s="12"/>
      <c r="SNR13" s="12"/>
      <c r="SNS13" s="12"/>
      <c r="SNT13" s="12"/>
      <c r="SNU13" s="12"/>
      <c r="SNV13" s="12"/>
      <c r="SNW13" s="12"/>
      <c r="SNX13" s="12"/>
      <c r="SNY13" s="12"/>
      <c r="SNZ13" s="12"/>
      <c r="SOA13" s="12"/>
      <c r="SOB13" s="12"/>
      <c r="SOC13" s="12"/>
      <c r="SOD13" s="12"/>
      <c r="SOE13" s="12"/>
      <c r="SOF13" s="12"/>
      <c r="SOG13" s="12"/>
      <c r="SOH13" s="12"/>
      <c r="SOI13" s="12"/>
      <c r="SOJ13" s="12"/>
      <c r="SOK13" s="12"/>
      <c r="SOL13" s="12"/>
      <c r="SOM13" s="12"/>
      <c r="SON13" s="12"/>
      <c r="SOO13" s="12"/>
      <c r="SOP13" s="12"/>
      <c r="SOQ13" s="12"/>
      <c r="SOR13" s="12"/>
      <c r="SOS13" s="12"/>
      <c r="SOT13" s="12"/>
      <c r="SOU13" s="12"/>
      <c r="SOV13" s="12"/>
      <c r="SOW13" s="12"/>
      <c r="SOX13" s="12"/>
      <c r="SOY13" s="12"/>
      <c r="SOZ13" s="12"/>
      <c r="SPA13" s="12"/>
      <c r="SPB13" s="12"/>
      <c r="SPC13" s="12"/>
      <c r="SPD13" s="12"/>
      <c r="SPE13" s="12"/>
      <c r="SPF13" s="12"/>
      <c r="SPG13" s="12"/>
      <c r="SPH13" s="12"/>
      <c r="SPI13" s="12"/>
      <c r="SPJ13" s="12"/>
      <c r="SPK13" s="12"/>
      <c r="SPL13" s="12"/>
      <c r="SPM13" s="12"/>
      <c r="SPN13" s="12"/>
      <c r="SPO13" s="12"/>
      <c r="SPP13" s="12"/>
      <c r="SPQ13" s="12"/>
      <c r="SPR13" s="12"/>
      <c r="SPS13" s="12"/>
      <c r="SPT13" s="12"/>
      <c r="SPU13" s="12"/>
      <c r="SPV13" s="12"/>
      <c r="SPW13" s="12"/>
      <c r="SPX13" s="12"/>
      <c r="SPY13" s="12"/>
      <c r="SPZ13" s="12"/>
      <c r="SQA13" s="12"/>
      <c r="SQB13" s="12"/>
      <c r="SQC13" s="12"/>
      <c r="SQD13" s="12"/>
      <c r="SQE13" s="12"/>
      <c r="SQF13" s="12"/>
      <c r="SQG13" s="12"/>
      <c r="SQH13" s="12"/>
      <c r="SQI13" s="12"/>
      <c r="SQJ13" s="12"/>
      <c r="SQK13" s="12"/>
      <c r="SQL13" s="12"/>
      <c r="SQM13" s="12"/>
      <c r="SQN13" s="12"/>
      <c r="SQO13" s="12"/>
      <c r="SQP13" s="12"/>
      <c r="SQQ13" s="12"/>
      <c r="SQR13" s="12"/>
      <c r="SQS13" s="12"/>
      <c r="SQT13" s="12"/>
      <c r="SQU13" s="12"/>
      <c r="SQV13" s="12"/>
      <c r="SQW13" s="12"/>
      <c r="SQX13" s="12"/>
      <c r="SQY13" s="12"/>
      <c r="SQZ13" s="12"/>
      <c r="SRA13" s="12"/>
      <c r="SRB13" s="12"/>
      <c r="SRC13" s="12"/>
      <c r="SRD13" s="12"/>
      <c r="SRE13" s="12"/>
      <c r="SRF13" s="12"/>
      <c r="SRG13" s="12"/>
      <c r="SRH13" s="12"/>
      <c r="SRI13" s="12"/>
      <c r="SRJ13" s="12"/>
      <c r="SRK13" s="12"/>
      <c r="SRL13" s="12"/>
      <c r="SRM13" s="12"/>
      <c r="SRN13" s="12"/>
      <c r="SRO13" s="12"/>
      <c r="SRP13" s="12"/>
      <c r="SRQ13" s="12"/>
      <c r="SRR13" s="12"/>
      <c r="SRS13" s="12"/>
      <c r="SRT13" s="12"/>
      <c r="SRU13" s="12"/>
      <c r="SRV13" s="12"/>
      <c r="SRW13" s="12"/>
      <c r="SRX13" s="12"/>
      <c r="SRY13" s="12"/>
      <c r="SRZ13" s="12"/>
      <c r="SSA13" s="12"/>
      <c r="SSB13" s="12"/>
      <c r="SSC13" s="12"/>
      <c r="SSD13" s="12"/>
      <c r="SSE13" s="12"/>
      <c r="SSF13" s="12"/>
      <c r="SSG13" s="12"/>
      <c r="SSH13" s="12"/>
      <c r="SSI13" s="12"/>
      <c r="SSJ13" s="12"/>
      <c r="SSK13" s="12"/>
      <c r="SSL13" s="12"/>
      <c r="SSM13" s="12"/>
      <c r="SSN13" s="12"/>
      <c r="SSO13" s="12"/>
      <c r="SSP13" s="12"/>
      <c r="SSQ13" s="12"/>
      <c r="SSR13" s="12"/>
      <c r="SSS13" s="12"/>
      <c r="SST13" s="12"/>
      <c r="SSU13" s="12"/>
      <c r="SSV13" s="12"/>
      <c r="SSW13" s="12"/>
      <c r="SSX13" s="12"/>
      <c r="SSY13" s="12"/>
      <c r="SSZ13" s="12"/>
      <c r="STA13" s="12"/>
      <c r="STB13" s="12"/>
      <c r="STC13" s="12"/>
      <c r="STD13" s="12"/>
      <c r="STE13" s="12"/>
      <c r="STF13" s="12"/>
      <c r="STG13" s="12"/>
      <c r="STH13" s="12"/>
      <c r="STI13" s="12"/>
      <c r="STJ13" s="12"/>
      <c r="STK13" s="12"/>
      <c r="STL13" s="12"/>
      <c r="STM13" s="12"/>
      <c r="STN13" s="12"/>
      <c r="STO13" s="12"/>
      <c r="STP13" s="12"/>
      <c r="STQ13" s="12"/>
      <c r="STR13" s="12"/>
      <c r="STS13" s="12"/>
      <c r="STT13" s="12"/>
      <c r="STU13" s="12"/>
      <c r="STV13" s="12"/>
      <c r="STW13" s="12"/>
      <c r="STX13" s="12"/>
      <c r="STY13" s="12"/>
      <c r="STZ13" s="12"/>
      <c r="SUA13" s="12"/>
      <c r="SUB13" s="12"/>
      <c r="SUC13" s="12"/>
      <c r="SUD13" s="12"/>
      <c r="SUE13" s="12"/>
      <c r="SUF13" s="12"/>
      <c r="SUG13" s="12"/>
      <c r="SUH13" s="12"/>
      <c r="SUI13" s="12"/>
      <c r="SUJ13" s="12"/>
      <c r="SUK13" s="12"/>
      <c r="SUL13" s="12"/>
      <c r="SUM13" s="12"/>
      <c r="SUN13" s="12"/>
      <c r="SUO13" s="12"/>
      <c r="SUP13" s="12"/>
      <c r="SUQ13" s="12"/>
      <c r="SUR13" s="12"/>
      <c r="SUS13" s="12"/>
      <c r="SUT13" s="12"/>
      <c r="SUU13" s="12"/>
      <c r="SUV13" s="12"/>
      <c r="SUW13" s="12"/>
      <c r="SUX13" s="12"/>
      <c r="SUY13" s="12"/>
      <c r="SUZ13" s="12"/>
      <c r="SVA13" s="12"/>
      <c r="SVB13" s="12"/>
      <c r="SVC13" s="12"/>
      <c r="SVD13" s="12"/>
      <c r="SVE13" s="12"/>
      <c r="SVF13" s="12"/>
      <c r="SVG13" s="12"/>
      <c r="SVH13" s="12"/>
      <c r="SVI13" s="12"/>
      <c r="SVJ13" s="12"/>
      <c r="SVK13" s="12"/>
      <c r="SVL13" s="12"/>
      <c r="SVM13" s="12"/>
      <c r="SVN13" s="12"/>
      <c r="SVO13" s="12"/>
      <c r="SVP13" s="12"/>
      <c r="SVQ13" s="12"/>
      <c r="SVR13" s="12"/>
      <c r="SVS13" s="12"/>
      <c r="SVT13" s="12"/>
      <c r="SVU13" s="12"/>
      <c r="SVV13" s="12"/>
      <c r="SVW13" s="12"/>
      <c r="SVX13" s="12"/>
      <c r="SVY13" s="12"/>
      <c r="SVZ13" s="12"/>
      <c r="SWA13" s="12"/>
      <c r="SWB13" s="12"/>
      <c r="SWC13" s="12"/>
      <c r="SWD13" s="12"/>
      <c r="SWE13" s="12"/>
      <c r="SWF13" s="12"/>
      <c r="SWG13" s="12"/>
      <c r="SWH13" s="12"/>
      <c r="SWI13" s="12"/>
      <c r="SWJ13" s="12"/>
      <c r="SWK13" s="12"/>
      <c r="SWL13" s="12"/>
      <c r="SWM13" s="12"/>
      <c r="SWN13" s="12"/>
      <c r="SWO13" s="12"/>
      <c r="SWP13" s="12"/>
      <c r="SWQ13" s="12"/>
      <c r="SWR13" s="12"/>
      <c r="SWS13" s="12"/>
      <c r="SWT13" s="12"/>
      <c r="SWU13" s="12"/>
      <c r="SWV13" s="12"/>
      <c r="SWW13" s="12"/>
      <c r="SWX13" s="12"/>
      <c r="SWY13" s="12"/>
      <c r="SWZ13" s="12"/>
      <c r="SXA13" s="12"/>
      <c r="SXB13" s="12"/>
      <c r="SXC13" s="12"/>
      <c r="SXD13" s="12"/>
      <c r="SXE13" s="12"/>
      <c r="SXF13" s="12"/>
      <c r="SXG13" s="12"/>
      <c r="SXH13" s="12"/>
      <c r="SXI13" s="12"/>
      <c r="SXJ13" s="12"/>
      <c r="SXK13" s="12"/>
      <c r="SXL13" s="12"/>
      <c r="SXM13" s="12"/>
      <c r="SXN13" s="12"/>
      <c r="SXO13" s="12"/>
      <c r="SXP13" s="12"/>
      <c r="SXQ13" s="12"/>
      <c r="SXR13" s="12"/>
      <c r="SXS13" s="12"/>
      <c r="SXT13" s="12"/>
      <c r="SXU13" s="12"/>
      <c r="SXV13" s="12"/>
      <c r="SXW13" s="12"/>
      <c r="SXX13" s="12"/>
      <c r="SXY13" s="12"/>
      <c r="SXZ13" s="12"/>
      <c r="SYA13" s="12"/>
      <c r="SYB13" s="12"/>
      <c r="SYC13" s="12"/>
      <c r="SYD13" s="12"/>
      <c r="SYE13" s="12"/>
      <c r="SYF13" s="12"/>
      <c r="SYG13" s="12"/>
      <c r="SYH13" s="12"/>
      <c r="SYI13" s="12"/>
      <c r="SYJ13" s="12"/>
      <c r="SYK13" s="12"/>
      <c r="SYL13" s="12"/>
      <c r="SYM13" s="12"/>
      <c r="SYN13" s="12"/>
      <c r="SYO13" s="12"/>
      <c r="SYP13" s="12"/>
      <c r="SYQ13" s="12"/>
      <c r="SYR13" s="12"/>
      <c r="SYS13" s="12"/>
      <c r="SYT13" s="12"/>
      <c r="SYU13" s="12"/>
      <c r="SYV13" s="12"/>
      <c r="SYW13" s="12"/>
      <c r="SYX13" s="12"/>
      <c r="SYY13" s="12"/>
      <c r="SYZ13" s="12"/>
      <c r="SZA13" s="12"/>
      <c r="SZB13" s="12"/>
      <c r="SZC13" s="12"/>
      <c r="SZD13" s="12"/>
      <c r="SZE13" s="12"/>
      <c r="SZF13" s="12"/>
      <c r="SZG13" s="12"/>
      <c r="SZH13" s="12"/>
      <c r="SZI13" s="12"/>
      <c r="SZJ13" s="12"/>
      <c r="SZK13" s="12"/>
      <c r="SZL13" s="12"/>
      <c r="SZM13" s="12"/>
      <c r="SZN13" s="12"/>
      <c r="SZO13" s="12"/>
      <c r="SZP13" s="12"/>
      <c r="SZQ13" s="12"/>
      <c r="SZR13" s="12"/>
      <c r="SZS13" s="12"/>
      <c r="SZT13" s="12"/>
      <c r="SZU13" s="12"/>
      <c r="SZV13" s="12"/>
      <c r="SZW13" s="12"/>
      <c r="SZX13" s="12"/>
      <c r="SZY13" s="12"/>
      <c r="SZZ13" s="12"/>
      <c r="TAA13" s="12"/>
      <c r="TAB13" s="12"/>
      <c r="TAC13" s="12"/>
      <c r="TAD13" s="12"/>
      <c r="TAE13" s="12"/>
      <c r="TAF13" s="12"/>
      <c r="TAG13" s="12"/>
      <c r="TAH13" s="12"/>
      <c r="TAI13" s="12"/>
      <c r="TAJ13" s="12"/>
      <c r="TAK13" s="12"/>
      <c r="TAL13" s="12"/>
      <c r="TAM13" s="12"/>
      <c r="TAN13" s="12"/>
      <c r="TAO13" s="12"/>
      <c r="TAP13" s="12"/>
      <c r="TAQ13" s="12"/>
      <c r="TAR13" s="12"/>
      <c r="TAS13" s="12"/>
      <c r="TAT13" s="12"/>
      <c r="TAU13" s="12"/>
      <c r="TAV13" s="12"/>
      <c r="TAW13" s="12"/>
      <c r="TAX13" s="12"/>
      <c r="TAY13" s="12"/>
      <c r="TAZ13" s="12"/>
      <c r="TBA13" s="12"/>
      <c r="TBB13" s="12"/>
      <c r="TBC13" s="12"/>
      <c r="TBD13" s="12"/>
      <c r="TBE13" s="12"/>
      <c r="TBF13" s="12"/>
      <c r="TBG13" s="12"/>
      <c r="TBH13" s="12"/>
      <c r="TBI13" s="12"/>
      <c r="TBJ13" s="12"/>
      <c r="TBK13" s="12"/>
      <c r="TBL13" s="12"/>
      <c r="TBM13" s="12"/>
      <c r="TBN13" s="12"/>
      <c r="TBO13" s="12"/>
      <c r="TBP13" s="12"/>
      <c r="TBQ13" s="12"/>
      <c r="TBR13" s="12"/>
      <c r="TBS13" s="12"/>
      <c r="TBT13" s="12"/>
      <c r="TBU13" s="12"/>
      <c r="TBV13" s="12"/>
      <c r="TBW13" s="12"/>
      <c r="TBX13" s="12"/>
      <c r="TBY13" s="12"/>
      <c r="TBZ13" s="12"/>
      <c r="TCA13" s="12"/>
      <c r="TCB13" s="12"/>
      <c r="TCC13" s="12"/>
      <c r="TCD13" s="12"/>
      <c r="TCE13" s="12"/>
      <c r="TCF13" s="12"/>
      <c r="TCG13" s="12"/>
      <c r="TCH13" s="12"/>
      <c r="TCI13" s="12"/>
      <c r="TCJ13" s="12"/>
      <c r="TCK13" s="12"/>
      <c r="TCL13" s="12"/>
      <c r="TCM13" s="12"/>
      <c r="TCN13" s="12"/>
      <c r="TCO13" s="12"/>
      <c r="TCP13" s="12"/>
      <c r="TCQ13" s="12"/>
      <c r="TCR13" s="12"/>
      <c r="TCS13" s="12"/>
      <c r="TCT13" s="12"/>
      <c r="TCU13" s="12"/>
      <c r="TCV13" s="12"/>
      <c r="TCW13" s="12"/>
      <c r="TCX13" s="12"/>
      <c r="TCY13" s="12"/>
      <c r="TCZ13" s="12"/>
      <c r="TDA13" s="12"/>
      <c r="TDB13" s="12"/>
      <c r="TDC13" s="12"/>
      <c r="TDD13" s="12"/>
      <c r="TDE13" s="12"/>
      <c r="TDF13" s="12"/>
      <c r="TDG13" s="12"/>
      <c r="TDH13" s="12"/>
      <c r="TDI13" s="12"/>
      <c r="TDJ13" s="12"/>
      <c r="TDK13" s="12"/>
      <c r="TDL13" s="12"/>
      <c r="TDM13" s="12"/>
      <c r="TDN13" s="12"/>
      <c r="TDO13" s="12"/>
      <c r="TDP13" s="12"/>
      <c r="TDQ13" s="12"/>
      <c r="TDR13" s="12"/>
      <c r="TDS13" s="12"/>
      <c r="TDT13" s="12"/>
      <c r="TDU13" s="12"/>
      <c r="TDV13" s="12"/>
      <c r="TDW13" s="12"/>
      <c r="TDX13" s="12"/>
      <c r="TDY13" s="12"/>
      <c r="TDZ13" s="12"/>
      <c r="TEA13" s="12"/>
      <c r="TEB13" s="12"/>
      <c r="TEC13" s="12"/>
      <c r="TED13" s="12"/>
      <c r="TEE13" s="12"/>
      <c r="TEF13" s="12"/>
      <c r="TEG13" s="12"/>
      <c r="TEH13" s="12"/>
      <c r="TEI13" s="12"/>
      <c r="TEJ13" s="12"/>
      <c r="TEK13" s="12"/>
      <c r="TEL13" s="12"/>
      <c r="TEM13" s="12"/>
      <c r="TEN13" s="12"/>
      <c r="TEO13" s="12"/>
      <c r="TEP13" s="12"/>
      <c r="TEQ13" s="12"/>
      <c r="TER13" s="12"/>
      <c r="TES13" s="12"/>
      <c r="TET13" s="12"/>
      <c r="TEU13" s="12"/>
      <c r="TEV13" s="12"/>
      <c r="TEW13" s="12"/>
      <c r="TEX13" s="12"/>
      <c r="TEY13" s="12"/>
      <c r="TEZ13" s="12"/>
      <c r="TFA13" s="12"/>
      <c r="TFB13" s="12"/>
      <c r="TFC13" s="12"/>
      <c r="TFD13" s="12"/>
      <c r="TFE13" s="12"/>
      <c r="TFF13" s="12"/>
      <c r="TFG13" s="12"/>
      <c r="TFH13" s="12"/>
      <c r="TFI13" s="12"/>
      <c r="TFJ13" s="12"/>
      <c r="TFK13" s="12"/>
      <c r="TFL13" s="12"/>
      <c r="TFM13" s="12"/>
      <c r="TFN13" s="12"/>
      <c r="TFO13" s="12"/>
      <c r="TFP13" s="12"/>
      <c r="TFQ13" s="12"/>
      <c r="TFR13" s="12"/>
      <c r="TFS13" s="12"/>
      <c r="TFT13" s="12"/>
      <c r="TFU13" s="12"/>
      <c r="TFV13" s="12"/>
      <c r="TFW13" s="12"/>
      <c r="TFX13" s="12"/>
      <c r="TFY13" s="12"/>
      <c r="TFZ13" s="12"/>
      <c r="TGA13" s="12"/>
      <c r="TGB13" s="12"/>
      <c r="TGC13" s="12"/>
      <c r="TGD13" s="12"/>
      <c r="TGE13" s="12"/>
      <c r="TGF13" s="12"/>
      <c r="TGG13" s="12"/>
      <c r="TGH13" s="12"/>
      <c r="TGI13" s="12"/>
      <c r="TGJ13" s="12"/>
      <c r="TGK13" s="12"/>
      <c r="TGL13" s="12"/>
      <c r="TGM13" s="12"/>
      <c r="TGN13" s="12"/>
      <c r="TGO13" s="12"/>
      <c r="TGP13" s="12"/>
      <c r="TGQ13" s="12"/>
      <c r="TGR13" s="12"/>
      <c r="TGS13" s="12"/>
      <c r="TGT13" s="12"/>
      <c r="TGU13" s="12"/>
      <c r="TGV13" s="12"/>
      <c r="TGW13" s="12"/>
      <c r="TGX13" s="12"/>
      <c r="TGY13" s="12"/>
      <c r="TGZ13" s="12"/>
      <c r="THA13" s="12"/>
      <c r="THB13" s="12"/>
      <c r="THC13" s="12"/>
      <c r="THD13" s="12"/>
      <c r="THE13" s="12"/>
      <c r="THF13" s="12"/>
      <c r="THG13" s="12"/>
      <c r="THH13" s="12"/>
      <c r="THI13" s="12"/>
      <c r="THJ13" s="12"/>
      <c r="THK13" s="12"/>
      <c r="THL13" s="12"/>
      <c r="THM13" s="12"/>
      <c r="THN13" s="12"/>
      <c r="THO13" s="12"/>
      <c r="THP13" s="12"/>
      <c r="THQ13" s="12"/>
      <c r="THR13" s="12"/>
      <c r="THS13" s="12"/>
      <c r="THT13" s="12"/>
      <c r="THU13" s="12"/>
      <c r="THV13" s="12"/>
      <c r="THW13" s="12"/>
      <c r="THX13" s="12"/>
      <c r="THY13" s="12"/>
      <c r="THZ13" s="12"/>
      <c r="TIA13" s="12"/>
      <c r="TIB13" s="12"/>
      <c r="TIC13" s="12"/>
      <c r="TID13" s="12"/>
      <c r="TIE13" s="12"/>
      <c r="TIF13" s="12"/>
      <c r="TIG13" s="12"/>
      <c r="TIH13" s="12"/>
      <c r="TII13" s="12"/>
      <c r="TIJ13" s="12"/>
      <c r="TIK13" s="12"/>
      <c r="TIL13" s="12"/>
      <c r="TIM13" s="12"/>
      <c r="TIN13" s="12"/>
      <c r="TIO13" s="12"/>
      <c r="TIP13" s="12"/>
      <c r="TIQ13" s="12"/>
      <c r="TIR13" s="12"/>
      <c r="TIS13" s="12"/>
      <c r="TIT13" s="12"/>
      <c r="TIU13" s="12"/>
      <c r="TIV13" s="12"/>
      <c r="TIW13" s="12"/>
      <c r="TIX13" s="12"/>
      <c r="TIY13" s="12"/>
      <c r="TIZ13" s="12"/>
      <c r="TJA13" s="12"/>
      <c r="TJB13" s="12"/>
      <c r="TJC13" s="12"/>
      <c r="TJD13" s="12"/>
      <c r="TJE13" s="12"/>
      <c r="TJF13" s="12"/>
      <c r="TJG13" s="12"/>
      <c r="TJH13" s="12"/>
      <c r="TJI13" s="12"/>
      <c r="TJJ13" s="12"/>
      <c r="TJK13" s="12"/>
      <c r="TJL13" s="12"/>
      <c r="TJM13" s="12"/>
      <c r="TJN13" s="12"/>
      <c r="TJO13" s="12"/>
      <c r="TJP13" s="12"/>
      <c r="TJQ13" s="12"/>
      <c r="TJR13" s="12"/>
      <c r="TJS13" s="12"/>
      <c r="TJT13" s="12"/>
      <c r="TJU13" s="12"/>
      <c r="TJV13" s="12"/>
      <c r="TJW13" s="12"/>
      <c r="TJX13" s="12"/>
      <c r="TJY13" s="12"/>
      <c r="TJZ13" s="12"/>
      <c r="TKA13" s="12"/>
      <c r="TKB13" s="12"/>
      <c r="TKC13" s="12"/>
      <c r="TKD13" s="12"/>
      <c r="TKE13" s="12"/>
      <c r="TKF13" s="12"/>
      <c r="TKG13" s="12"/>
      <c r="TKH13" s="12"/>
      <c r="TKI13" s="12"/>
      <c r="TKJ13" s="12"/>
      <c r="TKK13" s="12"/>
      <c r="TKL13" s="12"/>
      <c r="TKM13" s="12"/>
      <c r="TKN13" s="12"/>
      <c r="TKO13" s="12"/>
      <c r="TKP13" s="12"/>
      <c r="TKQ13" s="12"/>
      <c r="TKR13" s="12"/>
      <c r="TKS13" s="12"/>
      <c r="TKT13" s="12"/>
      <c r="TKU13" s="12"/>
      <c r="TKV13" s="12"/>
      <c r="TKW13" s="12"/>
      <c r="TKX13" s="12"/>
      <c r="TKY13" s="12"/>
      <c r="TKZ13" s="12"/>
      <c r="TLA13" s="12"/>
      <c r="TLB13" s="12"/>
      <c r="TLC13" s="12"/>
      <c r="TLD13" s="12"/>
      <c r="TLE13" s="12"/>
      <c r="TLF13" s="12"/>
      <c r="TLG13" s="12"/>
      <c r="TLH13" s="12"/>
      <c r="TLI13" s="12"/>
      <c r="TLJ13" s="12"/>
      <c r="TLK13" s="12"/>
      <c r="TLL13" s="12"/>
      <c r="TLM13" s="12"/>
      <c r="TLN13" s="12"/>
      <c r="TLO13" s="12"/>
      <c r="TLP13" s="12"/>
      <c r="TLQ13" s="12"/>
      <c r="TLR13" s="12"/>
      <c r="TLS13" s="12"/>
      <c r="TLT13" s="12"/>
      <c r="TLU13" s="12"/>
      <c r="TLV13" s="12"/>
      <c r="TLW13" s="12"/>
      <c r="TLX13" s="12"/>
      <c r="TLY13" s="12"/>
      <c r="TLZ13" s="12"/>
      <c r="TMA13" s="12"/>
      <c r="TMB13" s="12"/>
      <c r="TMC13" s="12"/>
      <c r="TMD13" s="12"/>
      <c r="TME13" s="12"/>
      <c r="TMF13" s="12"/>
      <c r="TMG13" s="12"/>
      <c r="TMH13" s="12"/>
      <c r="TMI13" s="12"/>
      <c r="TMJ13" s="12"/>
      <c r="TMK13" s="12"/>
      <c r="TML13" s="12"/>
      <c r="TMM13" s="12"/>
      <c r="TMN13" s="12"/>
      <c r="TMO13" s="12"/>
      <c r="TMP13" s="12"/>
      <c r="TMQ13" s="12"/>
      <c r="TMR13" s="12"/>
      <c r="TMS13" s="12"/>
      <c r="TMT13" s="12"/>
      <c r="TMU13" s="12"/>
      <c r="TMV13" s="12"/>
      <c r="TMW13" s="12"/>
      <c r="TMX13" s="12"/>
      <c r="TMY13" s="12"/>
      <c r="TMZ13" s="12"/>
      <c r="TNA13" s="12"/>
      <c r="TNB13" s="12"/>
      <c r="TNC13" s="12"/>
      <c r="TND13" s="12"/>
      <c r="TNE13" s="12"/>
      <c r="TNF13" s="12"/>
      <c r="TNG13" s="12"/>
      <c r="TNH13" s="12"/>
      <c r="TNI13" s="12"/>
      <c r="TNJ13" s="12"/>
      <c r="TNK13" s="12"/>
      <c r="TNL13" s="12"/>
      <c r="TNM13" s="12"/>
      <c r="TNN13" s="12"/>
      <c r="TNO13" s="12"/>
      <c r="TNP13" s="12"/>
      <c r="TNQ13" s="12"/>
      <c r="TNR13" s="12"/>
      <c r="TNS13" s="12"/>
      <c r="TNT13" s="12"/>
      <c r="TNU13" s="12"/>
      <c r="TNV13" s="12"/>
      <c r="TNW13" s="12"/>
      <c r="TNX13" s="12"/>
      <c r="TNY13" s="12"/>
      <c r="TNZ13" s="12"/>
      <c r="TOA13" s="12"/>
      <c r="TOB13" s="12"/>
      <c r="TOC13" s="12"/>
      <c r="TOD13" s="12"/>
      <c r="TOE13" s="12"/>
      <c r="TOF13" s="12"/>
      <c r="TOG13" s="12"/>
      <c r="TOH13" s="12"/>
      <c r="TOI13" s="12"/>
      <c r="TOJ13" s="12"/>
      <c r="TOK13" s="12"/>
      <c r="TOL13" s="12"/>
      <c r="TOM13" s="12"/>
      <c r="TON13" s="12"/>
      <c r="TOO13" s="12"/>
      <c r="TOP13" s="12"/>
      <c r="TOQ13" s="12"/>
      <c r="TOR13" s="12"/>
      <c r="TOS13" s="12"/>
      <c r="TOT13" s="12"/>
      <c r="TOU13" s="12"/>
      <c r="TOV13" s="12"/>
      <c r="TOW13" s="12"/>
      <c r="TOX13" s="12"/>
      <c r="TOY13" s="12"/>
      <c r="TOZ13" s="12"/>
      <c r="TPA13" s="12"/>
      <c r="TPB13" s="12"/>
      <c r="TPC13" s="12"/>
      <c r="TPD13" s="12"/>
      <c r="TPE13" s="12"/>
      <c r="TPF13" s="12"/>
      <c r="TPG13" s="12"/>
      <c r="TPH13" s="12"/>
      <c r="TPI13" s="12"/>
      <c r="TPJ13" s="12"/>
      <c r="TPK13" s="12"/>
      <c r="TPL13" s="12"/>
      <c r="TPM13" s="12"/>
      <c r="TPN13" s="12"/>
      <c r="TPO13" s="12"/>
      <c r="TPP13" s="12"/>
      <c r="TPQ13" s="12"/>
      <c r="TPR13" s="12"/>
      <c r="TPS13" s="12"/>
      <c r="TPT13" s="12"/>
      <c r="TPU13" s="12"/>
      <c r="TPV13" s="12"/>
      <c r="TPW13" s="12"/>
      <c r="TPX13" s="12"/>
      <c r="TPY13" s="12"/>
      <c r="TPZ13" s="12"/>
      <c r="TQA13" s="12"/>
      <c r="TQB13" s="12"/>
      <c r="TQC13" s="12"/>
      <c r="TQD13" s="12"/>
      <c r="TQE13" s="12"/>
      <c r="TQF13" s="12"/>
      <c r="TQG13" s="12"/>
      <c r="TQH13" s="12"/>
      <c r="TQI13" s="12"/>
      <c r="TQJ13" s="12"/>
      <c r="TQK13" s="12"/>
      <c r="TQL13" s="12"/>
      <c r="TQM13" s="12"/>
      <c r="TQN13" s="12"/>
      <c r="TQO13" s="12"/>
      <c r="TQP13" s="12"/>
      <c r="TQQ13" s="12"/>
      <c r="TQR13" s="12"/>
      <c r="TQS13" s="12"/>
      <c r="TQT13" s="12"/>
      <c r="TQU13" s="12"/>
      <c r="TQV13" s="12"/>
      <c r="TQW13" s="12"/>
      <c r="TQX13" s="12"/>
      <c r="TQY13" s="12"/>
      <c r="TQZ13" s="12"/>
      <c r="TRA13" s="12"/>
      <c r="TRB13" s="12"/>
      <c r="TRC13" s="12"/>
      <c r="TRD13" s="12"/>
      <c r="TRE13" s="12"/>
      <c r="TRF13" s="12"/>
      <c r="TRG13" s="12"/>
      <c r="TRH13" s="12"/>
      <c r="TRI13" s="12"/>
      <c r="TRJ13" s="12"/>
      <c r="TRK13" s="12"/>
      <c r="TRL13" s="12"/>
      <c r="TRM13" s="12"/>
      <c r="TRN13" s="12"/>
      <c r="TRO13" s="12"/>
      <c r="TRP13" s="12"/>
      <c r="TRQ13" s="12"/>
      <c r="TRR13" s="12"/>
      <c r="TRS13" s="12"/>
      <c r="TRT13" s="12"/>
      <c r="TRU13" s="12"/>
      <c r="TRV13" s="12"/>
      <c r="TRW13" s="12"/>
      <c r="TRX13" s="12"/>
      <c r="TRY13" s="12"/>
      <c r="TRZ13" s="12"/>
      <c r="TSA13" s="12"/>
      <c r="TSB13" s="12"/>
      <c r="TSC13" s="12"/>
      <c r="TSD13" s="12"/>
      <c r="TSE13" s="12"/>
      <c r="TSF13" s="12"/>
      <c r="TSG13" s="12"/>
      <c r="TSH13" s="12"/>
      <c r="TSI13" s="12"/>
      <c r="TSJ13" s="12"/>
      <c r="TSK13" s="12"/>
      <c r="TSL13" s="12"/>
      <c r="TSM13" s="12"/>
      <c r="TSN13" s="12"/>
      <c r="TSO13" s="12"/>
      <c r="TSP13" s="12"/>
      <c r="TSQ13" s="12"/>
      <c r="TSR13" s="12"/>
      <c r="TSS13" s="12"/>
      <c r="TST13" s="12"/>
      <c r="TSU13" s="12"/>
      <c r="TSV13" s="12"/>
      <c r="TSW13" s="12"/>
      <c r="TSX13" s="12"/>
      <c r="TSY13" s="12"/>
      <c r="TSZ13" s="12"/>
      <c r="TTA13" s="12"/>
      <c r="TTB13" s="12"/>
      <c r="TTC13" s="12"/>
      <c r="TTD13" s="12"/>
      <c r="TTE13" s="12"/>
      <c r="TTF13" s="12"/>
      <c r="TTG13" s="12"/>
      <c r="TTH13" s="12"/>
      <c r="TTI13" s="12"/>
      <c r="TTJ13" s="12"/>
      <c r="TTK13" s="12"/>
      <c r="TTL13" s="12"/>
      <c r="TTM13" s="12"/>
      <c r="TTN13" s="12"/>
      <c r="TTO13" s="12"/>
      <c r="TTP13" s="12"/>
      <c r="TTQ13" s="12"/>
      <c r="TTR13" s="12"/>
      <c r="TTS13" s="12"/>
      <c r="TTT13" s="12"/>
      <c r="TTU13" s="12"/>
      <c r="TTV13" s="12"/>
      <c r="TTW13" s="12"/>
      <c r="TTX13" s="12"/>
      <c r="TTY13" s="12"/>
      <c r="TTZ13" s="12"/>
      <c r="TUA13" s="12"/>
      <c r="TUB13" s="12"/>
      <c r="TUC13" s="12"/>
      <c r="TUD13" s="12"/>
      <c r="TUE13" s="12"/>
      <c r="TUF13" s="12"/>
      <c r="TUG13" s="12"/>
      <c r="TUH13" s="12"/>
      <c r="TUI13" s="12"/>
      <c r="TUJ13" s="12"/>
      <c r="TUK13" s="12"/>
      <c r="TUL13" s="12"/>
      <c r="TUM13" s="12"/>
      <c r="TUN13" s="12"/>
      <c r="TUO13" s="12"/>
      <c r="TUP13" s="12"/>
      <c r="TUQ13" s="12"/>
      <c r="TUR13" s="12"/>
      <c r="TUS13" s="12"/>
      <c r="TUT13" s="12"/>
      <c r="TUU13" s="12"/>
      <c r="TUV13" s="12"/>
      <c r="TUW13" s="12"/>
      <c r="TUX13" s="12"/>
      <c r="TUY13" s="12"/>
      <c r="TUZ13" s="12"/>
      <c r="TVA13" s="12"/>
      <c r="TVB13" s="12"/>
      <c r="TVC13" s="12"/>
      <c r="TVD13" s="12"/>
      <c r="TVE13" s="12"/>
      <c r="TVF13" s="12"/>
      <c r="TVG13" s="12"/>
      <c r="TVH13" s="12"/>
      <c r="TVI13" s="12"/>
      <c r="TVJ13" s="12"/>
      <c r="TVK13" s="12"/>
      <c r="TVL13" s="12"/>
      <c r="TVM13" s="12"/>
      <c r="TVN13" s="12"/>
      <c r="TVO13" s="12"/>
      <c r="TVP13" s="12"/>
      <c r="TVQ13" s="12"/>
      <c r="TVR13" s="12"/>
      <c r="TVS13" s="12"/>
      <c r="TVT13" s="12"/>
      <c r="TVU13" s="12"/>
      <c r="TVV13" s="12"/>
      <c r="TVW13" s="12"/>
      <c r="TVX13" s="12"/>
      <c r="TVY13" s="12"/>
      <c r="TVZ13" s="12"/>
      <c r="TWA13" s="12"/>
      <c r="TWB13" s="12"/>
      <c r="TWC13" s="12"/>
      <c r="TWD13" s="12"/>
      <c r="TWE13" s="12"/>
      <c r="TWF13" s="12"/>
      <c r="TWG13" s="12"/>
      <c r="TWH13" s="12"/>
      <c r="TWI13" s="12"/>
      <c r="TWJ13" s="12"/>
      <c r="TWK13" s="12"/>
      <c r="TWL13" s="12"/>
      <c r="TWM13" s="12"/>
      <c r="TWN13" s="12"/>
      <c r="TWO13" s="12"/>
      <c r="TWP13" s="12"/>
      <c r="TWQ13" s="12"/>
      <c r="TWR13" s="12"/>
      <c r="TWS13" s="12"/>
      <c r="TWT13" s="12"/>
      <c r="TWU13" s="12"/>
      <c r="TWV13" s="12"/>
      <c r="TWW13" s="12"/>
      <c r="TWX13" s="12"/>
      <c r="TWY13" s="12"/>
      <c r="TWZ13" s="12"/>
      <c r="TXA13" s="12"/>
      <c r="TXB13" s="12"/>
      <c r="TXC13" s="12"/>
      <c r="TXD13" s="12"/>
      <c r="TXE13" s="12"/>
      <c r="TXF13" s="12"/>
      <c r="TXG13" s="12"/>
      <c r="TXH13" s="12"/>
      <c r="TXI13" s="12"/>
      <c r="TXJ13" s="12"/>
      <c r="TXK13" s="12"/>
      <c r="TXL13" s="12"/>
      <c r="TXM13" s="12"/>
      <c r="TXN13" s="12"/>
      <c r="TXO13" s="12"/>
      <c r="TXP13" s="12"/>
      <c r="TXQ13" s="12"/>
      <c r="TXR13" s="12"/>
      <c r="TXS13" s="12"/>
      <c r="TXT13" s="12"/>
      <c r="TXU13" s="12"/>
      <c r="TXV13" s="12"/>
      <c r="TXW13" s="12"/>
      <c r="TXX13" s="12"/>
      <c r="TXY13" s="12"/>
      <c r="TXZ13" s="12"/>
      <c r="TYA13" s="12"/>
      <c r="TYB13" s="12"/>
      <c r="TYC13" s="12"/>
      <c r="TYD13" s="12"/>
      <c r="TYE13" s="12"/>
      <c r="TYF13" s="12"/>
      <c r="TYG13" s="12"/>
      <c r="TYH13" s="12"/>
      <c r="TYI13" s="12"/>
      <c r="TYJ13" s="12"/>
      <c r="TYK13" s="12"/>
      <c r="TYL13" s="12"/>
      <c r="TYM13" s="12"/>
      <c r="TYN13" s="12"/>
      <c r="TYO13" s="12"/>
      <c r="TYP13" s="12"/>
      <c r="TYQ13" s="12"/>
      <c r="TYR13" s="12"/>
      <c r="TYS13" s="12"/>
      <c r="TYT13" s="12"/>
      <c r="TYU13" s="12"/>
      <c r="TYV13" s="12"/>
      <c r="TYW13" s="12"/>
      <c r="TYX13" s="12"/>
      <c r="TYY13" s="12"/>
      <c r="TYZ13" s="12"/>
      <c r="TZA13" s="12"/>
      <c r="TZB13" s="12"/>
      <c r="TZC13" s="12"/>
      <c r="TZD13" s="12"/>
      <c r="TZE13" s="12"/>
      <c r="TZF13" s="12"/>
      <c r="TZG13" s="12"/>
      <c r="TZH13" s="12"/>
      <c r="TZI13" s="12"/>
      <c r="TZJ13" s="12"/>
      <c r="TZK13" s="12"/>
      <c r="TZL13" s="12"/>
      <c r="TZM13" s="12"/>
      <c r="TZN13" s="12"/>
      <c r="TZO13" s="12"/>
      <c r="TZP13" s="12"/>
      <c r="TZQ13" s="12"/>
      <c r="TZR13" s="12"/>
      <c r="TZS13" s="12"/>
      <c r="TZT13" s="12"/>
      <c r="TZU13" s="12"/>
      <c r="TZV13" s="12"/>
      <c r="TZW13" s="12"/>
      <c r="TZX13" s="12"/>
      <c r="TZY13" s="12"/>
      <c r="TZZ13" s="12"/>
      <c r="UAA13" s="12"/>
      <c r="UAB13" s="12"/>
      <c r="UAC13" s="12"/>
      <c r="UAD13" s="12"/>
      <c r="UAE13" s="12"/>
      <c r="UAF13" s="12"/>
      <c r="UAG13" s="12"/>
      <c r="UAH13" s="12"/>
      <c r="UAI13" s="12"/>
      <c r="UAJ13" s="12"/>
      <c r="UAK13" s="12"/>
      <c r="UAL13" s="12"/>
      <c r="UAM13" s="12"/>
      <c r="UAN13" s="12"/>
      <c r="UAO13" s="12"/>
      <c r="UAP13" s="12"/>
      <c r="UAQ13" s="12"/>
      <c r="UAR13" s="12"/>
      <c r="UAS13" s="12"/>
      <c r="UAT13" s="12"/>
      <c r="UAU13" s="12"/>
      <c r="UAV13" s="12"/>
      <c r="UAW13" s="12"/>
      <c r="UAX13" s="12"/>
      <c r="UAY13" s="12"/>
      <c r="UAZ13" s="12"/>
      <c r="UBA13" s="12"/>
      <c r="UBB13" s="12"/>
      <c r="UBC13" s="12"/>
      <c r="UBD13" s="12"/>
      <c r="UBE13" s="12"/>
      <c r="UBF13" s="12"/>
      <c r="UBG13" s="12"/>
      <c r="UBH13" s="12"/>
      <c r="UBI13" s="12"/>
      <c r="UBJ13" s="12"/>
      <c r="UBK13" s="12"/>
      <c r="UBL13" s="12"/>
      <c r="UBM13" s="12"/>
      <c r="UBN13" s="12"/>
      <c r="UBO13" s="12"/>
      <c r="UBP13" s="12"/>
      <c r="UBQ13" s="12"/>
      <c r="UBR13" s="12"/>
      <c r="UBS13" s="12"/>
      <c r="UBT13" s="12"/>
      <c r="UBU13" s="12"/>
      <c r="UBV13" s="12"/>
      <c r="UBW13" s="12"/>
      <c r="UBX13" s="12"/>
      <c r="UBY13" s="12"/>
      <c r="UBZ13" s="12"/>
      <c r="UCA13" s="12"/>
      <c r="UCB13" s="12"/>
      <c r="UCC13" s="12"/>
      <c r="UCD13" s="12"/>
      <c r="UCE13" s="12"/>
      <c r="UCF13" s="12"/>
      <c r="UCG13" s="12"/>
      <c r="UCH13" s="12"/>
      <c r="UCI13" s="12"/>
      <c r="UCJ13" s="12"/>
      <c r="UCK13" s="12"/>
      <c r="UCL13" s="12"/>
      <c r="UCM13" s="12"/>
      <c r="UCN13" s="12"/>
      <c r="UCO13" s="12"/>
      <c r="UCP13" s="12"/>
      <c r="UCQ13" s="12"/>
      <c r="UCR13" s="12"/>
      <c r="UCS13" s="12"/>
      <c r="UCT13" s="12"/>
      <c r="UCU13" s="12"/>
      <c r="UCV13" s="12"/>
      <c r="UCW13" s="12"/>
      <c r="UCX13" s="12"/>
      <c r="UCY13" s="12"/>
      <c r="UCZ13" s="12"/>
      <c r="UDA13" s="12"/>
      <c r="UDB13" s="12"/>
      <c r="UDC13" s="12"/>
      <c r="UDD13" s="12"/>
      <c r="UDE13" s="12"/>
      <c r="UDF13" s="12"/>
      <c r="UDG13" s="12"/>
      <c r="UDH13" s="12"/>
      <c r="UDI13" s="12"/>
      <c r="UDJ13" s="12"/>
      <c r="UDK13" s="12"/>
      <c r="UDL13" s="12"/>
      <c r="UDM13" s="12"/>
      <c r="UDN13" s="12"/>
      <c r="UDO13" s="12"/>
      <c r="UDP13" s="12"/>
      <c r="UDQ13" s="12"/>
      <c r="UDR13" s="12"/>
      <c r="UDS13" s="12"/>
      <c r="UDT13" s="12"/>
      <c r="UDU13" s="12"/>
      <c r="UDV13" s="12"/>
      <c r="UDW13" s="12"/>
      <c r="UDX13" s="12"/>
      <c r="UDY13" s="12"/>
      <c r="UDZ13" s="12"/>
      <c r="UEA13" s="12"/>
      <c r="UEB13" s="12"/>
      <c r="UEC13" s="12"/>
      <c r="UED13" s="12"/>
      <c r="UEE13" s="12"/>
      <c r="UEF13" s="12"/>
      <c r="UEG13" s="12"/>
      <c r="UEH13" s="12"/>
      <c r="UEI13" s="12"/>
      <c r="UEJ13" s="12"/>
      <c r="UEK13" s="12"/>
      <c r="UEL13" s="12"/>
      <c r="UEM13" s="12"/>
      <c r="UEN13" s="12"/>
      <c r="UEO13" s="12"/>
      <c r="UEP13" s="12"/>
      <c r="UEQ13" s="12"/>
      <c r="UER13" s="12"/>
      <c r="UES13" s="12"/>
      <c r="UET13" s="12"/>
      <c r="UEU13" s="12"/>
      <c r="UEV13" s="12"/>
      <c r="UEW13" s="12"/>
      <c r="UEX13" s="12"/>
      <c r="UEY13" s="12"/>
      <c r="UEZ13" s="12"/>
      <c r="UFA13" s="12"/>
      <c r="UFB13" s="12"/>
      <c r="UFC13" s="12"/>
      <c r="UFD13" s="12"/>
      <c r="UFE13" s="12"/>
      <c r="UFF13" s="12"/>
      <c r="UFG13" s="12"/>
      <c r="UFH13" s="12"/>
      <c r="UFI13" s="12"/>
      <c r="UFJ13" s="12"/>
      <c r="UFK13" s="12"/>
      <c r="UFL13" s="12"/>
      <c r="UFM13" s="12"/>
      <c r="UFN13" s="12"/>
      <c r="UFO13" s="12"/>
      <c r="UFP13" s="12"/>
      <c r="UFQ13" s="12"/>
      <c r="UFR13" s="12"/>
      <c r="UFS13" s="12"/>
      <c r="UFT13" s="12"/>
      <c r="UFU13" s="12"/>
      <c r="UFV13" s="12"/>
      <c r="UFW13" s="12"/>
      <c r="UFX13" s="12"/>
      <c r="UFY13" s="12"/>
      <c r="UFZ13" s="12"/>
      <c r="UGA13" s="12"/>
      <c r="UGB13" s="12"/>
      <c r="UGC13" s="12"/>
      <c r="UGD13" s="12"/>
      <c r="UGE13" s="12"/>
      <c r="UGF13" s="12"/>
      <c r="UGG13" s="12"/>
      <c r="UGH13" s="12"/>
      <c r="UGI13" s="12"/>
      <c r="UGJ13" s="12"/>
      <c r="UGK13" s="12"/>
      <c r="UGL13" s="12"/>
      <c r="UGM13" s="12"/>
      <c r="UGN13" s="12"/>
      <c r="UGO13" s="12"/>
      <c r="UGP13" s="12"/>
      <c r="UGQ13" s="12"/>
      <c r="UGR13" s="12"/>
      <c r="UGS13" s="12"/>
      <c r="UGT13" s="12"/>
      <c r="UGU13" s="12"/>
      <c r="UGV13" s="12"/>
      <c r="UGW13" s="12"/>
      <c r="UGX13" s="12"/>
      <c r="UGY13" s="12"/>
      <c r="UGZ13" s="12"/>
      <c r="UHA13" s="12"/>
      <c r="UHB13" s="12"/>
      <c r="UHC13" s="12"/>
      <c r="UHD13" s="12"/>
      <c r="UHE13" s="12"/>
      <c r="UHF13" s="12"/>
      <c r="UHG13" s="12"/>
      <c r="UHH13" s="12"/>
      <c r="UHI13" s="12"/>
      <c r="UHJ13" s="12"/>
      <c r="UHK13" s="12"/>
      <c r="UHL13" s="12"/>
      <c r="UHM13" s="12"/>
      <c r="UHN13" s="12"/>
      <c r="UHO13" s="12"/>
      <c r="UHP13" s="12"/>
      <c r="UHQ13" s="12"/>
      <c r="UHR13" s="12"/>
      <c r="UHS13" s="12"/>
      <c r="UHT13" s="12"/>
      <c r="UHU13" s="12"/>
      <c r="UHV13" s="12"/>
      <c r="UHW13" s="12"/>
      <c r="UHX13" s="12"/>
      <c r="UHY13" s="12"/>
      <c r="UHZ13" s="12"/>
      <c r="UIA13" s="12"/>
      <c r="UIB13" s="12"/>
      <c r="UIC13" s="12"/>
      <c r="UID13" s="12"/>
      <c r="UIE13" s="12"/>
      <c r="UIF13" s="12"/>
      <c r="UIG13" s="12"/>
      <c r="UIH13" s="12"/>
      <c r="UII13" s="12"/>
      <c r="UIJ13" s="12"/>
      <c r="UIK13" s="12"/>
      <c r="UIL13" s="12"/>
      <c r="UIM13" s="12"/>
      <c r="UIN13" s="12"/>
      <c r="UIO13" s="12"/>
      <c r="UIP13" s="12"/>
      <c r="UIQ13" s="12"/>
      <c r="UIR13" s="12"/>
      <c r="UIS13" s="12"/>
      <c r="UIT13" s="12"/>
      <c r="UIU13" s="12"/>
      <c r="UIV13" s="12"/>
      <c r="UIW13" s="12"/>
      <c r="UIX13" s="12"/>
      <c r="UIY13" s="12"/>
      <c r="UIZ13" s="12"/>
      <c r="UJA13" s="12"/>
      <c r="UJB13" s="12"/>
      <c r="UJC13" s="12"/>
      <c r="UJD13" s="12"/>
      <c r="UJE13" s="12"/>
      <c r="UJF13" s="12"/>
      <c r="UJG13" s="12"/>
      <c r="UJH13" s="12"/>
      <c r="UJI13" s="12"/>
      <c r="UJJ13" s="12"/>
      <c r="UJK13" s="12"/>
      <c r="UJL13" s="12"/>
      <c r="UJM13" s="12"/>
      <c r="UJN13" s="12"/>
      <c r="UJO13" s="12"/>
      <c r="UJP13" s="12"/>
      <c r="UJQ13" s="12"/>
      <c r="UJR13" s="12"/>
      <c r="UJS13" s="12"/>
      <c r="UJT13" s="12"/>
      <c r="UJU13" s="12"/>
      <c r="UJV13" s="12"/>
      <c r="UJW13" s="12"/>
      <c r="UJX13" s="12"/>
      <c r="UJY13" s="12"/>
      <c r="UJZ13" s="12"/>
      <c r="UKA13" s="12"/>
      <c r="UKB13" s="12"/>
      <c r="UKC13" s="12"/>
      <c r="UKD13" s="12"/>
      <c r="UKE13" s="12"/>
      <c r="UKF13" s="12"/>
      <c r="UKG13" s="12"/>
      <c r="UKH13" s="12"/>
      <c r="UKI13" s="12"/>
      <c r="UKJ13" s="12"/>
      <c r="UKK13" s="12"/>
      <c r="UKL13" s="12"/>
      <c r="UKM13" s="12"/>
      <c r="UKN13" s="12"/>
      <c r="UKO13" s="12"/>
      <c r="UKP13" s="12"/>
      <c r="UKQ13" s="12"/>
      <c r="UKR13" s="12"/>
      <c r="UKS13" s="12"/>
      <c r="UKT13" s="12"/>
      <c r="UKU13" s="12"/>
      <c r="UKV13" s="12"/>
      <c r="UKW13" s="12"/>
      <c r="UKX13" s="12"/>
      <c r="UKY13" s="12"/>
      <c r="UKZ13" s="12"/>
      <c r="ULA13" s="12"/>
      <c r="ULB13" s="12"/>
      <c r="ULC13" s="12"/>
      <c r="ULD13" s="12"/>
      <c r="ULE13" s="12"/>
      <c r="ULF13" s="12"/>
      <c r="ULG13" s="12"/>
      <c r="ULH13" s="12"/>
      <c r="ULI13" s="12"/>
      <c r="ULJ13" s="12"/>
      <c r="ULK13" s="12"/>
      <c r="ULL13" s="12"/>
      <c r="ULM13" s="12"/>
      <c r="ULN13" s="12"/>
      <c r="ULO13" s="12"/>
      <c r="ULP13" s="12"/>
      <c r="ULQ13" s="12"/>
      <c r="ULR13" s="12"/>
      <c r="ULS13" s="12"/>
      <c r="ULT13" s="12"/>
      <c r="ULU13" s="12"/>
      <c r="ULV13" s="12"/>
      <c r="ULW13" s="12"/>
      <c r="ULX13" s="12"/>
      <c r="ULY13" s="12"/>
      <c r="ULZ13" s="12"/>
      <c r="UMA13" s="12"/>
      <c r="UMB13" s="12"/>
      <c r="UMC13" s="12"/>
      <c r="UMD13" s="12"/>
      <c r="UME13" s="12"/>
      <c r="UMF13" s="12"/>
      <c r="UMG13" s="12"/>
      <c r="UMH13" s="12"/>
      <c r="UMI13" s="12"/>
      <c r="UMJ13" s="12"/>
      <c r="UMK13" s="12"/>
      <c r="UML13" s="12"/>
      <c r="UMM13" s="12"/>
      <c r="UMN13" s="12"/>
      <c r="UMO13" s="12"/>
      <c r="UMP13" s="12"/>
      <c r="UMQ13" s="12"/>
      <c r="UMR13" s="12"/>
      <c r="UMS13" s="12"/>
      <c r="UMT13" s="12"/>
      <c r="UMU13" s="12"/>
      <c r="UMV13" s="12"/>
      <c r="UMW13" s="12"/>
      <c r="UMX13" s="12"/>
      <c r="UMY13" s="12"/>
      <c r="UMZ13" s="12"/>
      <c r="UNA13" s="12"/>
      <c r="UNB13" s="12"/>
      <c r="UNC13" s="12"/>
      <c r="UND13" s="12"/>
      <c r="UNE13" s="12"/>
      <c r="UNF13" s="12"/>
      <c r="UNG13" s="12"/>
      <c r="UNH13" s="12"/>
      <c r="UNI13" s="12"/>
      <c r="UNJ13" s="12"/>
      <c r="UNK13" s="12"/>
      <c r="UNL13" s="12"/>
      <c r="UNM13" s="12"/>
      <c r="UNN13" s="12"/>
      <c r="UNO13" s="12"/>
      <c r="UNP13" s="12"/>
      <c r="UNQ13" s="12"/>
      <c r="UNR13" s="12"/>
      <c r="UNS13" s="12"/>
      <c r="UNT13" s="12"/>
      <c r="UNU13" s="12"/>
      <c r="UNV13" s="12"/>
      <c r="UNW13" s="12"/>
      <c r="UNX13" s="12"/>
      <c r="UNY13" s="12"/>
      <c r="UNZ13" s="12"/>
      <c r="UOA13" s="12"/>
      <c r="UOB13" s="12"/>
      <c r="UOC13" s="12"/>
      <c r="UOD13" s="12"/>
      <c r="UOE13" s="12"/>
      <c r="UOF13" s="12"/>
      <c r="UOG13" s="12"/>
      <c r="UOH13" s="12"/>
      <c r="UOI13" s="12"/>
      <c r="UOJ13" s="12"/>
      <c r="UOK13" s="12"/>
      <c r="UOL13" s="12"/>
      <c r="UOM13" s="12"/>
      <c r="UON13" s="12"/>
      <c r="UOO13" s="12"/>
      <c r="UOP13" s="12"/>
      <c r="UOQ13" s="12"/>
      <c r="UOR13" s="12"/>
      <c r="UOS13" s="12"/>
      <c r="UOT13" s="12"/>
      <c r="UOU13" s="12"/>
      <c r="UOV13" s="12"/>
      <c r="UOW13" s="12"/>
      <c r="UOX13" s="12"/>
      <c r="UOY13" s="12"/>
      <c r="UOZ13" s="12"/>
      <c r="UPA13" s="12"/>
      <c r="UPB13" s="12"/>
      <c r="UPC13" s="12"/>
      <c r="UPD13" s="12"/>
      <c r="UPE13" s="12"/>
      <c r="UPF13" s="12"/>
      <c r="UPG13" s="12"/>
      <c r="UPH13" s="12"/>
      <c r="UPI13" s="12"/>
      <c r="UPJ13" s="12"/>
      <c r="UPK13" s="12"/>
      <c r="UPL13" s="12"/>
      <c r="UPM13" s="12"/>
      <c r="UPN13" s="12"/>
      <c r="UPO13" s="12"/>
      <c r="UPP13" s="12"/>
      <c r="UPQ13" s="12"/>
      <c r="UPR13" s="12"/>
      <c r="UPS13" s="12"/>
      <c r="UPT13" s="12"/>
      <c r="UPU13" s="12"/>
      <c r="UPV13" s="12"/>
      <c r="UPW13" s="12"/>
      <c r="UPX13" s="12"/>
      <c r="UPY13" s="12"/>
      <c r="UPZ13" s="12"/>
      <c r="UQA13" s="12"/>
      <c r="UQB13" s="12"/>
      <c r="UQC13" s="12"/>
      <c r="UQD13" s="12"/>
      <c r="UQE13" s="12"/>
      <c r="UQF13" s="12"/>
      <c r="UQG13" s="12"/>
      <c r="UQH13" s="12"/>
      <c r="UQI13" s="12"/>
      <c r="UQJ13" s="12"/>
      <c r="UQK13" s="12"/>
      <c r="UQL13" s="12"/>
      <c r="UQM13" s="12"/>
      <c r="UQN13" s="12"/>
      <c r="UQO13" s="12"/>
      <c r="UQP13" s="12"/>
      <c r="UQQ13" s="12"/>
      <c r="UQR13" s="12"/>
      <c r="UQS13" s="12"/>
      <c r="UQT13" s="12"/>
      <c r="UQU13" s="12"/>
      <c r="UQV13" s="12"/>
      <c r="UQW13" s="12"/>
      <c r="UQX13" s="12"/>
      <c r="UQY13" s="12"/>
      <c r="UQZ13" s="12"/>
      <c r="URA13" s="12"/>
      <c r="URB13" s="12"/>
      <c r="URC13" s="12"/>
      <c r="URD13" s="12"/>
      <c r="URE13" s="12"/>
      <c r="URF13" s="12"/>
      <c r="URG13" s="12"/>
      <c r="URH13" s="12"/>
      <c r="URI13" s="12"/>
      <c r="URJ13" s="12"/>
      <c r="URK13" s="12"/>
      <c r="URL13" s="12"/>
      <c r="URM13" s="12"/>
      <c r="URN13" s="12"/>
      <c r="URO13" s="12"/>
      <c r="URP13" s="12"/>
      <c r="URQ13" s="12"/>
      <c r="URR13" s="12"/>
      <c r="URS13" s="12"/>
      <c r="URT13" s="12"/>
      <c r="URU13" s="12"/>
      <c r="URV13" s="12"/>
      <c r="URW13" s="12"/>
      <c r="URX13" s="12"/>
      <c r="URY13" s="12"/>
      <c r="URZ13" s="12"/>
      <c r="USA13" s="12"/>
      <c r="USB13" s="12"/>
      <c r="USC13" s="12"/>
      <c r="USD13" s="12"/>
      <c r="USE13" s="12"/>
      <c r="USF13" s="12"/>
      <c r="USG13" s="12"/>
      <c r="USH13" s="12"/>
      <c r="USI13" s="12"/>
      <c r="USJ13" s="12"/>
      <c r="USK13" s="12"/>
      <c r="USL13" s="12"/>
      <c r="USM13" s="12"/>
      <c r="USN13" s="12"/>
      <c r="USO13" s="12"/>
      <c r="USP13" s="12"/>
      <c r="USQ13" s="12"/>
      <c r="USR13" s="12"/>
      <c r="USS13" s="12"/>
      <c r="UST13" s="12"/>
      <c r="USU13" s="12"/>
      <c r="USV13" s="12"/>
      <c r="USW13" s="12"/>
      <c r="USX13" s="12"/>
      <c r="USY13" s="12"/>
      <c r="USZ13" s="12"/>
      <c r="UTA13" s="12"/>
      <c r="UTB13" s="12"/>
      <c r="UTC13" s="12"/>
      <c r="UTD13" s="12"/>
      <c r="UTE13" s="12"/>
      <c r="UTF13" s="12"/>
      <c r="UTG13" s="12"/>
      <c r="UTH13" s="12"/>
      <c r="UTI13" s="12"/>
      <c r="UTJ13" s="12"/>
      <c r="UTK13" s="12"/>
      <c r="UTL13" s="12"/>
      <c r="UTM13" s="12"/>
      <c r="UTN13" s="12"/>
      <c r="UTO13" s="12"/>
      <c r="UTP13" s="12"/>
      <c r="UTQ13" s="12"/>
      <c r="UTR13" s="12"/>
      <c r="UTS13" s="12"/>
      <c r="UTT13" s="12"/>
      <c r="UTU13" s="12"/>
      <c r="UTV13" s="12"/>
      <c r="UTW13" s="12"/>
      <c r="UTX13" s="12"/>
      <c r="UTY13" s="12"/>
      <c r="UTZ13" s="12"/>
      <c r="UUA13" s="12"/>
      <c r="UUB13" s="12"/>
      <c r="UUC13" s="12"/>
      <c r="UUD13" s="12"/>
      <c r="UUE13" s="12"/>
      <c r="UUF13" s="12"/>
      <c r="UUG13" s="12"/>
      <c r="UUH13" s="12"/>
      <c r="UUI13" s="12"/>
      <c r="UUJ13" s="12"/>
      <c r="UUK13" s="12"/>
      <c r="UUL13" s="12"/>
      <c r="UUM13" s="12"/>
      <c r="UUN13" s="12"/>
      <c r="UUO13" s="12"/>
      <c r="UUP13" s="12"/>
      <c r="UUQ13" s="12"/>
      <c r="UUR13" s="12"/>
      <c r="UUS13" s="12"/>
      <c r="UUT13" s="12"/>
      <c r="UUU13" s="12"/>
      <c r="UUV13" s="12"/>
      <c r="UUW13" s="12"/>
      <c r="UUX13" s="12"/>
      <c r="UUY13" s="12"/>
      <c r="UUZ13" s="12"/>
      <c r="UVA13" s="12"/>
      <c r="UVB13" s="12"/>
      <c r="UVC13" s="12"/>
      <c r="UVD13" s="12"/>
      <c r="UVE13" s="12"/>
      <c r="UVF13" s="12"/>
      <c r="UVG13" s="12"/>
      <c r="UVH13" s="12"/>
      <c r="UVI13" s="12"/>
      <c r="UVJ13" s="12"/>
      <c r="UVK13" s="12"/>
      <c r="UVL13" s="12"/>
      <c r="UVM13" s="12"/>
      <c r="UVN13" s="12"/>
      <c r="UVO13" s="12"/>
      <c r="UVP13" s="12"/>
      <c r="UVQ13" s="12"/>
      <c r="UVR13" s="12"/>
      <c r="UVS13" s="12"/>
      <c r="UVT13" s="12"/>
      <c r="UVU13" s="12"/>
      <c r="UVV13" s="12"/>
      <c r="UVW13" s="12"/>
      <c r="UVX13" s="12"/>
      <c r="UVY13" s="12"/>
      <c r="UVZ13" s="12"/>
      <c r="UWA13" s="12"/>
      <c r="UWB13" s="12"/>
      <c r="UWC13" s="12"/>
      <c r="UWD13" s="12"/>
      <c r="UWE13" s="12"/>
      <c r="UWF13" s="12"/>
      <c r="UWG13" s="12"/>
      <c r="UWH13" s="12"/>
      <c r="UWI13" s="12"/>
      <c r="UWJ13" s="12"/>
      <c r="UWK13" s="12"/>
      <c r="UWL13" s="12"/>
      <c r="UWM13" s="12"/>
      <c r="UWN13" s="12"/>
      <c r="UWO13" s="12"/>
      <c r="UWP13" s="12"/>
      <c r="UWQ13" s="12"/>
      <c r="UWR13" s="12"/>
      <c r="UWS13" s="12"/>
      <c r="UWT13" s="12"/>
      <c r="UWU13" s="12"/>
      <c r="UWV13" s="12"/>
      <c r="UWW13" s="12"/>
      <c r="UWX13" s="12"/>
      <c r="UWY13" s="12"/>
      <c r="UWZ13" s="12"/>
      <c r="UXA13" s="12"/>
      <c r="UXB13" s="12"/>
      <c r="UXC13" s="12"/>
      <c r="UXD13" s="12"/>
      <c r="UXE13" s="12"/>
      <c r="UXF13" s="12"/>
      <c r="UXG13" s="12"/>
      <c r="UXH13" s="12"/>
      <c r="UXI13" s="12"/>
      <c r="UXJ13" s="12"/>
      <c r="UXK13" s="12"/>
      <c r="UXL13" s="12"/>
      <c r="UXM13" s="12"/>
      <c r="UXN13" s="12"/>
      <c r="UXO13" s="12"/>
      <c r="UXP13" s="12"/>
      <c r="UXQ13" s="12"/>
      <c r="UXR13" s="12"/>
      <c r="UXS13" s="12"/>
      <c r="UXT13" s="12"/>
      <c r="UXU13" s="12"/>
      <c r="UXV13" s="12"/>
      <c r="UXW13" s="12"/>
      <c r="UXX13" s="12"/>
      <c r="UXY13" s="12"/>
      <c r="UXZ13" s="12"/>
      <c r="UYA13" s="12"/>
      <c r="UYB13" s="12"/>
      <c r="UYC13" s="12"/>
      <c r="UYD13" s="12"/>
      <c r="UYE13" s="12"/>
      <c r="UYF13" s="12"/>
      <c r="UYG13" s="12"/>
      <c r="UYH13" s="12"/>
      <c r="UYI13" s="12"/>
      <c r="UYJ13" s="12"/>
      <c r="UYK13" s="12"/>
      <c r="UYL13" s="12"/>
      <c r="UYM13" s="12"/>
      <c r="UYN13" s="12"/>
      <c r="UYO13" s="12"/>
      <c r="UYP13" s="12"/>
      <c r="UYQ13" s="12"/>
      <c r="UYR13" s="12"/>
      <c r="UYS13" s="12"/>
      <c r="UYT13" s="12"/>
      <c r="UYU13" s="12"/>
      <c r="UYV13" s="12"/>
      <c r="UYW13" s="12"/>
      <c r="UYX13" s="12"/>
      <c r="UYY13" s="12"/>
      <c r="UYZ13" s="12"/>
      <c r="UZA13" s="12"/>
      <c r="UZB13" s="12"/>
      <c r="UZC13" s="12"/>
      <c r="UZD13" s="12"/>
      <c r="UZE13" s="12"/>
      <c r="UZF13" s="12"/>
      <c r="UZG13" s="12"/>
      <c r="UZH13" s="12"/>
      <c r="UZI13" s="12"/>
      <c r="UZJ13" s="12"/>
      <c r="UZK13" s="12"/>
      <c r="UZL13" s="12"/>
      <c r="UZM13" s="12"/>
      <c r="UZN13" s="12"/>
      <c r="UZO13" s="12"/>
      <c r="UZP13" s="12"/>
      <c r="UZQ13" s="12"/>
      <c r="UZR13" s="12"/>
      <c r="UZS13" s="12"/>
      <c r="UZT13" s="12"/>
      <c r="UZU13" s="12"/>
      <c r="UZV13" s="12"/>
      <c r="UZW13" s="12"/>
      <c r="UZX13" s="12"/>
      <c r="UZY13" s="12"/>
      <c r="UZZ13" s="12"/>
      <c r="VAA13" s="12"/>
      <c r="VAB13" s="12"/>
      <c r="VAC13" s="12"/>
      <c r="VAD13" s="12"/>
      <c r="VAE13" s="12"/>
      <c r="VAF13" s="12"/>
      <c r="VAG13" s="12"/>
      <c r="VAH13" s="12"/>
      <c r="VAI13" s="12"/>
      <c r="VAJ13" s="12"/>
      <c r="VAK13" s="12"/>
      <c r="VAL13" s="12"/>
      <c r="VAM13" s="12"/>
      <c r="VAN13" s="12"/>
      <c r="VAO13" s="12"/>
      <c r="VAP13" s="12"/>
      <c r="VAQ13" s="12"/>
      <c r="VAR13" s="12"/>
      <c r="VAS13" s="12"/>
      <c r="VAT13" s="12"/>
      <c r="VAU13" s="12"/>
      <c r="VAV13" s="12"/>
      <c r="VAW13" s="12"/>
      <c r="VAX13" s="12"/>
      <c r="VAY13" s="12"/>
      <c r="VAZ13" s="12"/>
      <c r="VBA13" s="12"/>
      <c r="VBB13" s="12"/>
      <c r="VBC13" s="12"/>
      <c r="VBD13" s="12"/>
      <c r="VBE13" s="12"/>
      <c r="VBF13" s="12"/>
      <c r="VBG13" s="12"/>
      <c r="VBH13" s="12"/>
      <c r="VBI13" s="12"/>
      <c r="VBJ13" s="12"/>
      <c r="VBK13" s="12"/>
      <c r="VBL13" s="12"/>
      <c r="VBM13" s="12"/>
      <c r="VBN13" s="12"/>
      <c r="VBO13" s="12"/>
      <c r="VBP13" s="12"/>
      <c r="VBQ13" s="12"/>
      <c r="VBR13" s="12"/>
      <c r="VBS13" s="12"/>
      <c r="VBT13" s="12"/>
      <c r="VBU13" s="12"/>
      <c r="VBV13" s="12"/>
      <c r="VBW13" s="12"/>
      <c r="VBX13" s="12"/>
      <c r="VBY13" s="12"/>
      <c r="VBZ13" s="12"/>
      <c r="VCA13" s="12"/>
      <c r="VCB13" s="12"/>
      <c r="VCC13" s="12"/>
      <c r="VCD13" s="12"/>
      <c r="VCE13" s="12"/>
      <c r="VCF13" s="12"/>
      <c r="VCG13" s="12"/>
      <c r="VCH13" s="12"/>
      <c r="VCI13" s="12"/>
      <c r="VCJ13" s="12"/>
      <c r="VCK13" s="12"/>
      <c r="VCL13" s="12"/>
      <c r="VCM13" s="12"/>
      <c r="VCN13" s="12"/>
      <c r="VCO13" s="12"/>
      <c r="VCP13" s="12"/>
      <c r="VCQ13" s="12"/>
      <c r="VCR13" s="12"/>
      <c r="VCS13" s="12"/>
      <c r="VCT13" s="12"/>
      <c r="VCU13" s="12"/>
      <c r="VCV13" s="12"/>
      <c r="VCW13" s="12"/>
      <c r="VCX13" s="12"/>
      <c r="VCY13" s="12"/>
      <c r="VCZ13" s="12"/>
      <c r="VDA13" s="12"/>
      <c r="VDB13" s="12"/>
      <c r="VDC13" s="12"/>
      <c r="VDD13" s="12"/>
      <c r="VDE13" s="12"/>
      <c r="VDF13" s="12"/>
      <c r="VDG13" s="12"/>
      <c r="VDH13" s="12"/>
      <c r="VDI13" s="12"/>
      <c r="VDJ13" s="12"/>
      <c r="VDK13" s="12"/>
      <c r="VDL13" s="12"/>
      <c r="VDM13" s="12"/>
      <c r="VDN13" s="12"/>
      <c r="VDO13" s="12"/>
      <c r="VDP13" s="12"/>
      <c r="VDQ13" s="12"/>
      <c r="VDR13" s="12"/>
      <c r="VDS13" s="12"/>
      <c r="VDT13" s="12"/>
      <c r="VDU13" s="12"/>
      <c r="VDV13" s="12"/>
      <c r="VDW13" s="12"/>
      <c r="VDX13" s="12"/>
      <c r="VDY13" s="12"/>
      <c r="VDZ13" s="12"/>
      <c r="VEA13" s="12"/>
      <c r="VEB13" s="12"/>
      <c r="VEC13" s="12"/>
      <c r="VED13" s="12"/>
      <c r="VEE13" s="12"/>
      <c r="VEF13" s="12"/>
      <c r="VEG13" s="12"/>
      <c r="VEH13" s="12"/>
      <c r="VEI13" s="12"/>
      <c r="VEJ13" s="12"/>
      <c r="VEK13" s="12"/>
      <c r="VEL13" s="12"/>
      <c r="VEM13" s="12"/>
      <c r="VEN13" s="12"/>
      <c r="VEO13" s="12"/>
      <c r="VEP13" s="12"/>
      <c r="VEQ13" s="12"/>
      <c r="VER13" s="12"/>
      <c r="VES13" s="12"/>
      <c r="VET13" s="12"/>
      <c r="VEU13" s="12"/>
      <c r="VEV13" s="12"/>
      <c r="VEW13" s="12"/>
      <c r="VEX13" s="12"/>
      <c r="VEY13" s="12"/>
      <c r="VEZ13" s="12"/>
      <c r="VFA13" s="12"/>
      <c r="VFB13" s="12"/>
      <c r="VFC13" s="12"/>
      <c r="VFD13" s="12"/>
      <c r="VFE13" s="12"/>
      <c r="VFF13" s="12"/>
      <c r="VFG13" s="12"/>
      <c r="VFH13" s="12"/>
      <c r="VFI13" s="12"/>
      <c r="VFJ13" s="12"/>
      <c r="VFK13" s="12"/>
      <c r="VFL13" s="12"/>
      <c r="VFM13" s="12"/>
      <c r="VFN13" s="12"/>
      <c r="VFO13" s="12"/>
      <c r="VFP13" s="12"/>
      <c r="VFQ13" s="12"/>
      <c r="VFR13" s="12"/>
      <c r="VFS13" s="12"/>
      <c r="VFT13" s="12"/>
      <c r="VFU13" s="12"/>
      <c r="VFV13" s="12"/>
      <c r="VFW13" s="12"/>
      <c r="VFX13" s="12"/>
      <c r="VFY13" s="12"/>
      <c r="VFZ13" s="12"/>
      <c r="VGA13" s="12"/>
      <c r="VGB13" s="12"/>
      <c r="VGC13" s="12"/>
      <c r="VGD13" s="12"/>
      <c r="VGE13" s="12"/>
      <c r="VGF13" s="12"/>
      <c r="VGG13" s="12"/>
      <c r="VGH13" s="12"/>
      <c r="VGI13" s="12"/>
      <c r="VGJ13" s="12"/>
      <c r="VGK13" s="12"/>
      <c r="VGL13" s="12"/>
      <c r="VGM13" s="12"/>
      <c r="VGN13" s="12"/>
      <c r="VGO13" s="12"/>
      <c r="VGP13" s="12"/>
      <c r="VGQ13" s="12"/>
      <c r="VGR13" s="12"/>
      <c r="VGS13" s="12"/>
      <c r="VGT13" s="12"/>
      <c r="VGU13" s="12"/>
      <c r="VGV13" s="12"/>
      <c r="VGW13" s="12"/>
      <c r="VGX13" s="12"/>
      <c r="VGY13" s="12"/>
      <c r="VGZ13" s="12"/>
      <c r="VHA13" s="12"/>
      <c r="VHB13" s="12"/>
      <c r="VHC13" s="12"/>
      <c r="VHD13" s="12"/>
      <c r="VHE13" s="12"/>
      <c r="VHF13" s="12"/>
      <c r="VHG13" s="12"/>
      <c r="VHH13" s="12"/>
      <c r="VHI13" s="12"/>
      <c r="VHJ13" s="12"/>
      <c r="VHK13" s="12"/>
      <c r="VHL13" s="12"/>
      <c r="VHM13" s="12"/>
      <c r="VHN13" s="12"/>
      <c r="VHO13" s="12"/>
      <c r="VHP13" s="12"/>
      <c r="VHQ13" s="12"/>
      <c r="VHR13" s="12"/>
      <c r="VHS13" s="12"/>
      <c r="VHT13" s="12"/>
      <c r="VHU13" s="12"/>
      <c r="VHV13" s="12"/>
      <c r="VHW13" s="12"/>
      <c r="VHX13" s="12"/>
      <c r="VHY13" s="12"/>
      <c r="VHZ13" s="12"/>
      <c r="VIA13" s="12"/>
      <c r="VIB13" s="12"/>
      <c r="VIC13" s="12"/>
      <c r="VID13" s="12"/>
      <c r="VIE13" s="12"/>
      <c r="VIF13" s="12"/>
      <c r="VIG13" s="12"/>
      <c r="VIH13" s="12"/>
      <c r="VII13" s="12"/>
      <c r="VIJ13" s="12"/>
      <c r="VIK13" s="12"/>
      <c r="VIL13" s="12"/>
      <c r="VIM13" s="12"/>
      <c r="VIN13" s="12"/>
      <c r="VIO13" s="12"/>
      <c r="VIP13" s="12"/>
      <c r="VIQ13" s="12"/>
      <c r="VIR13" s="12"/>
      <c r="VIS13" s="12"/>
      <c r="VIT13" s="12"/>
      <c r="VIU13" s="12"/>
      <c r="VIV13" s="12"/>
      <c r="VIW13" s="12"/>
      <c r="VIX13" s="12"/>
      <c r="VIY13" s="12"/>
      <c r="VIZ13" s="12"/>
      <c r="VJA13" s="12"/>
      <c r="VJB13" s="12"/>
      <c r="VJC13" s="12"/>
      <c r="VJD13" s="12"/>
      <c r="VJE13" s="12"/>
      <c r="VJF13" s="12"/>
      <c r="VJG13" s="12"/>
      <c r="VJH13" s="12"/>
      <c r="VJI13" s="12"/>
      <c r="VJJ13" s="12"/>
      <c r="VJK13" s="12"/>
      <c r="VJL13" s="12"/>
      <c r="VJM13" s="12"/>
      <c r="VJN13" s="12"/>
      <c r="VJO13" s="12"/>
      <c r="VJP13" s="12"/>
      <c r="VJQ13" s="12"/>
      <c r="VJR13" s="12"/>
      <c r="VJS13" s="12"/>
      <c r="VJT13" s="12"/>
      <c r="VJU13" s="12"/>
      <c r="VJV13" s="12"/>
      <c r="VJW13" s="12"/>
      <c r="VJX13" s="12"/>
      <c r="VJY13" s="12"/>
      <c r="VJZ13" s="12"/>
      <c r="VKA13" s="12"/>
      <c r="VKB13" s="12"/>
      <c r="VKC13" s="12"/>
      <c r="VKD13" s="12"/>
      <c r="VKE13" s="12"/>
      <c r="VKF13" s="12"/>
      <c r="VKG13" s="12"/>
      <c r="VKH13" s="12"/>
      <c r="VKI13" s="12"/>
      <c r="VKJ13" s="12"/>
      <c r="VKK13" s="12"/>
      <c r="VKL13" s="12"/>
      <c r="VKM13" s="12"/>
      <c r="VKN13" s="12"/>
      <c r="VKO13" s="12"/>
      <c r="VKP13" s="12"/>
      <c r="VKQ13" s="12"/>
      <c r="VKR13" s="12"/>
      <c r="VKS13" s="12"/>
      <c r="VKT13" s="12"/>
      <c r="VKU13" s="12"/>
      <c r="VKV13" s="12"/>
      <c r="VKW13" s="12"/>
      <c r="VKX13" s="12"/>
      <c r="VKY13" s="12"/>
      <c r="VKZ13" s="12"/>
      <c r="VLA13" s="12"/>
      <c r="VLB13" s="12"/>
      <c r="VLC13" s="12"/>
      <c r="VLD13" s="12"/>
      <c r="VLE13" s="12"/>
      <c r="VLF13" s="12"/>
      <c r="VLG13" s="12"/>
      <c r="VLH13" s="12"/>
      <c r="VLI13" s="12"/>
      <c r="VLJ13" s="12"/>
      <c r="VLK13" s="12"/>
      <c r="VLL13" s="12"/>
      <c r="VLM13" s="12"/>
      <c r="VLN13" s="12"/>
      <c r="VLO13" s="12"/>
      <c r="VLP13" s="12"/>
      <c r="VLQ13" s="12"/>
      <c r="VLR13" s="12"/>
      <c r="VLS13" s="12"/>
      <c r="VLT13" s="12"/>
      <c r="VLU13" s="12"/>
      <c r="VLV13" s="12"/>
      <c r="VLW13" s="12"/>
      <c r="VLX13" s="12"/>
      <c r="VLY13" s="12"/>
      <c r="VLZ13" s="12"/>
      <c r="VMA13" s="12"/>
      <c r="VMB13" s="12"/>
      <c r="VMC13" s="12"/>
      <c r="VMD13" s="12"/>
      <c r="VME13" s="12"/>
      <c r="VMF13" s="12"/>
      <c r="VMG13" s="12"/>
      <c r="VMH13" s="12"/>
      <c r="VMI13" s="12"/>
      <c r="VMJ13" s="12"/>
      <c r="VMK13" s="12"/>
      <c r="VML13" s="12"/>
      <c r="VMM13" s="12"/>
      <c r="VMN13" s="12"/>
      <c r="VMO13" s="12"/>
      <c r="VMP13" s="12"/>
      <c r="VMQ13" s="12"/>
      <c r="VMR13" s="12"/>
      <c r="VMS13" s="12"/>
      <c r="VMT13" s="12"/>
      <c r="VMU13" s="12"/>
      <c r="VMV13" s="12"/>
      <c r="VMW13" s="12"/>
      <c r="VMX13" s="12"/>
      <c r="VMY13" s="12"/>
      <c r="VMZ13" s="12"/>
      <c r="VNA13" s="12"/>
      <c r="VNB13" s="12"/>
      <c r="VNC13" s="12"/>
      <c r="VND13" s="12"/>
      <c r="VNE13" s="12"/>
      <c r="VNF13" s="12"/>
      <c r="VNG13" s="12"/>
      <c r="VNH13" s="12"/>
      <c r="VNI13" s="12"/>
      <c r="VNJ13" s="12"/>
      <c r="VNK13" s="12"/>
      <c r="VNL13" s="12"/>
      <c r="VNM13" s="12"/>
      <c r="VNN13" s="12"/>
      <c r="VNO13" s="12"/>
      <c r="VNP13" s="12"/>
      <c r="VNQ13" s="12"/>
      <c r="VNR13" s="12"/>
      <c r="VNS13" s="12"/>
      <c r="VNT13" s="12"/>
      <c r="VNU13" s="12"/>
      <c r="VNV13" s="12"/>
      <c r="VNW13" s="12"/>
      <c r="VNX13" s="12"/>
      <c r="VNY13" s="12"/>
      <c r="VNZ13" s="12"/>
      <c r="VOA13" s="12"/>
      <c r="VOB13" s="12"/>
      <c r="VOC13" s="12"/>
      <c r="VOD13" s="12"/>
      <c r="VOE13" s="12"/>
      <c r="VOF13" s="12"/>
      <c r="VOG13" s="12"/>
      <c r="VOH13" s="12"/>
      <c r="VOI13" s="12"/>
      <c r="VOJ13" s="12"/>
      <c r="VOK13" s="12"/>
      <c r="VOL13" s="12"/>
      <c r="VOM13" s="12"/>
      <c r="VON13" s="12"/>
      <c r="VOO13" s="12"/>
      <c r="VOP13" s="12"/>
      <c r="VOQ13" s="12"/>
      <c r="VOR13" s="12"/>
      <c r="VOS13" s="12"/>
      <c r="VOT13" s="12"/>
      <c r="VOU13" s="12"/>
      <c r="VOV13" s="12"/>
      <c r="VOW13" s="12"/>
      <c r="VOX13" s="12"/>
      <c r="VOY13" s="12"/>
      <c r="VOZ13" s="12"/>
      <c r="VPA13" s="12"/>
      <c r="VPB13" s="12"/>
      <c r="VPC13" s="12"/>
      <c r="VPD13" s="12"/>
      <c r="VPE13" s="12"/>
      <c r="VPF13" s="12"/>
      <c r="VPG13" s="12"/>
      <c r="VPH13" s="12"/>
      <c r="VPI13" s="12"/>
      <c r="VPJ13" s="12"/>
      <c r="VPK13" s="12"/>
      <c r="VPL13" s="12"/>
      <c r="VPM13" s="12"/>
      <c r="VPN13" s="12"/>
      <c r="VPO13" s="12"/>
      <c r="VPP13" s="12"/>
      <c r="VPQ13" s="12"/>
      <c r="VPR13" s="12"/>
      <c r="VPS13" s="12"/>
      <c r="VPT13" s="12"/>
      <c r="VPU13" s="12"/>
      <c r="VPV13" s="12"/>
      <c r="VPW13" s="12"/>
      <c r="VPX13" s="12"/>
      <c r="VPY13" s="12"/>
      <c r="VPZ13" s="12"/>
      <c r="VQA13" s="12"/>
      <c r="VQB13" s="12"/>
      <c r="VQC13" s="12"/>
      <c r="VQD13" s="12"/>
      <c r="VQE13" s="12"/>
      <c r="VQF13" s="12"/>
      <c r="VQG13" s="12"/>
      <c r="VQH13" s="12"/>
      <c r="VQI13" s="12"/>
      <c r="VQJ13" s="12"/>
      <c r="VQK13" s="12"/>
      <c r="VQL13" s="12"/>
      <c r="VQM13" s="12"/>
      <c r="VQN13" s="12"/>
      <c r="VQO13" s="12"/>
      <c r="VQP13" s="12"/>
      <c r="VQQ13" s="12"/>
      <c r="VQR13" s="12"/>
      <c r="VQS13" s="12"/>
      <c r="VQT13" s="12"/>
      <c r="VQU13" s="12"/>
      <c r="VQV13" s="12"/>
      <c r="VQW13" s="12"/>
      <c r="VQX13" s="12"/>
      <c r="VQY13" s="12"/>
      <c r="VQZ13" s="12"/>
      <c r="VRA13" s="12"/>
      <c r="VRB13" s="12"/>
      <c r="VRC13" s="12"/>
      <c r="VRD13" s="12"/>
      <c r="VRE13" s="12"/>
      <c r="VRF13" s="12"/>
      <c r="VRG13" s="12"/>
      <c r="VRH13" s="12"/>
      <c r="VRI13" s="12"/>
      <c r="VRJ13" s="12"/>
      <c r="VRK13" s="12"/>
      <c r="VRL13" s="12"/>
      <c r="VRM13" s="12"/>
      <c r="VRN13" s="12"/>
      <c r="VRO13" s="12"/>
      <c r="VRP13" s="12"/>
      <c r="VRQ13" s="12"/>
      <c r="VRR13" s="12"/>
      <c r="VRS13" s="12"/>
      <c r="VRT13" s="12"/>
      <c r="VRU13" s="12"/>
      <c r="VRV13" s="12"/>
      <c r="VRW13" s="12"/>
      <c r="VRX13" s="12"/>
      <c r="VRY13" s="12"/>
      <c r="VRZ13" s="12"/>
      <c r="VSA13" s="12"/>
      <c r="VSB13" s="12"/>
      <c r="VSC13" s="12"/>
      <c r="VSD13" s="12"/>
      <c r="VSE13" s="12"/>
      <c r="VSF13" s="12"/>
      <c r="VSG13" s="12"/>
      <c r="VSH13" s="12"/>
      <c r="VSI13" s="12"/>
      <c r="VSJ13" s="12"/>
      <c r="VSK13" s="12"/>
      <c r="VSL13" s="12"/>
      <c r="VSM13" s="12"/>
      <c r="VSN13" s="12"/>
      <c r="VSO13" s="12"/>
      <c r="VSP13" s="12"/>
      <c r="VSQ13" s="12"/>
      <c r="VSR13" s="12"/>
      <c r="VSS13" s="12"/>
      <c r="VST13" s="12"/>
      <c r="VSU13" s="12"/>
      <c r="VSV13" s="12"/>
      <c r="VSW13" s="12"/>
      <c r="VSX13" s="12"/>
      <c r="VSY13" s="12"/>
      <c r="VSZ13" s="12"/>
      <c r="VTA13" s="12"/>
      <c r="VTB13" s="12"/>
      <c r="VTC13" s="12"/>
      <c r="VTD13" s="12"/>
      <c r="VTE13" s="12"/>
      <c r="VTF13" s="12"/>
      <c r="VTG13" s="12"/>
      <c r="VTH13" s="12"/>
      <c r="VTI13" s="12"/>
      <c r="VTJ13" s="12"/>
      <c r="VTK13" s="12"/>
      <c r="VTL13" s="12"/>
      <c r="VTM13" s="12"/>
      <c r="VTN13" s="12"/>
      <c r="VTO13" s="12"/>
      <c r="VTP13" s="12"/>
      <c r="VTQ13" s="12"/>
      <c r="VTR13" s="12"/>
      <c r="VTS13" s="12"/>
      <c r="VTT13" s="12"/>
      <c r="VTU13" s="12"/>
      <c r="VTV13" s="12"/>
      <c r="VTW13" s="12"/>
      <c r="VTX13" s="12"/>
      <c r="VTY13" s="12"/>
      <c r="VTZ13" s="12"/>
      <c r="VUA13" s="12"/>
      <c r="VUB13" s="12"/>
      <c r="VUC13" s="12"/>
      <c r="VUD13" s="12"/>
      <c r="VUE13" s="12"/>
      <c r="VUF13" s="12"/>
      <c r="VUG13" s="12"/>
      <c r="VUH13" s="12"/>
      <c r="VUI13" s="12"/>
      <c r="VUJ13" s="12"/>
      <c r="VUK13" s="12"/>
      <c r="VUL13" s="12"/>
      <c r="VUM13" s="12"/>
      <c r="VUN13" s="12"/>
      <c r="VUO13" s="12"/>
      <c r="VUP13" s="12"/>
      <c r="VUQ13" s="12"/>
      <c r="VUR13" s="12"/>
      <c r="VUS13" s="12"/>
      <c r="VUT13" s="12"/>
      <c r="VUU13" s="12"/>
      <c r="VUV13" s="12"/>
      <c r="VUW13" s="12"/>
      <c r="VUX13" s="12"/>
      <c r="VUY13" s="12"/>
      <c r="VUZ13" s="12"/>
      <c r="VVA13" s="12"/>
      <c r="VVB13" s="12"/>
      <c r="VVC13" s="12"/>
      <c r="VVD13" s="12"/>
      <c r="VVE13" s="12"/>
      <c r="VVF13" s="12"/>
      <c r="VVG13" s="12"/>
      <c r="VVH13" s="12"/>
      <c r="VVI13" s="12"/>
      <c r="VVJ13" s="12"/>
      <c r="VVK13" s="12"/>
      <c r="VVL13" s="12"/>
      <c r="VVM13" s="12"/>
      <c r="VVN13" s="12"/>
      <c r="VVO13" s="12"/>
      <c r="VVP13" s="12"/>
      <c r="VVQ13" s="12"/>
      <c r="VVR13" s="12"/>
      <c r="VVS13" s="12"/>
      <c r="VVT13" s="12"/>
      <c r="VVU13" s="12"/>
      <c r="VVV13" s="12"/>
      <c r="VVW13" s="12"/>
      <c r="VVX13" s="12"/>
      <c r="VVY13" s="12"/>
      <c r="VVZ13" s="12"/>
      <c r="VWA13" s="12"/>
      <c r="VWB13" s="12"/>
      <c r="VWC13" s="12"/>
      <c r="VWD13" s="12"/>
      <c r="VWE13" s="12"/>
      <c r="VWF13" s="12"/>
      <c r="VWG13" s="12"/>
      <c r="VWH13" s="12"/>
      <c r="VWI13" s="12"/>
      <c r="VWJ13" s="12"/>
      <c r="VWK13" s="12"/>
      <c r="VWL13" s="12"/>
      <c r="VWM13" s="12"/>
      <c r="VWN13" s="12"/>
      <c r="VWO13" s="12"/>
      <c r="VWP13" s="12"/>
      <c r="VWQ13" s="12"/>
      <c r="VWR13" s="12"/>
      <c r="VWS13" s="12"/>
      <c r="VWT13" s="12"/>
      <c r="VWU13" s="12"/>
      <c r="VWV13" s="12"/>
      <c r="VWW13" s="12"/>
      <c r="VWX13" s="12"/>
      <c r="VWY13" s="12"/>
      <c r="VWZ13" s="12"/>
      <c r="VXA13" s="12"/>
      <c r="VXB13" s="12"/>
      <c r="VXC13" s="12"/>
      <c r="VXD13" s="12"/>
      <c r="VXE13" s="12"/>
      <c r="VXF13" s="12"/>
      <c r="VXG13" s="12"/>
      <c r="VXH13" s="12"/>
      <c r="VXI13" s="12"/>
      <c r="VXJ13" s="12"/>
      <c r="VXK13" s="12"/>
      <c r="VXL13" s="12"/>
      <c r="VXM13" s="12"/>
      <c r="VXN13" s="12"/>
      <c r="VXO13" s="12"/>
      <c r="VXP13" s="12"/>
      <c r="VXQ13" s="12"/>
      <c r="VXR13" s="12"/>
      <c r="VXS13" s="12"/>
      <c r="VXT13" s="12"/>
      <c r="VXU13" s="12"/>
      <c r="VXV13" s="12"/>
      <c r="VXW13" s="12"/>
      <c r="VXX13" s="12"/>
      <c r="VXY13" s="12"/>
      <c r="VXZ13" s="12"/>
      <c r="VYA13" s="12"/>
      <c r="VYB13" s="12"/>
      <c r="VYC13" s="12"/>
      <c r="VYD13" s="12"/>
      <c r="VYE13" s="12"/>
      <c r="VYF13" s="12"/>
      <c r="VYG13" s="12"/>
      <c r="VYH13" s="12"/>
      <c r="VYI13" s="12"/>
      <c r="VYJ13" s="12"/>
      <c r="VYK13" s="12"/>
      <c r="VYL13" s="12"/>
      <c r="VYM13" s="12"/>
      <c r="VYN13" s="12"/>
      <c r="VYO13" s="12"/>
      <c r="VYP13" s="12"/>
      <c r="VYQ13" s="12"/>
      <c r="VYR13" s="12"/>
      <c r="VYS13" s="12"/>
      <c r="VYT13" s="12"/>
      <c r="VYU13" s="12"/>
      <c r="VYV13" s="12"/>
      <c r="VYW13" s="12"/>
      <c r="VYX13" s="12"/>
      <c r="VYY13" s="12"/>
      <c r="VYZ13" s="12"/>
      <c r="VZA13" s="12"/>
      <c r="VZB13" s="12"/>
      <c r="VZC13" s="12"/>
      <c r="VZD13" s="12"/>
      <c r="VZE13" s="12"/>
      <c r="VZF13" s="12"/>
      <c r="VZG13" s="12"/>
      <c r="VZH13" s="12"/>
      <c r="VZI13" s="12"/>
      <c r="VZJ13" s="12"/>
      <c r="VZK13" s="12"/>
      <c r="VZL13" s="12"/>
      <c r="VZM13" s="12"/>
      <c r="VZN13" s="12"/>
      <c r="VZO13" s="12"/>
      <c r="VZP13" s="12"/>
      <c r="VZQ13" s="12"/>
      <c r="VZR13" s="12"/>
      <c r="VZS13" s="12"/>
      <c r="VZT13" s="12"/>
      <c r="VZU13" s="12"/>
      <c r="VZV13" s="12"/>
      <c r="VZW13" s="12"/>
      <c r="VZX13" s="12"/>
      <c r="VZY13" s="12"/>
      <c r="VZZ13" s="12"/>
      <c r="WAA13" s="12"/>
      <c r="WAB13" s="12"/>
      <c r="WAC13" s="12"/>
      <c r="WAD13" s="12"/>
      <c r="WAE13" s="12"/>
      <c r="WAF13" s="12"/>
      <c r="WAG13" s="12"/>
      <c r="WAH13" s="12"/>
      <c r="WAI13" s="12"/>
      <c r="WAJ13" s="12"/>
      <c r="WAK13" s="12"/>
      <c r="WAL13" s="12"/>
      <c r="WAM13" s="12"/>
      <c r="WAN13" s="12"/>
      <c r="WAO13" s="12"/>
      <c r="WAP13" s="12"/>
      <c r="WAQ13" s="12"/>
      <c r="WAR13" s="12"/>
      <c r="WAS13" s="12"/>
      <c r="WAT13" s="12"/>
      <c r="WAU13" s="12"/>
      <c r="WAV13" s="12"/>
      <c r="WAW13" s="12"/>
      <c r="WAX13" s="12"/>
      <c r="WAY13" s="12"/>
      <c r="WAZ13" s="12"/>
      <c r="WBA13" s="12"/>
      <c r="WBB13" s="12"/>
      <c r="WBC13" s="12"/>
      <c r="WBD13" s="12"/>
      <c r="WBE13" s="12"/>
      <c r="WBF13" s="12"/>
      <c r="WBG13" s="12"/>
      <c r="WBH13" s="12"/>
      <c r="WBI13" s="12"/>
      <c r="WBJ13" s="12"/>
      <c r="WBK13" s="12"/>
      <c r="WBL13" s="12"/>
      <c r="WBM13" s="12"/>
      <c r="WBN13" s="12"/>
      <c r="WBO13" s="12"/>
      <c r="WBP13" s="12"/>
      <c r="WBQ13" s="12"/>
      <c r="WBR13" s="12"/>
      <c r="WBS13" s="12"/>
      <c r="WBT13" s="12"/>
      <c r="WBU13" s="12"/>
      <c r="WBV13" s="12"/>
      <c r="WBW13" s="12"/>
      <c r="WBX13" s="12"/>
      <c r="WBY13" s="12"/>
      <c r="WBZ13" s="12"/>
      <c r="WCA13" s="12"/>
      <c r="WCB13" s="12"/>
      <c r="WCC13" s="12"/>
      <c r="WCD13" s="12"/>
      <c r="WCE13" s="12"/>
      <c r="WCF13" s="12"/>
      <c r="WCG13" s="12"/>
      <c r="WCH13" s="12"/>
      <c r="WCI13" s="12"/>
      <c r="WCJ13" s="12"/>
      <c r="WCK13" s="12"/>
      <c r="WCL13" s="12"/>
      <c r="WCM13" s="12"/>
      <c r="WCN13" s="12"/>
      <c r="WCO13" s="12"/>
      <c r="WCP13" s="12"/>
      <c r="WCQ13" s="12"/>
      <c r="WCR13" s="12"/>
      <c r="WCS13" s="12"/>
      <c r="WCT13" s="12"/>
      <c r="WCU13" s="12"/>
      <c r="WCV13" s="12"/>
      <c r="WCW13" s="12"/>
      <c r="WCX13" s="12"/>
      <c r="WCY13" s="12"/>
      <c r="WCZ13" s="12"/>
      <c r="WDA13" s="12"/>
      <c r="WDB13" s="12"/>
      <c r="WDC13" s="12"/>
      <c r="WDD13" s="12"/>
      <c r="WDE13" s="12"/>
      <c r="WDF13" s="12"/>
      <c r="WDG13" s="12"/>
      <c r="WDH13" s="12"/>
      <c r="WDI13" s="12"/>
      <c r="WDJ13" s="12"/>
      <c r="WDK13" s="12"/>
      <c r="WDL13" s="12"/>
      <c r="WDM13" s="12"/>
      <c r="WDN13" s="12"/>
      <c r="WDO13" s="12"/>
      <c r="WDP13" s="12"/>
      <c r="WDQ13" s="12"/>
      <c r="WDR13" s="12"/>
      <c r="WDS13" s="12"/>
      <c r="WDT13" s="12"/>
      <c r="WDU13" s="12"/>
      <c r="WDV13" s="12"/>
      <c r="WDW13" s="12"/>
      <c r="WDX13" s="12"/>
      <c r="WDY13" s="12"/>
      <c r="WDZ13" s="12"/>
      <c r="WEA13" s="12"/>
      <c r="WEB13" s="12"/>
      <c r="WEC13" s="12"/>
      <c r="WED13" s="12"/>
      <c r="WEE13" s="12"/>
      <c r="WEF13" s="12"/>
      <c r="WEG13" s="12"/>
      <c r="WEH13" s="12"/>
      <c r="WEI13" s="12"/>
      <c r="WEJ13" s="12"/>
      <c r="WEK13" s="12"/>
      <c r="WEL13" s="12"/>
      <c r="WEM13" s="12"/>
      <c r="WEN13" s="12"/>
      <c r="WEO13" s="12"/>
      <c r="WEP13" s="12"/>
      <c r="WEQ13" s="12"/>
      <c r="WER13" s="12"/>
      <c r="WES13" s="12"/>
      <c r="WET13" s="12"/>
      <c r="WEU13" s="12"/>
      <c r="WEV13" s="12"/>
      <c r="WEW13" s="12"/>
      <c r="WEX13" s="12"/>
      <c r="WEY13" s="12"/>
      <c r="WEZ13" s="12"/>
      <c r="WFA13" s="12"/>
      <c r="WFB13" s="12"/>
      <c r="WFC13" s="12"/>
      <c r="WFD13" s="12"/>
      <c r="WFE13" s="12"/>
      <c r="WFF13" s="12"/>
      <c r="WFG13" s="12"/>
      <c r="WFH13" s="12"/>
      <c r="WFI13" s="12"/>
      <c r="WFJ13" s="12"/>
      <c r="WFK13" s="12"/>
      <c r="WFL13" s="12"/>
      <c r="WFM13" s="12"/>
      <c r="WFN13" s="12"/>
      <c r="WFO13" s="12"/>
      <c r="WFP13" s="12"/>
      <c r="WFQ13" s="12"/>
      <c r="WFR13" s="12"/>
      <c r="WFS13" s="12"/>
      <c r="WFT13" s="12"/>
      <c r="WFU13" s="12"/>
      <c r="WFV13" s="12"/>
      <c r="WFW13" s="12"/>
      <c r="WFX13" s="12"/>
      <c r="WFY13" s="12"/>
      <c r="WFZ13" s="12"/>
      <c r="WGA13" s="12"/>
      <c r="WGB13" s="12"/>
      <c r="WGC13" s="12"/>
      <c r="WGD13" s="12"/>
      <c r="WGE13" s="12"/>
      <c r="WGF13" s="12"/>
      <c r="WGG13" s="12"/>
      <c r="WGH13" s="12"/>
      <c r="WGI13" s="12"/>
      <c r="WGJ13" s="12"/>
      <c r="WGK13" s="12"/>
      <c r="WGL13" s="12"/>
      <c r="WGM13" s="12"/>
      <c r="WGN13" s="12"/>
      <c r="WGO13" s="12"/>
      <c r="WGP13" s="12"/>
      <c r="WGQ13" s="12"/>
      <c r="WGR13" s="12"/>
      <c r="WGS13" s="12"/>
      <c r="WGT13" s="12"/>
      <c r="WGU13" s="12"/>
      <c r="WGV13" s="12"/>
      <c r="WGW13" s="12"/>
      <c r="WGX13" s="12"/>
      <c r="WGY13" s="12"/>
      <c r="WGZ13" s="12"/>
      <c r="WHA13" s="12"/>
      <c r="WHB13" s="12"/>
      <c r="WHC13" s="12"/>
      <c r="WHD13" s="12"/>
      <c r="WHE13" s="12"/>
      <c r="WHF13" s="12"/>
      <c r="WHG13" s="12"/>
      <c r="WHH13" s="12"/>
      <c r="WHI13" s="12"/>
      <c r="WHJ13" s="12"/>
      <c r="WHK13" s="12"/>
      <c r="WHL13" s="12"/>
      <c r="WHM13" s="12"/>
      <c r="WHN13" s="12"/>
      <c r="WHO13" s="12"/>
      <c r="WHP13" s="12"/>
      <c r="WHQ13" s="12"/>
      <c r="WHR13" s="12"/>
      <c r="WHS13" s="12"/>
      <c r="WHT13" s="12"/>
      <c r="WHU13" s="12"/>
      <c r="WHV13" s="12"/>
      <c r="WHW13" s="12"/>
      <c r="WHX13" s="12"/>
      <c r="WHY13" s="12"/>
      <c r="WHZ13" s="12"/>
      <c r="WIA13" s="12"/>
      <c r="WIB13" s="12"/>
      <c r="WIC13" s="12"/>
      <c r="WID13" s="12"/>
      <c r="WIE13" s="12"/>
      <c r="WIF13" s="12"/>
      <c r="WIG13" s="12"/>
      <c r="WIH13" s="12"/>
      <c r="WII13" s="12"/>
      <c r="WIJ13" s="12"/>
      <c r="WIK13" s="12"/>
      <c r="WIL13" s="12"/>
      <c r="WIM13" s="12"/>
      <c r="WIN13" s="12"/>
      <c r="WIO13" s="12"/>
      <c r="WIP13" s="12"/>
      <c r="WIQ13" s="12"/>
      <c r="WIR13" s="12"/>
      <c r="WIS13" s="12"/>
      <c r="WIT13" s="12"/>
      <c r="WIU13" s="12"/>
      <c r="WIV13" s="12"/>
      <c r="WIW13" s="12"/>
      <c r="WIX13" s="12"/>
      <c r="WIY13" s="12"/>
      <c r="WIZ13" s="12"/>
      <c r="WJA13" s="12"/>
      <c r="WJB13" s="12"/>
      <c r="WJC13" s="12"/>
      <c r="WJD13" s="12"/>
      <c r="WJE13" s="12"/>
      <c r="WJF13" s="12"/>
      <c r="WJG13" s="12"/>
      <c r="WJH13" s="12"/>
      <c r="WJI13" s="12"/>
      <c r="WJJ13" s="12"/>
      <c r="WJK13" s="12"/>
      <c r="WJL13" s="12"/>
      <c r="WJM13" s="12"/>
      <c r="WJN13" s="12"/>
      <c r="WJO13" s="12"/>
      <c r="WJP13" s="12"/>
      <c r="WJQ13" s="12"/>
      <c r="WJR13" s="12"/>
      <c r="WJS13" s="12"/>
      <c r="WJT13" s="12"/>
      <c r="WJU13" s="12"/>
      <c r="WJV13" s="12"/>
      <c r="WJW13" s="12"/>
      <c r="WJX13" s="12"/>
      <c r="WJY13" s="12"/>
      <c r="WJZ13" s="12"/>
      <c r="WKA13" s="12"/>
      <c r="WKB13" s="12"/>
      <c r="WKC13" s="12"/>
      <c r="WKD13" s="12"/>
      <c r="WKE13" s="12"/>
      <c r="WKF13" s="12"/>
      <c r="WKG13" s="12"/>
      <c r="WKH13" s="12"/>
      <c r="WKI13" s="12"/>
      <c r="WKJ13" s="12"/>
      <c r="WKK13" s="12"/>
      <c r="WKL13" s="12"/>
      <c r="WKM13" s="12"/>
      <c r="WKN13" s="12"/>
      <c r="WKO13" s="12"/>
      <c r="WKP13" s="12"/>
      <c r="WKQ13" s="12"/>
      <c r="WKR13" s="12"/>
      <c r="WKS13" s="12"/>
      <c r="WKT13" s="12"/>
      <c r="WKU13" s="12"/>
      <c r="WKV13" s="12"/>
      <c r="WKW13" s="12"/>
      <c r="WKX13" s="12"/>
      <c r="WKY13" s="12"/>
      <c r="WKZ13" s="12"/>
      <c r="WLA13" s="12"/>
      <c r="WLB13" s="12"/>
      <c r="WLC13" s="12"/>
      <c r="WLD13" s="12"/>
      <c r="WLE13" s="12"/>
      <c r="WLF13" s="12"/>
      <c r="WLG13" s="12"/>
      <c r="WLH13" s="12"/>
      <c r="WLI13" s="12"/>
      <c r="WLJ13" s="12"/>
      <c r="WLK13" s="12"/>
      <c r="WLL13" s="12"/>
      <c r="WLM13" s="12"/>
      <c r="WLN13" s="12"/>
      <c r="WLO13" s="12"/>
      <c r="WLP13" s="12"/>
      <c r="WLQ13" s="12"/>
      <c r="WLR13" s="12"/>
      <c r="WLS13" s="12"/>
      <c r="WLT13" s="12"/>
      <c r="WLU13" s="12"/>
      <c r="WLV13" s="12"/>
      <c r="WLW13" s="12"/>
      <c r="WLX13" s="12"/>
      <c r="WLY13" s="12"/>
      <c r="WLZ13" s="12"/>
      <c r="WMA13" s="12"/>
      <c r="WMB13" s="12"/>
      <c r="WMC13" s="12"/>
      <c r="WMD13" s="12"/>
      <c r="WME13" s="12"/>
      <c r="WMF13" s="12"/>
      <c r="WMG13" s="12"/>
      <c r="WMH13" s="12"/>
      <c r="WMI13" s="12"/>
      <c r="WMJ13" s="12"/>
      <c r="WMK13" s="12"/>
      <c r="WML13" s="12"/>
      <c r="WMM13" s="12"/>
      <c r="WMN13" s="12"/>
      <c r="WMO13" s="12"/>
      <c r="WMP13" s="12"/>
      <c r="WMQ13" s="12"/>
      <c r="WMR13" s="12"/>
      <c r="WMS13" s="12"/>
      <c r="WMT13" s="12"/>
      <c r="WMU13" s="12"/>
      <c r="WMV13" s="12"/>
      <c r="WMW13" s="12"/>
      <c r="WMX13" s="12"/>
      <c r="WMY13" s="12"/>
      <c r="WMZ13" s="12"/>
      <c r="WNA13" s="12"/>
      <c r="WNB13" s="12"/>
      <c r="WNC13" s="12"/>
      <c r="WND13" s="12"/>
      <c r="WNE13" s="12"/>
      <c r="WNF13" s="12"/>
      <c r="WNG13" s="12"/>
      <c r="WNH13" s="12"/>
      <c r="WNI13" s="12"/>
      <c r="WNJ13" s="12"/>
      <c r="WNK13" s="12"/>
      <c r="WNL13" s="12"/>
      <c r="WNM13" s="12"/>
      <c r="WNN13" s="12"/>
      <c r="WNO13" s="12"/>
      <c r="WNP13" s="12"/>
      <c r="WNQ13" s="12"/>
      <c r="WNR13" s="12"/>
      <c r="WNS13" s="12"/>
      <c r="WNT13" s="12"/>
      <c r="WNU13" s="12"/>
      <c r="WNV13" s="12"/>
      <c r="WNW13" s="12"/>
      <c r="WNX13" s="12"/>
      <c r="WNY13" s="12"/>
      <c r="WNZ13" s="12"/>
      <c r="WOA13" s="12"/>
      <c r="WOB13" s="12"/>
      <c r="WOC13" s="12"/>
      <c r="WOD13" s="12"/>
      <c r="WOE13" s="12"/>
      <c r="WOF13" s="12"/>
      <c r="WOG13" s="12"/>
      <c r="WOH13" s="12"/>
      <c r="WOI13" s="12"/>
      <c r="WOJ13" s="12"/>
      <c r="WOK13" s="12"/>
      <c r="WOL13" s="12"/>
      <c r="WOM13" s="12"/>
      <c r="WON13" s="12"/>
      <c r="WOO13" s="12"/>
      <c r="WOP13" s="12"/>
      <c r="WOQ13" s="12"/>
      <c r="WOR13" s="12"/>
      <c r="WOS13" s="12"/>
      <c r="WOT13" s="12"/>
      <c r="WOU13" s="12"/>
      <c r="WOV13" s="12"/>
      <c r="WOW13" s="12"/>
      <c r="WOX13" s="12"/>
      <c r="WOY13" s="12"/>
      <c r="WOZ13" s="12"/>
      <c r="WPA13" s="12"/>
      <c r="WPB13" s="12"/>
      <c r="WPC13" s="12"/>
      <c r="WPD13" s="12"/>
      <c r="WPE13" s="12"/>
      <c r="WPF13" s="12"/>
      <c r="WPG13" s="12"/>
      <c r="WPH13" s="12"/>
      <c r="WPI13" s="12"/>
      <c r="WPJ13" s="12"/>
      <c r="WPK13" s="12"/>
      <c r="WPL13" s="12"/>
      <c r="WPM13" s="12"/>
      <c r="WPN13" s="12"/>
      <c r="WPO13" s="12"/>
      <c r="WPP13" s="12"/>
      <c r="WPQ13" s="12"/>
      <c r="WPR13" s="12"/>
      <c r="WPS13" s="12"/>
      <c r="WPT13" s="12"/>
      <c r="WPU13" s="12"/>
      <c r="WPV13" s="12"/>
      <c r="WPW13" s="12"/>
      <c r="WPX13" s="12"/>
      <c r="WPY13" s="12"/>
      <c r="WPZ13" s="12"/>
      <c r="WQA13" s="12"/>
      <c r="WQB13" s="12"/>
      <c r="WQC13" s="12"/>
      <c r="WQD13" s="12"/>
      <c r="WQE13" s="12"/>
      <c r="WQF13" s="12"/>
      <c r="WQG13" s="12"/>
      <c r="WQH13" s="12"/>
      <c r="WQI13" s="12"/>
      <c r="WQJ13" s="12"/>
      <c r="WQK13" s="12"/>
      <c r="WQL13" s="12"/>
      <c r="WQM13" s="12"/>
      <c r="WQN13" s="12"/>
      <c r="WQO13" s="12"/>
      <c r="WQP13" s="12"/>
      <c r="WQQ13" s="12"/>
      <c r="WQR13" s="12"/>
      <c r="WQS13" s="12"/>
      <c r="WQT13" s="12"/>
      <c r="WQU13" s="12"/>
      <c r="WQV13" s="12"/>
      <c r="WQW13" s="12"/>
      <c r="WQX13" s="12"/>
      <c r="WQY13" s="12"/>
      <c r="WQZ13" s="12"/>
      <c r="WRA13" s="12"/>
      <c r="WRB13" s="12"/>
      <c r="WRC13" s="12"/>
      <c r="WRD13" s="12"/>
      <c r="WRE13" s="12"/>
      <c r="WRF13" s="12"/>
      <c r="WRG13" s="12"/>
      <c r="WRH13" s="12"/>
      <c r="WRI13" s="12"/>
      <c r="WRJ13" s="12"/>
      <c r="WRK13" s="12"/>
      <c r="WRL13" s="12"/>
      <c r="WRM13" s="12"/>
      <c r="WRN13" s="12"/>
      <c r="WRO13" s="12"/>
      <c r="WRP13" s="12"/>
      <c r="WRQ13" s="12"/>
      <c r="WRR13" s="12"/>
      <c r="WRS13" s="12"/>
      <c r="WRT13" s="12"/>
      <c r="WRU13" s="12"/>
      <c r="WRV13" s="12"/>
      <c r="WRW13" s="12"/>
      <c r="WRX13" s="12"/>
      <c r="WRY13" s="12"/>
      <c r="WRZ13" s="12"/>
      <c r="WSA13" s="12"/>
      <c r="WSB13" s="12"/>
      <c r="WSC13" s="12"/>
      <c r="WSD13" s="12"/>
      <c r="WSE13" s="12"/>
      <c r="WSF13" s="12"/>
      <c r="WSG13" s="12"/>
      <c r="WSH13" s="12"/>
      <c r="WSI13" s="12"/>
      <c r="WSJ13" s="12"/>
      <c r="WSK13" s="12"/>
      <c r="WSL13" s="12"/>
      <c r="WSM13" s="12"/>
      <c r="WSN13" s="12"/>
      <c r="WSO13" s="12"/>
      <c r="WSP13" s="12"/>
      <c r="WSQ13" s="12"/>
      <c r="WSR13" s="12"/>
      <c r="WSS13" s="12"/>
      <c r="WST13" s="12"/>
      <c r="WSU13" s="12"/>
      <c r="WSV13" s="12"/>
      <c r="WSW13" s="12"/>
      <c r="WSX13" s="12"/>
      <c r="WSY13" s="12"/>
      <c r="WSZ13" s="12"/>
      <c r="WTA13" s="12"/>
      <c r="WTB13" s="12"/>
      <c r="WTC13" s="12"/>
      <c r="WTD13" s="12"/>
      <c r="WTE13" s="12"/>
      <c r="WTF13" s="12"/>
      <c r="WTG13" s="12"/>
      <c r="WTH13" s="12"/>
      <c r="WTI13" s="12"/>
      <c r="WTJ13" s="12"/>
      <c r="WTK13" s="12"/>
      <c r="WTL13" s="12"/>
      <c r="WTM13" s="12"/>
      <c r="WTN13" s="12"/>
      <c r="WTO13" s="12"/>
      <c r="WTP13" s="12"/>
      <c r="WTQ13" s="12"/>
      <c r="WTR13" s="12"/>
      <c r="WTS13" s="12"/>
      <c r="WTT13" s="12"/>
      <c r="WTU13" s="12"/>
      <c r="WTV13" s="12"/>
      <c r="WTW13" s="12"/>
      <c r="WTX13" s="12"/>
      <c r="WTY13" s="12"/>
      <c r="WTZ13" s="12"/>
      <c r="WUA13" s="12"/>
      <c r="WUB13" s="12"/>
      <c r="WUC13" s="12"/>
      <c r="WUD13" s="12"/>
      <c r="WUE13" s="12"/>
      <c r="WUF13" s="12"/>
      <c r="WUG13" s="12"/>
      <c r="WUH13" s="12"/>
      <c r="WUI13" s="12"/>
      <c r="WUJ13" s="12"/>
      <c r="WUK13" s="12"/>
      <c r="WUL13" s="12"/>
      <c r="WUM13" s="12"/>
      <c r="WUN13" s="12"/>
      <c r="WUO13" s="12"/>
      <c r="WUP13" s="12"/>
      <c r="WUQ13" s="12"/>
      <c r="WUR13" s="12"/>
      <c r="WUS13" s="12"/>
      <c r="WUT13" s="12"/>
      <c r="WUU13" s="12"/>
      <c r="WUV13" s="12"/>
      <c r="WUW13" s="12"/>
      <c r="WUX13" s="12"/>
      <c r="WUY13" s="12"/>
      <c r="WUZ13" s="12"/>
      <c r="WVA13" s="12"/>
      <c r="WVB13" s="12"/>
      <c r="WVC13" s="12"/>
      <c r="WVD13" s="12"/>
      <c r="WVE13" s="12"/>
      <c r="WVF13" s="12"/>
      <c r="WVG13" s="12"/>
      <c r="WVH13" s="12"/>
      <c r="WVI13" s="12"/>
      <c r="WVJ13" s="12"/>
      <c r="WVK13" s="12"/>
      <c r="WVL13" s="12"/>
      <c r="WVM13" s="12"/>
      <c r="WVN13" s="12"/>
      <c r="WVO13" s="12"/>
      <c r="WVP13" s="12"/>
      <c r="WVQ13" s="12"/>
      <c r="WVR13" s="12"/>
      <c r="WVS13" s="12"/>
      <c r="WVT13" s="12"/>
      <c r="WVU13" s="12"/>
      <c r="WVV13" s="12"/>
      <c r="WVW13" s="12"/>
      <c r="WVX13" s="12"/>
      <c r="WVY13" s="12"/>
      <c r="WVZ13" s="12"/>
      <c r="WWA13" s="12"/>
      <c r="WWB13" s="12"/>
      <c r="WWC13" s="12"/>
      <c r="WWD13" s="12"/>
      <c r="WWE13" s="12"/>
      <c r="WWF13" s="12"/>
      <c r="WWG13" s="12"/>
      <c r="WWH13" s="12"/>
      <c r="WWI13" s="12"/>
      <c r="WWJ13" s="12"/>
      <c r="WWK13" s="12"/>
      <c r="WWL13" s="12"/>
      <c r="WWM13" s="12"/>
      <c r="WWN13" s="12"/>
      <c r="WWO13" s="12"/>
      <c r="WWP13" s="12"/>
      <c r="WWQ13" s="12"/>
      <c r="WWR13" s="12"/>
      <c r="WWS13" s="12"/>
      <c r="WWT13" s="12"/>
      <c r="WWU13" s="12"/>
      <c r="WWV13" s="12"/>
      <c r="WWW13" s="12"/>
      <c r="WWX13" s="12"/>
      <c r="WWY13" s="12"/>
      <c r="WWZ13" s="12"/>
      <c r="WXA13" s="12"/>
      <c r="WXB13" s="12"/>
      <c r="WXC13" s="12"/>
      <c r="WXD13" s="12"/>
      <c r="WXE13" s="12"/>
      <c r="WXF13" s="12"/>
      <c r="WXG13" s="12"/>
      <c r="WXH13" s="12"/>
      <c r="WXI13" s="12"/>
      <c r="WXJ13" s="12"/>
      <c r="WXK13" s="12"/>
      <c r="WXL13" s="12"/>
      <c r="WXM13" s="12"/>
      <c r="WXN13" s="12"/>
      <c r="WXO13" s="12"/>
      <c r="WXP13" s="12"/>
      <c r="WXQ13" s="12"/>
      <c r="WXR13" s="12"/>
      <c r="WXS13" s="12"/>
      <c r="WXT13" s="12"/>
      <c r="WXU13" s="12"/>
      <c r="WXV13" s="12"/>
      <c r="WXW13" s="12"/>
      <c r="WXX13" s="12"/>
      <c r="WXY13" s="12"/>
      <c r="WXZ13" s="12"/>
      <c r="WYA13" s="12"/>
      <c r="WYB13" s="12"/>
      <c r="WYC13" s="12"/>
      <c r="WYD13" s="12"/>
      <c r="WYE13" s="12"/>
      <c r="WYF13" s="12"/>
      <c r="WYG13" s="12"/>
      <c r="WYH13" s="12"/>
      <c r="WYI13" s="12"/>
      <c r="WYJ13" s="12"/>
      <c r="WYK13" s="12"/>
      <c r="WYL13" s="12"/>
      <c r="WYM13" s="12"/>
      <c r="WYN13" s="12"/>
      <c r="WYO13" s="12"/>
      <c r="WYP13" s="12"/>
      <c r="WYQ13" s="12"/>
      <c r="WYR13" s="12"/>
      <c r="WYS13" s="12"/>
      <c r="WYT13" s="12"/>
      <c r="WYU13" s="12"/>
      <c r="WYV13" s="12"/>
      <c r="WYW13" s="12"/>
      <c r="WYX13" s="12"/>
      <c r="WYY13" s="12"/>
      <c r="WYZ13" s="12"/>
      <c r="WZA13" s="12"/>
      <c r="WZB13" s="12"/>
      <c r="WZC13" s="12"/>
      <c r="WZD13" s="12"/>
      <c r="WZE13" s="12"/>
      <c r="WZF13" s="12"/>
      <c r="WZG13" s="12"/>
      <c r="WZH13" s="12"/>
      <c r="WZI13" s="12"/>
      <c r="WZJ13" s="12"/>
      <c r="WZK13" s="12"/>
      <c r="WZL13" s="12"/>
      <c r="WZM13" s="12"/>
      <c r="WZN13" s="12"/>
      <c r="WZO13" s="12"/>
      <c r="WZP13" s="12"/>
      <c r="WZQ13" s="12"/>
      <c r="WZR13" s="12"/>
      <c r="WZS13" s="12"/>
      <c r="WZT13" s="12"/>
      <c r="WZU13" s="12"/>
      <c r="WZV13" s="12"/>
      <c r="WZW13" s="12"/>
      <c r="WZX13" s="12"/>
      <c r="WZY13" s="12"/>
      <c r="WZZ13" s="12"/>
      <c r="XAA13" s="12"/>
      <c r="XAB13" s="12"/>
      <c r="XAC13" s="12"/>
      <c r="XAD13" s="12"/>
      <c r="XAE13" s="12"/>
      <c r="XAF13" s="12"/>
      <c r="XAG13" s="12"/>
      <c r="XAH13" s="12"/>
      <c r="XAI13" s="12"/>
      <c r="XAJ13" s="12"/>
      <c r="XAK13" s="12"/>
      <c r="XAL13" s="12"/>
      <c r="XAM13" s="12"/>
      <c r="XAN13" s="12"/>
      <c r="XAO13" s="12"/>
      <c r="XAP13" s="12"/>
      <c r="XAQ13" s="12"/>
      <c r="XAR13" s="12"/>
      <c r="XAS13" s="12"/>
      <c r="XAT13" s="12"/>
      <c r="XAU13" s="12"/>
      <c r="XAV13" s="12"/>
      <c r="XAW13" s="12"/>
      <c r="XAX13" s="12"/>
      <c r="XAY13" s="12"/>
      <c r="XAZ13" s="12"/>
      <c r="XBA13" s="12"/>
      <c r="XBB13" s="12"/>
      <c r="XBC13" s="12"/>
      <c r="XBD13" s="12"/>
      <c r="XBE13" s="12"/>
      <c r="XBF13" s="12"/>
      <c r="XBG13" s="12"/>
      <c r="XBH13" s="12"/>
      <c r="XBI13" s="12"/>
      <c r="XBJ13" s="12"/>
      <c r="XBK13" s="12"/>
      <c r="XBL13" s="12"/>
      <c r="XBM13" s="12"/>
      <c r="XBN13" s="12"/>
      <c r="XBO13" s="12"/>
      <c r="XBP13" s="12"/>
      <c r="XBQ13" s="12"/>
      <c r="XBR13" s="12"/>
      <c r="XBS13" s="12"/>
      <c r="XBT13" s="12"/>
      <c r="XBU13" s="12"/>
      <c r="XBV13" s="12"/>
      <c r="XBW13" s="12"/>
      <c r="XBX13" s="12"/>
      <c r="XBY13" s="12"/>
      <c r="XBZ13" s="12"/>
      <c r="XCA13" s="12"/>
      <c r="XCB13" s="12"/>
      <c r="XCC13" s="12"/>
      <c r="XCD13" s="12"/>
      <c r="XCE13" s="12"/>
      <c r="XCF13" s="12"/>
      <c r="XCG13" s="12"/>
      <c r="XCH13" s="12"/>
      <c r="XCI13" s="12"/>
      <c r="XCJ13" s="12"/>
      <c r="XCK13" s="12"/>
      <c r="XCL13" s="12"/>
      <c r="XCM13" s="12"/>
      <c r="XCN13" s="12"/>
      <c r="XCO13" s="12"/>
      <c r="XCP13" s="12"/>
      <c r="XCQ13" s="12"/>
      <c r="XCR13" s="12"/>
      <c r="XCS13" s="12"/>
      <c r="XCT13" s="12"/>
      <c r="XCU13" s="12"/>
      <c r="XCV13" s="12"/>
      <c r="XCW13" s="12"/>
      <c r="XCX13" s="12"/>
      <c r="XCY13" s="12"/>
      <c r="XCZ13" s="12"/>
      <c r="XDA13" s="12"/>
      <c r="XDB13" s="12"/>
      <c r="XDC13" s="12"/>
      <c r="XDD13" s="12"/>
      <c r="XDE13" s="12"/>
      <c r="XDF13" s="12"/>
      <c r="XDG13" s="12"/>
      <c r="XDH13" s="12"/>
      <c r="XDI13" s="12"/>
      <c r="XDJ13" s="12"/>
      <c r="XDK13" s="12"/>
      <c r="XDL13" s="12"/>
      <c r="XDM13" s="12"/>
      <c r="XDN13" s="12"/>
      <c r="XDO13" s="12"/>
      <c r="XDP13" s="12"/>
      <c r="XDQ13" s="12"/>
      <c r="XDR13" s="12"/>
      <c r="XDS13" s="12"/>
      <c r="XDT13" s="12"/>
      <c r="XDU13" s="12"/>
      <c r="XDV13" s="12"/>
      <c r="XDW13" s="12"/>
      <c r="XDX13" s="12"/>
      <c r="XDY13" s="12"/>
      <c r="XDZ13" s="12"/>
      <c r="XEA13" s="12"/>
      <c r="XEB13" s="12"/>
      <c r="XEC13" s="12"/>
      <c r="XED13" s="12"/>
      <c r="XEE13" s="12"/>
      <c r="XEF13" s="12"/>
      <c r="XEG13" s="12"/>
      <c r="XEH13" s="12"/>
      <c r="XEI13" s="12"/>
      <c r="XEJ13" s="12"/>
      <c r="XEK13" s="12"/>
      <c r="XEL13" s="12"/>
      <c r="XEM13" s="12"/>
      <c r="XEN13" s="12"/>
      <c r="XEO13" s="12"/>
      <c r="XEP13" s="12"/>
      <c r="XEQ13" s="12"/>
      <c r="XER13" s="12"/>
      <c r="XES13" s="12"/>
      <c r="XET13" s="12"/>
      <c r="XEU13" s="12"/>
      <c r="XEV13" s="12"/>
      <c r="XEW13" s="12"/>
      <c r="XEX13" s="12"/>
      <c r="XEY13" s="12"/>
      <c r="XEZ13" s="12"/>
      <c r="XFA13" s="12"/>
      <c r="XFB13" s="12"/>
      <c r="XFC13" s="12"/>
    </row>
    <row r="14" spans="1:16383" s="11" customFormat="1" ht="15" customHeight="1">
      <c r="C14" s="563" t="s">
        <v>82</v>
      </c>
      <c r="D14" s="564"/>
      <c r="E14" s="487">
        <v>1</v>
      </c>
      <c r="F14" s="283"/>
      <c r="G14" s="201">
        <v>1</v>
      </c>
      <c r="H14" s="201">
        <v>2</v>
      </c>
      <c r="I14" s="201">
        <v>3</v>
      </c>
      <c r="J14" s="201">
        <v>4</v>
      </c>
      <c r="K14" s="201">
        <v>5</v>
      </c>
      <c r="L14" s="201">
        <v>6</v>
      </c>
      <c r="M14" s="201">
        <v>7</v>
      </c>
      <c r="N14" s="201">
        <v>8</v>
      </c>
      <c r="O14" s="201">
        <v>9</v>
      </c>
      <c r="P14" s="259">
        <v>10</v>
      </c>
      <c r="Q14" s="201">
        <v>11</v>
      </c>
      <c r="R14" s="12"/>
      <c r="S14" s="314"/>
      <c r="T14" s="12"/>
      <c r="AB14" s="292">
        <v>1</v>
      </c>
      <c r="AC14" s="292">
        <v>2</v>
      </c>
      <c r="AD14" s="292">
        <v>3</v>
      </c>
      <c r="AE14" s="292">
        <v>4</v>
      </c>
      <c r="AF14" s="292">
        <v>5</v>
      </c>
      <c r="AG14" s="292">
        <v>6</v>
      </c>
      <c r="AH14" s="292">
        <v>7</v>
      </c>
      <c r="AI14" s="292">
        <v>8</v>
      </c>
      <c r="AJ14" s="292">
        <v>9</v>
      </c>
      <c r="AK14" s="292">
        <v>10</v>
      </c>
      <c r="AL14" s="292">
        <v>11</v>
      </c>
      <c r="AM14" s="292">
        <v>12</v>
      </c>
      <c r="AN14" s="292">
        <v>13</v>
      </c>
      <c r="AO14" s="292">
        <v>14</v>
      </c>
      <c r="AP14" s="292">
        <v>15</v>
      </c>
      <c r="AQ14" s="292">
        <v>16</v>
      </c>
      <c r="AR14" s="292">
        <v>17</v>
      </c>
      <c r="AS14" s="292">
        <v>18</v>
      </c>
      <c r="AT14" s="292">
        <v>19</v>
      </c>
      <c r="AU14" s="292">
        <v>20</v>
      </c>
      <c r="AV14" s="292">
        <v>21</v>
      </c>
      <c r="AW14" s="292">
        <v>22</v>
      </c>
      <c r="AX14" s="292">
        <v>23</v>
      </c>
      <c r="AY14" s="292">
        <v>24</v>
      </c>
      <c r="AZ14" s="292">
        <v>25</v>
      </c>
      <c r="BA14" s="292">
        <v>26</v>
      </c>
      <c r="BB14" s="292">
        <v>27</v>
      </c>
      <c r="BC14" s="292">
        <v>28</v>
      </c>
      <c r="BD14" s="292">
        <v>29</v>
      </c>
      <c r="BE14" s="292">
        <v>30</v>
      </c>
      <c r="BF14" s="311"/>
      <c r="BG14" s="311"/>
    </row>
    <row r="15" spans="1:16383" s="11" customFormat="1" ht="93.75" customHeight="1">
      <c r="C15" s="143" t="s">
        <v>83</v>
      </c>
      <c r="D15" s="138"/>
      <c r="E15" s="186" t="str">
        <f>INDEX(G15:Q15,$E$14)</f>
        <v>Tanzania w/o sharing</v>
      </c>
      <c r="F15" s="284"/>
      <c r="G15" s="488" t="s">
        <v>788</v>
      </c>
      <c r="H15" s="488" t="s">
        <v>787</v>
      </c>
      <c r="I15" s="488" t="s">
        <v>59</v>
      </c>
      <c r="J15" s="488" t="s">
        <v>57</v>
      </c>
      <c r="K15" s="488" t="s">
        <v>55</v>
      </c>
      <c r="L15" s="488" t="s">
        <v>58</v>
      </c>
      <c r="M15" s="488" t="s">
        <v>61</v>
      </c>
      <c r="N15" s="488" t="s">
        <v>60</v>
      </c>
      <c r="O15" s="488" t="s">
        <v>56</v>
      </c>
      <c r="P15" s="488" t="s">
        <v>54</v>
      </c>
      <c r="Q15" s="488" t="s">
        <v>96</v>
      </c>
      <c r="R15" s="12"/>
      <c r="S15" s="314"/>
      <c r="T15" s="12"/>
      <c r="U15" s="143" t="s">
        <v>83</v>
      </c>
      <c r="V15" s="138"/>
      <c r="W15" s="138"/>
      <c r="X15" s="138"/>
      <c r="Y15" s="138"/>
      <c r="Z15" s="138"/>
      <c r="AA15" s="331"/>
      <c r="AB15" s="488" t="s">
        <v>788</v>
      </c>
      <c r="AC15" s="488" t="s">
        <v>787</v>
      </c>
      <c r="AD15" s="488" t="s">
        <v>62</v>
      </c>
      <c r="AE15" s="488" t="s">
        <v>57</v>
      </c>
      <c r="AF15" s="488" t="s">
        <v>59</v>
      </c>
      <c r="AG15" s="488" t="s">
        <v>55</v>
      </c>
      <c r="AH15" s="488" t="s">
        <v>84</v>
      </c>
      <c r="AI15" s="488" t="s">
        <v>58</v>
      </c>
      <c r="AJ15" s="488" t="s">
        <v>61</v>
      </c>
      <c r="AK15" s="488" t="s">
        <v>85</v>
      </c>
      <c r="AL15" s="488" t="s">
        <v>86</v>
      </c>
      <c r="AM15" s="488" t="s">
        <v>87</v>
      </c>
      <c r="AN15" s="488" t="s">
        <v>88</v>
      </c>
      <c r="AO15" s="488" t="s">
        <v>60</v>
      </c>
      <c r="AP15" s="488" t="s">
        <v>89</v>
      </c>
      <c r="AQ15" s="488" t="s">
        <v>90</v>
      </c>
      <c r="AR15" s="488" t="s">
        <v>91</v>
      </c>
      <c r="AS15" s="488" t="s">
        <v>92</v>
      </c>
      <c r="AT15" s="488" t="s">
        <v>93</v>
      </c>
      <c r="AU15" s="488" t="s">
        <v>54</v>
      </c>
      <c r="AV15" s="488" t="s">
        <v>56</v>
      </c>
      <c r="AW15" s="488" t="s">
        <v>94</v>
      </c>
      <c r="AX15" s="488" t="s">
        <v>95</v>
      </c>
      <c r="AY15" s="488" t="s">
        <v>96</v>
      </c>
      <c r="AZ15" s="488"/>
      <c r="BA15" s="488"/>
      <c r="BB15" s="488"/>
      <c r="BC15" s="488"/>
      <c r="BD15" s="488"/>
      <c r="BE15" s="488"/>
      <c r="BF15" s="322"/>
      <c r="BG15" s="322"/>
    </row>
    <row r="16" spans="1:16383" s="11" customFormat="1" ht="15" customHeight="1">
      <c r="C16" s="282"/>
      <c r="G16" s="205">
        <f>MATCH(G15,$AB$15:$BE$15,0)</f>
        <v>1</v>
      </c>
      <c r="H16" s="205">
        <f t="shared" ref="H16:Q16" si="0">MATCH(H15,$AB$15:$BE$15,0)</f>
        <v>2</v>
      </c>
      <c r="I16" s="205">
        <f t="shared" si="0"/>
        <v>5</v>
      </c>
      <c r="J16" s="205">
        <f t="shared" si="0"/>
        <v>4</v>
      </c>
      <c r="K16" s="205">
        <f t="shared" si="0"/>
        <v>6</v>
      </c>
      <c r="L16" s="205">
        <f t="shared" si="0"/>
        <v>8</v>
      </c>
      <c r="M16" s="205">
        <f t="shared" si="0"/>
        <v>9</v>
      </c>
      <c r="N16" s="205">
        <f t="shared" si="0"/>
        <v>14</v>
      </c>
      <c r="O16" s="205">
        <f t="shared" si="0"/>
        <v>21</v>
      </c>
      <c r="P16" s="205">
        <f t="shared" si="0"/>
        <v>20</v>
      </c>
      <c r="Q16" s="205">
        <f t="shared" si="0"/>
        <v>24</v>
      </c>
      <c r="R16" s="12"/>
      <c r="S16" s="314"/>
      <c r="T16" s="12"/>
      <c r="U16" s="282"/>
      <c r="Z16" s="127"/>
      <c r="AA16" s="138"/>
      <c r="AB16" s="335"/>
      <c r="AC16" s="335"/>
      <c r="AD16" s="335"/>
      <c r="AE16" s="335"/>
      <c r="AF16" s="335"/>
      <c r="AG16" s="335"/>
      <c r="AH16" s="335"/>
      <c r="AI16" s="335"/>
      <c r="AJ16" s="335"/>
      <c r="AK16" s="335"/>
      <c r="AL16" s="335"/>
      <c r="AM16" s="335"/>
      <c r="AN16" s="335"/>
      <c r="AO16" s="335"/>
      <c r="AP16" s="335"/>
      <c r="AQ16" s="335"/>
      <c r="AR16" s="335"/>
      <c r="AS16" s="335"/>
      <c r="AT16" s="335"/>
      <c r="AU16" s="335"/>
      <c r="AV16" s="335"/>
      <c r="AW16" s="335"/>
      <c r="AX16" s="335"/>
      <c r="AY16" s="335"/>
      <c r="AZ16" s="335"/>
      <c r="BA16" s="335"/>
      <c r="BB16" s="335"/>
      <c r="BC16" s="335"/>
      <c r="BD16" s="335"/>
      <c r="BE16" s="438"/>
      <c r="BF16" s="311"/>
      <c r="BG16" s="311"/>
    </row>
    <row r="17" spans="2:59" s="11" customFormat="1" ht="15" customHeight="1">
      <c r="C17" s="137" t="s">
        <v>97</v>
      </c>
      <c r="D17" s="138"/>
      <c r="E17" s="139"/>
      <c r="F17" s="138"/>
      <c r="G17" s="347"/>
      <c r="H17" s="347"/>
      <c r="I17" s="347"/>
      <c r="J17" s="347"/>
      <c r="K17" s="347"/>
      <c r="L17" s="347"/>
      <c r="M17" s="347"/>
      <c r="N17" s="347"/>
      <c r="O17" s="347"/>
      <c r="P17" s="347"/>
      <c r="Q17" s="348"/>
      <c r="R17" s="346"/>
      <c r="S17" s="314"/>
      <c r="T17" s="12"/>
      <c r="U17" s="137" t="s">
        <v>97</v>
      </c>
      <c r="V17" s="138"/>
      <c r="W17" s="219"/>
      <c r="X17" s="138"/>
      <c r="Y17" s="219"/>
      <c r="Z17" s="138"/>
      <c r="AA17" s="127"/>
      <c r="AJ17" s="138"/>
      <c r="BC17" s="138"/>
      <c r="BD17" s="138"/>
      <c r="BE17" s="331"/>
    </row>
    <row r="18" spans="2:59" s="11" customFormat="1" ht="15" customHeight="1">
      <c r="C18" s="177" t="s">
        <v>98</v>
      </c>
      <c r="D18" s="166" t="s">
        <v>30</v>
      </c>
      <c r="E18" s="178">
        <f>INDEX(G18:Q18,Model!$E$1279)</f>
        <v>0.05</v>
      </c>
      <c r="F18" s="180"/>
      <c r="G18" s="349">
        <f t="shared" ref="G18:Q42" si="1">INDEX($AB18:$BE18,G$16)</f>
        <v>0.05</v>
      </c>
      <c r="H18" s="349">
        <f t="shared" si="1"/>
        <v>0.05</v>
      </c>
      <c r="I18" s="349">
        <f t="shared" si="1"/>
        <v>0.05</v>
      </c>
      <c r="J18" s="349">
        <f t="shared" si="1"/>
        <v>0</v>
      </c>
      <c r="K18" s="349">
        <f t="shared" si="1"/>
        <v>2.5000000000000001E-2</v>
      </c>
      <c r="L18" s="349">
        <f t="shared" si="1"/>
        <v>0.05</v>
      </c>
      <c r="M18" s="349">
        <f t="shared" si="1"/>
        <v>0</v>
      </c>
      <c r="N18" s="349">
        <f t="shared" si="1"/>
        <v>5.8000000000000003E-2</v>
      </c>
      <c r="O18" s="349">
        <f t="shared" si="1"/>
        <v>6.9000000000000006E-2</v>
      </c>
      <c r="P18" s="349">
        <f t="shared" si="1"/>
        <v>0</v>
      </c>
      <c r="Q18" s="349">
        <f t="shared" si="1"/>
        <v>0.05</v>
      </c>
      <c r="R18" s="346"/>
      <c r="S18" s="314"/>
      <c r="T18" s="12"/>
      <c r="U18" s="177" t="s">
        <v>98</v>
      </c>
      <c r="V18" s="166"/>
      <c r="W18" s="166"/>
      <c r="X18" s="166"/>
      <c r="Y18" s="166"/>
      <c r="Z18" s="166"/>
      <c r="AA18" s="180" t="s">
        <v>30</v>
      </c>
      <c r="AB18" s="493">
        <v>0.05</v>
      </c>
      <c r="AC18" s="493">
        <v>0.05</v>
      </c>
      <c r="AD18" s="493">
        <v>0.05</v>
      </c>
      <c r="AE18" s="493">
        <v>0</v>
      </c>
      <c r="AF18" s="493">
        <v>0.05</v>
      </c>
      <c r="AG18" s="493">
        <v>2.5000000000000001E-2</v>
      </c>
      <c r="AH18" s="493">
        <v>0</v>
      </c>
      <c r="AI18" s="493">
        <v>0.05</v>
      </c>
      <c r="AJ18" s="494">
        <v>0</v>
      </c>
      <c r="AK18" s="493">
        <v>0</v>
      </c>
      <c r="AL18" s="493">
        <v>0</v>
      </c>
      <c r="AM18" s="493">
        <v>0</v>
      </c>
      <c r="AN18" s="493">
        <v>0</v>
      </c>
      <c r="AO18" s="493">
        <v>5.8000000000000003E-2</v>
      </c>
      <c r="AP18" s="493">
        <v>0</v>
      </c>
      <c r="AQ18" s="493">
        <v>0</v>
      </c>
      <c r="AR18" s="493">
        <v>0</v>
      </c>
      <c r="AS18" s="493">
        <v>0.06</v>
      </c>
      <c r="AT18" s="493">
        <v>0.06</v>
      </c>
      <c r="AU18" s="493">
        <v>0</v>
      </c>
      <c r="AV18" s="493">
        <v>6.9000000000000006E-2</v>
      </c>
      <c r="AW18" s="493">
        <v>0.05</v>
      </c>
      <c r="AX18" s="493">
        <v>0.05</v>
      </c>
      <c r="AY18" s="493">
        <v>0.05</v>
      </c>
      <c r="AZ18" s="493"/>
      <c r="BA18" s="493"/>
      <c r="BB18" s="493"/>
      <c r="BC18" s="494"/>
      <c r="BD18" s="494"/>
      <c r="BE18" s="494"/>
      <c r="BF18" s="242"/>
      <c r="BG18" s="242"/>
    </row>
    <row r="19" spans="2:59" s="11" customFormat="1" ht="15" customHeight="1">
      <c r="C19" s="260" t="s">
        <v>99</v>
      </c>
      <c r="D19" s="11" t="s">
        <v>30</v>
      </c>
      <c r="E19" s="104">
        <f>INDEX(G19:Q19,Model!$E$1279)</f>
        <v>0</v>
      </c>
      <c r="F19" s="120"/>
      <c r="G19" s="349">
        <f t="shared" si="1"/>
        <v>0</v>
      </c>
      <c r="H19" s="349">
        <f t="shared" si="1"/>
        <v>0</v>
      </c>
      <c r="I19" s="349">
        <f t="shared" si="1"/>
        <v>0</v>
      </c>
      <c r="J19" s="349">
        <f t="shared" si="1"/>
        <v>5.5E-2</v>
      </c>
      <c r="K19" s="349">
        <f t="shared" si="1"/>
        <v>7.4999999999999997E-2</v>
      </c>
      <c r="L19" s="349">
        <f t="shared" si="1"/>
        <v>0</v>
      </c>
      <c r="M19" s="349">
        <f t="shared" si="1"/>
        <v>0</v>
      </c>
      <c r="N19" s="349">
        <f t="shared" si="1"/>
        <v>0</v>
      </c>
      <c r="O19" s="349">
        <f t="shared" si="1"/>
        <v>0</v>
      </c>
      <c r="P19" s="349">
        <f t="shared" si="1"/>
        <v>0</v>
      </c>
      <c r="Q19" s="349">
        <f t="shared" si="1"/>
        <v>0</v>
      </c>
      <c r="R19" s="346"/>
      <c r="S19" s="314"/>
      <c r="T19" s="12"/>
      <c r="U19" s="260" t="s">
        <v>99</v>
      </c>
      <c r="AA19" s="120" t="s">
        <v>30</v>
      </c>
      <c r="AB19" s="494"/>
      <c r="AC19" s="494"/>
      <c r="AD19" s="494"/>
      <c r="AE19" s="493">
        <v>5.5E-2</v>
      </c>
      <c r="AF19" s="494"/>
      <c r="AG19" s="494">
        <v>7.4999999999999997E-2</v>
      </c>
      <c r="AH19" s="494"/>
      <c r="AI19" s="494"/>
      <c r="AJ19" s="494"/>
      <c r="AK19" s="493">
        <v>6.5000000000000002E-2</v>
      </c>
      <c r="AL19" s="494">
        <v>7.4999999999999997E-2</v>
      </c>
      <c r="AM19" s="494">
        <v>7.4999999999999997E-2</v>
      </c>
      <c r="AN19" s="494">
        <v>7.4999999999999997E-2</v>
      </c>
      <c r="AO19" s="494"/>
      <c r="AP19" s="494"/>
      <c r="AQ19" s="494"/>
      <c r="AR19" s="494"/>
      <c r="AS19" s="494"/>
      <c r="AT19" s="494"/>
      <c r="AU19" s="494"/>
      <c r="AV19" s="494"/>
      <c r="AW19" s="494"/>
      <c r="AX19" s="494"/>
      <c r="AY19" s="494"/>
      <c r="AZ19" s="494"/>
      <c r="BA19" s="494"/>
      <c r="BB19" s="494"/>
      <c r="BC19" s="494"/>
      <c r="BD19" s="494"/>
      <c r="BE19" s="494"/>
      <c r="BF19" s="242"/>
      <c r="BG19" s="242"/>
    </row>
    <row r="20" spans="2:59" s="11" customFormat="1" ht="15" customHeight="1">
      <c r="C20" s="15" t="s">
        <v>100</v>
      </c>
      <c r="D20" s="14" t="s">
        <v>42</v>
      </c>
      <c r="E20" s="121">
        <f>INDEX(G20:Q20,Model!$E$1279)</f>
        <v>0</v>
      </c>
      <c r="F20" s="122"/>
      <c r="G20" s="345">
        <f t="shared" si="1"/>
        <v>0</v>
      </c>
      <c r="H20" s="345">
        <f t="shared" si="1"/>
        <v>0</v>
      </c>
      <c r="I20" s="345">
        <f t="shared" si="1"/>
        <v>0</v>
      </c>
      <c r="J20" s="345">
        <f t="shared" si="1"/>
        <v>12</v>
      </c>
      <c r="K20" s="345">
        <f t="shared" si="1"/>
        <v>1</v>
      </c>
      <c r="L20" s="345">
        <f t="shared" si="1"/>
        <v>0</v>
      </c>
      <c r="M20" s="345">
        <f t="shared" si="1"/>
        <v>0</v>
      </c>
      <c r="N20" s="345">
        <f t="shared" si="1"/>
        <v>0</v>
      </c>
      <c r="O20" s="345">
        <f t="shared" si="1"/>
        <v>0</v>
      </c>
      <c r="P20" s="345">
        <f t="shared" si="1"/>
        <v>0</v>
      </c>
      <c r="Q20" s="345">
        <f t="shared" si="1"/>
        <v>0</v>
      </c>
      <c r="R20" s="346"/>
      <c r="S20" s="314"/>
      <c r="T20" s="12"/>
      <c r="U20" s="260" t="s">
        <v>101</v>
      </c>
      <c r="V20" s="14"/>
      <c r="X20" s="14"/>
      <c r="Z20" s="14"/>
      <c r="AA20" s="120" t="s">
        <v>42</v>
      </c>
      <c r="AB20" s="500"/>
      <c r="AC20" s="500"/>
      <c r="AD20" s="500"/>
      <c r="AE20" s="500">
        <v>12</v>
      </c>
      <c r="AF20" s="500"/>
      <c r="AG20" s="495">
        <v>1</v>
      </c>
      <c r="AH20" s="500"/>
      <c r="AI20" s="500"/>
      <c r="AJ20" s="500"/>
      <c r="AK20" s="500">
        <v>1</v>
      </c>
      <c r="AL20" s="500">
        <v>4</v>
      </c>
      <c r="AM20" s="500">
        <v>4</v>
      </c>
      <c r="AN20" s="500">
        <v>1</v>
      </c>
      <c r="AO20" s="500"/>
      <c r="AP20" s="500"/>
      <c r="AQ20" s="500"/>
      <c r="AR20" s="500"/>
      <c r="AS20" s="500"/>
      <c r="AT20" s="500"/>
      <c r="AU20" s="500"/>
      <c r="AV20" s="500"/>
      <c r="AW20" s="500"/>
      <c r="AX20" s="500"/>
      <c r="AY20" s="500"/>
      <c r="AZ20" s="500"/>
      <c r="BA20" s="500"/>
      <c r="BB20" s="500"/>
      <c r="BC20" s="500"/>
      <c r="BD20" s="500"/>
      <c r="BE20" s="500"/>
      <c r="BF20" s="242"/>
      <c r="BG20" s="242"/>
    </row>
    <row r="21" spans="2:59" s="11" customFormat="1" ht="15" customHeight="1">
      <c r="C21" s="143" t="s">
        <v>102</v>
      </c>
      <c r="D21" s="14" t="s">
        <v>30</v>
      </c>
      <c r="E21" s="123">
        <f>INDEX(G21:Q21,Model!$E$1279)</f>
        <v>0</v>
      </c>
      <c r="F21" s="122"/>
      <c r="G21" s="349">
        <f t="shared" si="1"/>
        <v>0</v>
      </c>
      <c r="H21" s="349">
        <f t="shared" si="1"/>
        <v>0</v>
      </c>
      <c r="I21" s="349">
        <f t="shared" si="1"/>
        <v>0</v>
      </c>
      <c r="J21" s="349">
        <f t="shared" si="1"/>
        <v>0</v>
      </c>
      <c r="K21" s="349">
        <f t="shared" si="1"/>
        <v>0</v>
      </c>
      <c r="L21" s="349">
        <f t="shared" si="1"/>
        <v>0</v>
      </c>
      <c r="M21" s="349">
        <f t="shared" si="1"/>
        <v>0.05</v>
      </c>
      <c r="N21" s="349">
        <f t="shared" si="1"/>
        <v>0</v>
      </c>
      <c r="O21" s="349">
        <f t="shared" si="1"/>
        <v>0</v>
      </c>
      <c r="P21" s="349">
        <f t="shared" si="1"/>
        <v>0</v>
      </c>
      <c r="Q21" s="349">
        <f t="shared" si="1"/>
        <v>0</v>
      </c>
      <c r="R21" s="346"/>
      <c r="S21" s="314"/>
      <c r="T21" s="12"/>
      <c r="U21" s="143" t="s">
        <v>102</v>
      </c>
      <c r="V21" s="14"/>
      <c r="W21" s="138"/>
      <c r="X21" s="14"/>
      <c r="Y21" s="138"/>
      <c r="Z21" s="14"/>
      <c r="AA21" s="331" t="s">
        <v>30</v>
      </c>
      <c r="AB21" s="497">
        <v>0</v>
      </c>
      <c r="AC21" s="497">
        <v>0</v>
      </c>
      <c r="AD21" s="497">
        <v>0</v>
      </c>
      <c r="AE21" s="497">
        <v>0</v>
      </c>
      <c r="AF21" s="497">
        <v>0</v>
      </c>
      <c r="AG21" s="497">
        <v>0</v>
      </c>
      <c r="AH21" s="497">
        <v>0</v>
      </c>
      <c r="AI21" s="497">
        <v>0</v>
      </c>
      <c r="AJ21" s="499">
        <v>0.05</v>
      </c>
      <c r="AK21" s="497">
        <v>0</v>
      </c>
      <c r="AL21" s="497">
        <v>0</v>
      </c>
      <c r="AM21" s="497">
        <v>0</v>
      </c>
      <c r="AN21" s="497">
        <v>0</v>
      </c>
      <c r="AO21" s="497">
        <v>0</v>
      </c>
      <c r="AP21" s="497">
        <v>0</v>
      </c>
      <c r="AQ21" s="497">
        <v>0</v>
      </c>
      <c r="AR21" s="497">
        <v>0</v>
      </c>
      <c r="AS21" s="497">
        <v>0</v>
      </c>
      <c r="AT21" s="497">
        <v>0</v>
      </c>
      <c r="AU21" s="497">
        <v>0</v>
      </c>
      <c r="AV21" s="497">
        <v>0</v>
      </c>
      <c r="AW21" s="497">
        <v>0</v>
      </c>
      <c r="AX21" s="497">
        <v>0</v>
      </c>
      <c r="AY21" s="497">
        <v>0</v>
      </c>
      <c r="AZ21" s="497"/>
      <c r="BA21" s="497"/>
      <c r="BB21" s="497"/>
      <c r="BC21" s="499"/>
      <c r="BD21" s="499"/>
      <c r="BE21" s="499"/>
      <c r="BF21" s="242"/>
      <c r="BG21" s="242"/>
    </row>
    <row r="22" spans="2:59" s="11" customFormat="1" ht="15" customHeight="1">
      <c r="C22" s="177" t="s">
        <v>103</v>
      </c>
      <c r="D22" s="166" t="s">
        <v>30</v>
      </c>
      <c r="E22" s="178">
        <f>INDEX(G22:Q22,Model!$E$1279)</f>
        <v>0.04</v>
      </c>
      <c r="F22" s="180"/>
      <c r="G22" s="350">
        <f t="shared" si="1"/>
        <v>0.04</v>
      </c>
      <c r="H22" s="349">
        <f>INDEX($AB22:$BE22,H$16)</f>
        <v>0.04</v>
      </c>
      <c r="I22" s="349">
        <f t="shared" si="1"/>
        <v>0</v>
      </c>
      <c r="J22" s="349">
        <f t="shared" si="1"/>
        <v>0</v>
      </c>
      <c r="K22" s="349">
        <f t="shared" si="1"/>
        <v>0</v>
      </c>
      <c r="L22" s="349">
        <f t="shared" si="1"/>
        <v>0</v>
      </c>
      <c r="M22" s="349">
        <f t="shared" si="1"/>
        <v>0</v>
      </c>
      <c r="N22" s="349">
        <f t="shared" si="1"/>
        <v>0.01</v>
      </c>
      <c r="O22" s="349">
        <f t="shared" si="1"/>
        <v>0</v>
      </c>
      <c r="P22" s="349">
        <f t="shared" si="1"/>
        <v>0</v>
      </c>
      <c r="Q22" s="349">
        <f t="shared" si="1"/>
        <v>0</v>
      </c>
      <c r="R22" s="346"/>
      <c r="S22" s="314"/>
      <c r="T22" s="12"/>
      <c r="U22" s="177" t="s">
        <v>103</v>
      </c>
      <c r="V22" s="166"/>
      <c r="W22" s="166"/>
      <c r="X22" s="166"/>
      <c r="Y22" s="166"/>
      <c r="Z22" s="166"/>
      <c r="AA22" s="180" t="s">
        <v>30</v>
      </c>
      <c r="AB22" s="493">
        <v>0.04</v>
      </c>
      <c r="AC22" s="493">
        <v>0.04</v>
      </c>
      <c r="AD22" s="493">
        <v>0.04</v>
      </c>
      <c r="AE22" s="493">
        <v>0</v>
      </c>
      <c r="AF22" s="493">
        <v>0</v>
      </c>
      <c r="AG22" s="493">
        <v>0</v>
      </c>
      <c r="AH22" s="493">
        <v>0</v>
      </c>
      <c r="AI22" s="493">
        <v>0</v>
      </c>
      <c r="AJ22" s="494">
        <v>0</v>
      </c>
      <c r="AK22" s="493">
        <v>0</v>
      </c>
      <c r="AL22" s="497">
        <v>0</v>
      </c>
      <c r="AM22" s="497">
        <v>0</v>
      </c>
      <c r="AN22" s="493">
        <v>0</v>
      </c>
      <c r="AO22" s="493">
        <v>0.01</v>
      </c>
      <c r="AP22" s="493">
        <v>5.0000000000000001E-3</v>
      </c>
      <c r="AQ22" s="493">
        <v>0.01</v>
      </c>
      <c r="AR22" s="493">
        <v>0.01</v>
      </c>
      <c r="AS22" s="493">
        <v>2.5000000000000001E-2</v>
      </c>
      <c r="AT22" s="493">
        <v>0</v>
      </c>
      <c r="AU22" s="493">
        <v>0</v>
      </c>
      <c r="AV22" s="493">
        <v>0</v>
      </c>
      <c r="AW22" s="493">
        <v>0</v>
      </c>
      <c r="AX22" s="493">
        <v>0</v>
      </c>
      <c r="AY22" s="493">
        <v>0</v>
      </c>
      <c r="AZ22" s="493"/>
      <c r="BA22" s="493"/>
      <c r="BB22" s="493"/>
      <c r="BC22" s="494"/>
      <c r="BD22" s="494"/>
      <c r="BE22" s="494"/>
      <c r="BF22" s="241"/>
      <c r="BG22" s="241"/>
    </row>
    <row r="23" spans="2:59" s="11" customFormat="1" ht="15" customHeight="1">
      <c r="C23" s="260" t="s">
        <v>104</v>
      </c>
      <c r="D23" s="11" t="s">
        <v>30</v>
      </c>
      <c r="E23" s="104">
        <f>INDEX(G23:Q23,Model!$E$1279)</f>
        <v>0</v>
      </c>
      <c r="F23" s="120"/>
      <c r="G23" s="350">
        <f t="shared" si="1"/>
        <v>0</v>
      </c>
      <c r="H23" s="349">
        <f t="shared" si="1"/>
        <v>0</v>
      </c>
      <c r="I23" s="349">
        <f t="shared" si="1"/>
        <v>0</v>
      </c>
      <c r="J23" s="349">
        <f t="shared" si="1"/>
        <v>0</v>
      </c>
      <c r="K23" s="349">
        <f t="shared" si="1"/>
        <v>0.03</v>
      </c>
      <c r="L23" s="349">
        <f t="shared" si="1"/>
        <v>0</v>
      </c>
      <c r="M23" s="349">
        <f t="shared" si="1"/>
        <v>0</v>
      </c>
      <c r="N23" s="349">
        <f t="shared" si="1"/>
        <v>0</v>
      </c>
      <c r="O23" s="349">
        <f t="shared" si="1"/>
        <v>0</v>
      </c>
      <c r="P23" s="349">
        <f t="shared" si="1"/>
        <v>0</v>
      </c>
      <c r="Q23" s="349">
        <f t="shared" si="1"/>
        <v>0</v>
      </c>
      <c r="R23" s="346"/>
      <c r="S23" s="314"/>
      <c r="T23" s="12"/>
      <c r="U23" s="260" t="s">
        <v>104</v>
      </c>
      <c r="AA23" s="120" t="s">
        <v>30</v>
      </c>
      <c r="AB23" s="493"/>
      <c r="AC23" s="493"/>
      <c r="AD23" s="493"/>
      <c r="AE23" s="493"/>
      <c r="AF23" s="493"/>
      <c r="AG23" s="493">
        <v>0.03</v>
      </c>
      <c r="AH23" s="493"/>
      <c r="AI23" s="493"/>
      <c r="AJ23" s="494"/>
      <c r="AK23" s="493"/>
      <c r="AL23" s="497"/>
      <c r="AM23" s="497"/>
      <c r="AN23" s="493"/>
      <c r="AO23" s="493"/>
      <c r="AP23" s="493"/>
      <c r="AQ23" s="493"/>
      <c r="AR23" s="493"/>
      <c r="AS23" s="493"/>
      <c r="AT23" s="493"/>
      <c r="AU23" s="493"/>
      <c r="AV23" s="493"/>
      <c r="AW23" s="493"/>
      <c r="AX23" s="493"/>
      <c r="AY23" s="493"/>
      <c r="AZ23" s="493"/>
      <c r="BA23" s="493"/>
      <c r="BB23" s="493"/>
      <c r="BC23" s="494"/>
      <c r="BD23" s="494"/>
      <c r="BE23" s="494"/>
      <c r="BF23" s="241"/>
      <c r="BG23" s="241"/>
    </row>
    <row r="24" spans="2:59" s="11" customFormat="1" ht="15" customHeight="1">
      <c r="C24" s="15" t="s">
        <v>100</v>
      </c>
      <c r="D24" s="14" t="s">
        <v>42</v>
      </c>
      <c r="E24" s="121">
        <f>INDEX(G24:Q24,Model!$E$1279)</f>
        <v>0</v>
      </c>
      <c r="F24" s="122"/>
      <c r="G24" s="345">
        <f t="shared" si="1"/>
        <v>0</v>
      </c>
      <c r="H24" s="345">
        <f t="shared" si="1"/>
        <v>0</v>
      </c>
      <c r="I24" s="345">
        <f t="shared" si="1"/>
        <v>0</v>
      </c>
      <c r="J24" s="345">
        <f t="shared" si="1"/>
        <v>0</v>
      </c>
      <c r="K24" s="345">
        <f t="shared" si="1"/>
        <v>8</v>
      </c>
      <c r="L24" s="345">
        <f t="shared" si="1"/>
        <v>0</v>
      </c>
      <c r="M24" s="345">
        <f t="shared" si="1"/>
        <v>0</v>
      </c>
      <c r="N24" s="345">
        <f t="shared" si="1"/>
        <v>0</v>
      </c>
      <c r="O24" s="345">
        <f t="shared" si="1"/>
        <v>0</v>
      </c>
      <c r="P24" s="345">
        <f t="shared" si="1"/>
        <v>0</v>
      </c>
      <c r="Q24" s="345">
        <f t="shared" si="1"/>
        <v>0</v>
      </c>
      <c r="R24" s="346"/>
      <c r="S24" s="314"/>
      <c r="T24" s="12"/>
      <c r="U24" s="15" t="s">
        <v>101</v>
      </c>
      <c r="V24" s="14"/>
      <c r="W24" s="14"/>
      <c r="X24" s="14"/>
      <c r="Y24" s="14"/>
      <c r="Z24" s="14"/>
      <c r="AA24" s="122" t="s">
        <v>42</v>
      </c>
      <c r="AB24" s="500"/>
      <c r="AC24" s="500"/>
      <c r="AD24" s="500"/>
      <c r="AE24" s="500"/>
      <c r="AF24" s="500"/>
      <c r="AG24" s="496">
        <v>8</v>
      </c>
      <c r="AH24" s="500"/>
      <c r="AI24" s="500"/>
      <c r="AJ24" s="500"/>
      <c r="AK24" s="500"/>
      <c r="AL24" s="500"/>
      <c r="AM24" s="500"/>
      <c r="AN24" s="500"/>
      <c r="AO24" s="500"/>
      <c r="AP24" s="500"/>
      <c r="AQ24" s="500"/>
      <c r="AR24" s="500"/>
      <c r="AS24" s="500"/>
      <c r="AT24" s="500"/>
      <c r="AU24" s="500"/>
      <c r="AV24" s="500"/>
      <c r="AW24" s="500"/>
      <c r="AX24" s="500"/>
      <c r="AY24" s="500"/>
      <c r="AZ24" s="500"/>
      <c r="BA24" s="500"/>
      <c r="BB24" s="500"/>
      <c r="BC24" s="500"/>
      <c r="BD24" s="500"/>
      <c r="BE24" s="500"/>
      <c r="BF24" s="323"/>
      <c r="BG24" s="323"/>
    </row>
    <row r="25" spans="2:59" s="11" customFormat="1" ht="15" customHeight="1">
      <c r="C25" s="282" t="s">
        <v>105</v>
      </c>
      <c r="F25" s="14"/>
      <c r="G25" s="46"/>
      <c r="H25" s="46"/>
      <c r="I25" s="46"/>
      <c r="J25" s="46"/>
      <c r="K25" s="46"/>
      <c r="L25" s="46"/>
      <c r="M25" s="46"/>
      <c r="N25" s="46"/>
      <c r="O25" s="46"/>
      <c r="P25" s="46"/>
      <c r="Q25" s="351"/>
      <c r="R25" s="346"/>
      <c r="S25" s="314"/>
      <c r="T25" s="12"/>
      <c r="U25" s="282" t="s">
        <v>105</v>
      </c>
      <c r="W25" s="127"/>
      <c r="Y25" s="127"/>
      <c r="Z25" s="138"/>
      <c r="AA25" s="219"/>
      <c r="AJ25" s="138"/>
      <c r="BC25" s="138"/>
      <c r="BD25" s="138"/>
      <c r="BE25" s="331"/>
    </row>
    <row r="26" spans="2:59" s="11" customFormat="1" ht="15" customHeight="1">
      <c r="C26" s="188" t="s">
        <v>106</v>
      </c>
      <c r="D26" s="166" t="s">
        <v>30</v>
      </c>
      <c r="E26" s="178">
        <f>INDEX(G26:Q26,Model!$E$1279)</f>
        <v>0.06</v>
      </c>
      <c r="F26" s="180"/>
      <c r="G26" s="349">
        <f t="shared" si="1"/>
        <v>0.06</v>
      </c>
      <c r="H26" s="349">
        <f t="shared" si="1"/>
        <v>0.06</v>
      </c>
      <c r="I26" s="349">
        <f t="shared" si="1"/>
        <v>0.05</v>
      </c>
      <c r="J26" s="349">
        <f t="shared" si="1"/>
        <v>7.0000000000000007E-2</v>
      </c>
      <c r="K26" s="349">
        <f t="shared" si="1"/>
        <v>0</v>
      </c>
      <c r="L26" s="349">
        <f t="shared" si="1"/>
        <v>3.5000000000000003E-2</v>
      </c>
      <c r="M26" s="349">
        <f t="shared" si="1"/>
        <v>0.05</v>
      </c>
      <c r="N26" s="349">
        <f t="shared" si="1"/>
        <v>0</v>
      </c>
      <c r="O26" s="349">
        <f t="shared" si="1"/>
        <v>3.7499999999999999E-2</v>
      </c>
      <c r="P26" s="349">
        <f t="shared" si="1"/>
        <v>0</v>
      </c>
      <c r="Q26" s="349">
        <f t="shared" si="1"/>
        <v>2.5000000000000001E-2</v>
      </c>
      <c r="R26" s="346"/>
      <c r="S26" s="314"/>
      <c r="T26" s="12"/>
      <c r="U26" s="188" t="s">
        <v>106</v>
      </c>
      <c r="V26" s="166"/>
      <c r="W26" s="220"/>
      <c r="X26" s="166"/>
      <c r="Y26" s="220"/>
      <c r="Z26" s="166"/>
      <c r="AA26" s="332" t="s">
        <v>30</v>
      </c>
      <c r="AB26" s="494">
        <v>0.06</v>
      </c>
      <c r="AC26" s="494">
        <v>0.06</v>
      </c>
      <c r="AD26" s="494">
        <v>0.06</v>
      </c>
      <c r="AE26" s="494">
        <v>7.0000000000000007E-2</v>
      </c>
      <c r="AF26" s="494">
        <v>0.05</v>
      </c>
      <c r="AG26" s="494">
        <v>0</v>
      </c>
      <c r="AH26" s="494">
        <v>0</v>
      </c>
      <c r="AI26" s="494">
        <v>3.5000000000000003E-2</v>
      </c>
      <c r="AJ26" s="494">
        <v>0.05</v>
      </c>
      <c r="AK26" s="494">
        <v>0.05</v>
      </c>
      <c r="AL26" s="494">
        <v>0.06</v>
      </c>
      <c r="AM26" s="491">
        <v>0.06</v>
      </c>
      <c r="AN26" s="494">
        <v>0.05</v>
      </c>
      <c r="AO26" s="494">
        <v>0</v>
      </c>
      <c r="AP26" s="494">
        <v>0.06</v>
      </c>
      <c r="AQ26" s="494">
        <v>0</v>
      </c>
      <c r="AR26" s="494">
        <v>0</v>
      </c>
      <c r="AS26" s="494">
        <v>1.4999999999999999E-2</v>
      </c>
      <c r="AT26" s="494">
        <v>0</v>
      </c>
      <c r="AU26" s="494">
        <v>0</v>
      </c>
      <c r="AV26" s="494">
        <v>3.7499999999999999E-2</v>
      </c>
      <c r="AW26" s="494">
        <v>0.05</v>
      </c>
      <c r="AX26" s="494">
        <v>7.0000000000000007E-2</v>
      </c>
      <c r="AY26" s="494">
        <v>2.5000000000000001E-2</v>
      </c>
      <c r="AZ26" s="494"/>
      <c r="BA26" s="494"/>
      <c r="BB26" s="494"/>
      <c r="BC26" s="494"/>
      <c r="BD26" s="494"/>
      <c r="BE26" s="494"/>
      <c r="BF26" s="241"/>
      <c r="BG26" s="241"/>
    </row>
    <row r="27" spans="2:59" s="11" customFormat="1" ht="15" customHeight="1">
      <c r="C27" s="420" t="s">
        <v>107</v>
      </c>
      <c r="D27" s="11" t="s">
        <v>30</v>
      </c>
      <c r="E27" s="104">
        <f>INDEX(G27:Q27,Model!$E$1279)</f>
        <v>0.06</v>
      </c>
      <c r="F27" s="120"/>
      <c r="G27" s="349">
        <f t="shared" si="1"/>
        <v>0.06</v>
      </c>
      <c r="H27" s="349">
        <f t="shared" si="1"/>
        <v>0.06</v>
      </c>
      <c r="I27" s="349">
        <f t="shared" si="1"/>
        <v>0.05</v>
      </c>
      <c r="J27" s="349">
        <f t="shared" si="1"/>
        <v>7.0000000000000007E-2</v>
      </c>
      <c r="K27" s="349">
        <f t="shared" si="1"/>
        <v>0.03</v>
      </c>
      <c r="L27" s="349">
        <f t="shared" si="1"/>
        <v>3.5000000000000003E-2</v>
      </c>
      <c r="M27" s="349">
        <f t="shared" si="1"/>
        <v>0.05</v>
      </c>
      <c r="N27" s="349">
        <f t="shared" si="1"/>
        <v>0</v>
      </c>
      <c r="O27" s="349">
        <f t="shared" si="1"/>
        <v>0.04</v>
      </c>
      <c r="P27" s="349">
        <f t="shared" si="1"/>
        <v>0</v>
      </c>
      <c r="Q27" s="349">
        <f t="shared" si="1"/>
        <v>2.5000000000000001E-2</v>
      </c>
      <c r="R27" s="346"/>
      <c r="S27" s="314"/>
      <c r="T27" s="12"/>
      <c r="U27" s="420" t="s">
        <v>107</v>
      </c>
      <c r="W27" s="223"/>
      <c r="Y27" s="223"/>
      <c r="AA27" s="333" t="s">
        <v>30</v>
      </c>
      <c r="AB27" s="494">
        <v>0.06</v>
      </c>
      <c r="AC27" s="494">
        <v>0.06</v>
      </c>
      <c r="AD27" s="494">
        <v>0.06</v>
      </c>
      <c r="AE27" s="494">
        <v>7.0000000000000007E-2</v>
      </c>
      <c r="AF27" s="494">
        <v>0.05</v>
      </c>
      <c r="AG27" s="494">
        <v>0.03</v>
      </c>
      <c r="AH27" s="494">
        <v>3.5000000000000003E-2</v>
      </c>
      <c r="AI27" s="494">
        <v>3.5000000000000003E-2</v>
      </c>
      <c r="AJ27" s="494">
        <v>0.05</v>
      </c>
      <c r="AK27" s="494">
        <v>0.03</v>
      </c>
      <c r="AL27" s="494"/>
      <c r="AM27" s="494"/>
      <c r="AN27" s="494">
        <v>3.5000000000000003E-2</v>
      </c>
      <c r="AO27" s="494">
        <v>0</v>
      </c>
      <c r="AP27" s="494">
        <v>0</v>
      </c>
      <c r="AQ27" s="494">
        <v>0.02</v>
      </c>
      <c r="AR27" s="494">
        <v>0.02</v>
      </c>
      <c r="AS27" s="494">
        <v>0.02</v>
      </c>
      <c r="AT27" s="494">
        <v>0</v>
      </c>
      <c r="AU27" s="494">
        <v>0</v>
      </c>
      <c r="AV27" s="494">
        <v>0.04</v>
      </c>
      <c r="AW27" s="494">
        <v>0.05</v>
      </c>
      <c r="AX27" s="494">
        <v>7.0000000000000007E-2</v>
      </c>
      <c r="AY27" s="494">
        <v>2.5000000000000001E-2</v>
      </c>
      <c r="AZ27" s="494"/>
      <c r="BA27" s="494"/>
      <c r="BB27" s="494"/>
      <c r="BC27" s="494"/>
      <c r="BD27" s="494"/>
      <c r="BE27" s="494"/>
      <c r="BF27" s="241"/>
      <c r="BG27" s="241"/>
    </row>
    <row r="28" spans="2:59" s="11" customFormat="1" ht="15" customHeight="1">
      <c r="C28" s="420" t="s">
        <v>108</v>
      </c>
      <c r="D28" s="11" t="s">
        <v>30</v>
      </c>
      <c r="E28" s="104">
        <f>INDEX(G28:Q28,Model!$E$1279)</f>
        <v>0.06</v>
      </c>
      <c r="F28" s="120"/>
      <c r="G28" s="349">
        <f t="shared" si="1"/>
        <v>0.06</v>
      </c>
      <c r="H28" s="349">
        <f t="shared" si="1"/>
        <v>0.06</v>
      </c>
      <c r="I28" s="349">
        <f t="shared" si="1"/>
        <v>0.05</v>
      </c>
      <c r="J28" s="349">
        <f t="shared" si="1"/>
        <v>7.0000000000000007E-2</v>
      </c>
      <c r="K28" s="349">
        <f t="shared" si="1"/>
        <v>0.03</v>
      </c>
      <c r="L28" s="349">
        <f t="shared" si="1"/>
        <v>0.1</v>
      </c>
      <c r="M28" s="349">
        <f t="shared" si="1"/>
        <v>0.05</v>
      </c>
      <c r="N28" s="349">
        <f t="shared" si="1"/>
        <v>0</v>
      </c>
      <c r="O28" s="349">
        <f t="shared" si="1"/>
        <v>0.04</v>
      </c>
      <c r="P28" s="349">
        <f t="shared" si="1"/>
        <v>0</v>
      </c>
      <c r="Q28" s="349">
        <f t="shared" si="1"/>
        <v>2.5000000000000001E-2</v>
      </c>
      <c r="R28" s="346"/>
      <c r="S28" s="314"/>
      <c r="T28" s="12"/>
      <c r="U28" s="420" t="s">
        <v>108</v>
      </c>
      <c r="W28" s="223"/>
      <c r="Y28" s="223"/>
      <c r="AA28" s="333" t="s">
        <v>30</v>
      </c>
      <c r="AB28" s="494">
        <v>0.06</v>
      </c>
      <c r="AC28" s="494">
        <v>0.06</v>
      </c>
      <c r="AD28" s="494">
        <v>0.06</v>
      </c>
      <c r="AE28" s="494">
        <v>7.0000000000000007E-2</v>
      </c>
      <c r="AF28" s="494">
        <v>0.05</v>
      </c>
      <c r="AG28" s="494">
        <v>0.03</v>
      </c>
      <c r="AH28" s="494">
        <v>3.5000000000000003E-2</v>
      </c>
      <c r="AI28" s="494">
        <v>0.1</v>
      </c>
      <c r="AJ28" s="494">
        <v>0.05</v>
      </c>
      <c r="AK28" s="494">
        <v>0.03</v>
      </c>
      <c r="AL28" s="494"/>
      <c r="AM28" s="494"/>
      <c r="AN28" s="494">
        <v>3.5000000000000003E-2</v>
      </c>
      <c r="AO28" s="494">
        <v>0</v>
      </c>
      <c r="AP28" s="494">
        <v>0.08</v>
      </c>
      <c r="AQ28" s="494">
        <v>0.02</v>
      </c>
      <c r="AR28" s="494">
        <v>0.02</v>
      </c>
      <c r="AS28" s="494">
        <v>0.02</v>
      </c>
      <c r="AT28" s="494">
        <v>0</v>
      </c>
      <c r="AU28" s="494">
        <v>0</v>
      </c>
      <c r="AV28" s="494">
        <v>0.04</v>
      </c>
      <c r="AW28" s="494">
        <v>0.05</v>
      </c>
      <c r="AX28" s="494">
        <v>0.05</v>
      </c>
      <c r="AY28" s="494">
        <v>2.5000000000000001E-2</v>
      </c>
      <c r="AZ28" s="494"/>
      <c r="BA28" s="494"/>
      <c r="BB28" s="494"/>
      <c r="BC28" s="494"/>
      <c r="BD28" s="494"/>
      <c r="BE28" s="494"/>
      <c r="BF28" s="241"/>
      <c r="BG28" s="241"/>
    </row>
    <row r="29" spans="2:59" s="11" customFormat="1" ht="15" customHeight="1">
      <c r="C29" s="420" t="s">
        <v>109</v>
      </c>
      <c r="D29" s="11" t="s">
        <v>30</v>
      </c>
      <c r="E29" s="104">
        <f>INDEX(G29:Q29,Model!$E$1279)</f>
        <v>0.06</v>
      </c>
      <c r="F29" s="120"/>
      <c r="G29" s="349">
        <f t="shared" si="1"/>
        <v>0.06</v>
      </c>
      <c r="H29" s="349">
        <f t="shared" si="1"/>
        <v>0.06</v>
      </c>
      <c r="I29" s="349">
        <f t="shared" si="1"/>
        <v>0.05</v>
      </c>
      <c r="J29" s="349">
        <f t="shared" si="1"/>
        <v>7.0000000000000007E-2</v>
      </c>
      <c r="K29" s="349">
        <f t="shared" si="1"/>
        <v>0.03</v>
      </c>
      <c r="L29" s="349">
        <f t="shared" si="1"/>
        <v>0</v>
      </c>
      <c r="M29" s="349">
        <f t="shared" si="1"/>
        <v>0.05</v>
      </c>
      <c r="N29" s="349">
        <f t="shared" si="1"/>
        <v>0</v>
      </c>
      <c r="O29" s="349">
        <f t="shared" si="1"/>
        <v>0.04</v>
      </c>
      <c r="P29" s="349">
        <f t="shared" si="1"/>
        <v>0</v>
      </c>
      <c r="Q29" s="349">
        <f t="shared" si="1"/>
        <v>2.5000000000000001E-2</v>
      </c>
      <c r="R29" s="346"/>
      <c r="S29" s="314"/>
      <c r="T29" s="12"/>
      <c r="U29" s="420" t="s">
        <v>109</v>
      </c>
      <c r="W29" s="223"/>
      <c r="Y29" s="223"/>
      <c r="AA29" s="333" t="s">
        <v>30</v>
      </c>
      <c r="AB29" s="494">
        <v>0.06</v>
      </c>
      <c r="AC29" s="494">
        <v>0.06</v>
      </c>
      <c r="AD29" s="494">
        <v>0.06</v>
      </c>
      <c r="AE29" s="494">
        <v>7.0000000000000007E-2</v>
      </c>
      <c r="AF29" s="494">
        <v>0.05</v>
      </c>
      <c r="AG29" s="494">
        <v>0.03</v>
      </c>
      <c r="AH29" s="494">
        <v>3.5000000000000003E-2</v>
      </c>
      <c r="AI29" s="494"/>
      <c r="AJ29" s="494">
        <v>0.05</v>
      </c>
      <c r="AK29" s="494"/>
      <c r="AL29" s="494"/>
      <c r="AM29" s="494"/>
      <c r="AN29" s="494">
        <v>3.5000000000000003E-2</v>
      </c>
      <c r="AO29" s="494">
        <v>0</v>
      </c>
      <c r="AP29" s="494">
        <v>0.05</v>
      </c>
      <c r="AQ29" s="494">
        <v>0.02</v>
      </c>
      <c r="AR29" s="494">
        <v>0.02</v>
      </c>
      <c r="AS29" s="494">
        <v>0.02</v>
      </c>
      <c r="AT29" s="494"/>
      <c r="AU29" s="494"/>
      <c r="AV29" s="494">
        <v>0.04</v>
      </c>
      <c r="AW29" s="494">
        <v>0.05</v>
      </c>
      <c r="AX29" s="494"/>
      <c r="AY29" s="494">
        <v>2.5000000000000001E-2</v>
      </c>
      <c r="AZ29" s="494"/>
      <c r="BA29" s="494"/>
      <c r="BB29" s="494"/>
      <c r="BC29" s="494"/>
      <c r="BD29" s="494"/>
      <c r="BE29" s="494"/>
      <c r="BF29" s="241"/>
      <c r="BG29" s="241"/>
    </row>
    <row r="30" spans="2:59" s="11" customFormat="1" ht="15" customHeight="1">
      <c r="C30" s="260" t="s">
        <v>110</v>
      </c>
      <c r="D30" s="11" t="s">
        <v>111</v>
      </c>
      <c r="E30" s="104" t="str">
        <f>INDEX(G30:Q30,Model!$E$1279)</f>
        <v>gross</v>
      </c>
      <c r="F30" s="120"/>
      <c r="G30" s="345" t="str">
        <f t="shared" si="1"/>
        <v>gross</v>
      </c>
      <c r="H30" s="345" t="str">
        <f t="shared" si="1"/>
        <v>gross</v>
      </c>
      <c r="I30" s="345" t="str">
        <f t="shared" si="1"/>
        <v>net</v>
      </c>
      <c r="J30" s="345" t="str">
        <f t="shared" si="1"/>
        <v>gross</v>
      </c>
      <c r="K30" s="345" t="str">
        <f t="shared" si="1"/>
        <v>gross</v>
      </c>
      <c r="L30" s="345" t="str">
        <f t="shared" si="1"/>
        <v>gross</v>
      </c>
      <c r="M30" s="345" t="str">
        <f t="shared" si="1"/>
        <v>gross</v>
      </c>
      <c r="N30" s="345" t="str">
        <f t="shared" si="1"/>
        <v>gross</v>
      </c>
      <c r="O30" s="345" t="str">
        <f t="shared" si="1"/>
        <v>net</v>
      </c>
      <c r="P30" s="345" t="str">
        <f t="shared" si="1"/>
        <v>gross</v>
      </c>
      <c r="Q30" s="345" t="str">
        <f t="shared" si="1"/>
        <v>gross</v>
      </c>
      <c r="R30" s="346"/>
      <c r="S30" s="314"/>
      <c r="T30" s="12"/>
      <c r="U30" s="260" t="s">
        <v>110</v>
      </c>
      <c r="AA30" s="120" t="s">
        <v>111</v>
      </c>
      <c r="AB30" s="501" t="s">
        <v>112</v>
      </c>
      <c r="AC30" s="501" t="s">
        <v>112</v>
      </c>
      <c r="AD30" s="501" t="s">
        <v>112</v>
      </c>
      <c r="AE30" s="502" t="s">
        <v>112</v>
      </c>
      <c r="AF30" s="501" t="s">
        <v>113</v>
      </c>
      <c r="AG30" s="501" t="s">
        <v>112</v>
      </c>
      <c r="AH30" s="501" t="s">
        <v>113</v>
      </c>
      <c r="AI30" s="501" t="s">
        <v>112</v>
      </c>
      <c r="AJ30" s="502" t="s">
        <v>112</v>
      </c>
      <c r="AK30" s="501" t="s">
        <v>112</v>
      </c>
      <c r="AL30" s="501" t="s">
        <v>113</v>
      </c>
      <c r="AM30" s="501" t="s">
        <v>113</v>
      </c>
      <c r="AN30" s="501" t="s">
        <v>112</v>
      </c>
      <c r="AO30" s="501" t="s">
        <v>112</v>
      </c>
      <c r="AP30" s="501" t="s">
        <v>112</v>
      </c>
      <c r="AQ30" s="501" t="s">
        <v>112</v>
      </c>
      <c r="AR30" s="501" t="s">
        <v>112</v>
      </c>
      <c r="AS30" s="494" t="s">
        <v>112</v>
      </c>
      <c r="AT30" s="494" t="s">
        <v>112</v>
      </c>
      <c r="AU30" s="502" t="s">
        <v>112</v>
      </c>
      <c r="AV30" s="501" t="s">
        <v>113</v>
      </c>
      <c r="AW30" s="502" t="s">
        <v>112</v>
      </c>
      <c r="AX30" s="502" t="s">
        <v>112</v>
      </c>
      <c r="AY30" s="501" t="s">
        <v>112</v>
      </c>
      <c r="AZ30" s="501"/>
      <c r="BA30" s="501"/>
      <c r="BB30" s="502"/>
      <c r="BC30" s="502"/>
      <c r="BD30" s="502"/>
      <c r="BE30" s="502"/>
      <c r="BF30" s="324"/>
      <c r="BG30" s="324"/>
    </row>
    <row r="31" spans="2:59" s="132" customFormat="1" ht="15" customHeight="1">
      <c r="B31" s="11"/>
      <c r="C31" s="231" t="s">
        <v>114</v>
      </c>
      <c r="D31" s="232" t="s">
        <v>111</v>
      </c>
      <c r="E31" s="233">
        <f>INDEX(G31:Q31,Model!$E$1279)</f>
        <v>1</v>
      </c>
      <c r="F31" s="334"/>
      <c r="G31" s="345">
        <f t="shared" si="1"/>
        <v>1</v>
      </c>
      <c r="H31" s="345">
        <f t="shared" si="1"/>
        <v>1</v>
      </c>
      <c r="I31" s="345">
        <f t="shared" si="1"/>
        <v>1</v>
      </c>
      <c r="J31" s="345">
        <f t="shared" si="1"/>
        <v>1</v>
      </c>
      <c r="K31" s="345">
        <f t="shared" si="1"/>
        <v>1</v>
      </c>
      <c r="L31" s="345">
        <f t="shared" si="1"/>
        <v>1</v>
      </c>
      <c r="M31" s="345">
        <f t="shared" si="1"/>
        <v>1</v>
      </c>
      <c r="N31" s="345">
        <f t="shared" si="1"/>
        <v>1</v>
      </c>
      <c r="O31" s="345">
        <f t="shared" si="1"/>
        <v>1</v>
      </c>
      <c r="P31" s="345">
        <f t="shared" si="1"/>
        <v>1</v>
      </c>
      <c r="Q31" s="345">
        <f t="shared" si="1"/>
        <v>1</v>
      </c>
      <c r="R31" s="346"/>
      <c r="S31" s="314"/>
      <c r="T31" s="227"/>
      <c r="U31" s="231" t="s">
        <v>114</v>
      </c>
      <c r="V31" s="232"/>
      <c r="W31" s="232"/>
      <c r="X31" s="232"/>
      <c r="Y31" s="232"/>
      <c r="Z31" s="232"/>
      <c r="AA31" s="334" t="s">
        <v>111</v>
      </c>
      <c r="AB31" s="495">
        <v>1</v>
      </c>
      <c r="AC31" s="495">
        <v>1</v>
      </c>
      <c r="AD31" s="495">
        <v>1</v>
      </c>
      <c r="AE31" s="495">
        <v>1</v>
      </c>
      <c r="AF31" s="495">
        <v>1</v>
      </c>
      <c r="AG31" s="486">
        <v>1</v>
      </c>
      <c r="AH31" s="486">
        <v>1</v>
      </c>
      <c r="AI31" s="486">
        <v>1</v>
      </c>
      <c r="AJ31" s="495">
        <v>1</v>
      </c>
      <c r="AK31" s="495">
        <v>1</v>
      </c>
      <c r="AL31" s="495">
        <v>1</v>
      </c>
      <c r="AM31" s="495">
        <v>1</v>
      </c>
      <c r="AN31" s="495">
        <v>1</v>
      </c>
      <c r="AO31" s="495">
        <v>1</v>
      </c>
      <c r="AP31" s="495">
        <v>1</v>
      </c>
      <c r="AQ31" s="495">
        <v>1</v>
      </c>
      <c r="AR31" s="495">
        <v>1</v>
      </c>
      <c r="AS31" s="486">
        <v>1</v>
      </c>
      <c r="AT31" s="486">
        <v>1</v>
      </c>
      <c r="AU31" s="495">
        <v>1</v>
      </c>
      <c r="AV31" s="495">
        <v>1</v>
      </c>
      <c r="AW31" s="495">
        <v>1</v>
      </c>
      <c r="AX31" s="495">
        <v>1</v>
      </c>
      <c r="AY31" s="486">
        <v>1</v>
      </c>
      <c r="AZ31" s="486"/>
      <c r="BA31" s="486"/>
      <c r="BB31" s="495"/>
      <c r="BC31" s="495"/>
      <c r="BD31" s="495"/>
      <c r="BE31" s="495"/>
      <c r="BF31" s="280"/>
      <c r="BG31" s="280"/>
    </row>
    <row r="32" spans="2:59" s="11" customFormat="1" ht="15" customHeight="1">
      <c r="C32" s="260" t="s">
        <v>115</v>
      </c>
      <c r="D32" s="11" t="s">
        <v>111</v>
      </c>
      <c r="E32" s="119">
        <f>INDEX(G32:Q32,Model!$E$1279)</f>
        <v>1</v>
      </c>
      <c r="F32" s="120"/>
      <c r="G32" s="345">
        <f t="shared" si="1"/>
        <v>1</v>
      </c>
      <c r="H32" s="345">
        <f t="shared" si="1"/>
        <v>1</v>
      </c>
      <c r="I32" s="345">
        <f t="shared" si="1"/>
        <v>1</v>
      </c>
      <c r="J32" s="345">
        <f t="shared" si="1"/>
        <v>1</v>
      </c>
      <c r="K32" s="345">
        <f t="shared" si="1"/>
        <v>2</v>
      </c>
      <c r="L32" s="345">
        <f t="shared" si="1"/>
        <v>1</v>
      </c>
      <c r="M32" s="345">
        <f t="shared" si="1"/>
        <v>1</v>
      </c>
      <c r="N32" s="345">
        <f t="shared" si="1"/>
        <v>1</v>
      </c>
      <c r="O32" s="345">
        <f t="shared" si="1"/>
        <v>1</v>
      </c>
      <c r="P32" s="345">
        <f t="shared" si="1"/>
        <v>1</v>
      </c>
      <c r="Q32" s="345">
        <f t="shared" si="1"/>
        <v>1</v>
      </c>
      <c r="R32" s="346"/>
      <c r="S32" s="314"/>
      <c r="T32" s="12"/>
      <c r="U32" s="260" t="s">
        <v>115</v>
      </c>
      <c r="AA32" s="120" t="s">
        <v>111</v>
      </c>
      <c r="AB32" s="495">
        <v>1</v>
      </c>
      <c r="AC32" s="495">
        <v>1</v>
      </c>
      <c r="AD32" s="495">
        <v>1</v>
      </c>
      <c r="AE32" s="495">
        <v>1</v>
      </c>
      <c r="AF32" s="495">
        <v>1</v>
      </c>
      <c r="AG32" s="486">
        <v>2</v>
      </c>
      <c r="AH32" s="486">
        <v>3</v>
      </c>
      <c r="AI32" s="486">
        <v>1</v>
      </c>
      <c r="AJ32" s="495">
        <v>1</v>
      </c>
      <c r="AK32" s="495">
        <v>1</v>
      </c>
      <c r="AL32" s="495">
        <v>1</v>
      </c>
      <c r="AM32" s="495">
        <v>1</v>
      </c>
      <c r="AN32" s="495">
        <v>1</v>
      </c>
      <c r="AO32" s="495">
        <v>1</v>
      </c>
      <c r="AP32" s="495">
        <v>1</v>
      </c>
      <c r="AQ32" s="495">
        <v>5</v>
      </c>
      <c r="AR32" s="495">
        <v>5</v>
      </c>
      <c r="AS32" s="486">
        <v>1</v>
      </c>
      <c r="AT32" s="486">
        <v>1</v>
      </c>
      <c r="AU32" s="495">
        <v>1</v>
      </c>
      <c r="AV32" s="495">
        <v>1</v>
      </c>
      <c r="AW32" s="495">
        <v>1</v>
      </c>
      <c r="AX32" s="495">
        <v>6</v>
      </c>
      <c r="AY32" s="486">
        <v>1</v>
      </c>
      <c r="AZ32" s="486"/>
      <c r="BA32" s="486"/>
      <c r="BB32" s="495"/>
      <c r="BC32" s="495"/>
      <c r="BD32" s="495"/>
      <c r="BE32" s="495"/>
      <c r="BF32" s="280"/>
      <c r="BG32" s="280"/>
    </row>
    <row r="33" spans="3:59" s="11" customFormat="1" ht="15" customHeight="1">
      <c r="C33" s="260" t="s">
        <v>116</v>
      </c>
      <c r="D33" s="11" t="s">
        <v>111</v>
      </c>
      <c r="E33" s="119">
        <f>INDEX(G33:Q33,Model!$E$1279)</f>
        <v>1</v>
      </c>
      <c r="F33" s="120"/>
      <c r="G33" s="345">
        <f t="shared" si="1"/>
        <v>1</v>
      </c>
      <c r="H33" s="345">
        <f t="shared" si="1"/>
        <v>1</v>
      </c>
      <c r="I33" s="345">
        <f t="shared" si="1"/>
        <v>1</v>
      </c>
      <c r="J33" s="345">
        <f t="shared" si="1"/>
        <v>1</v>
      </c>
      <c r="K33" s="345">
        <f t="shared" si="1"/>
        <v>1</v>
      </c>
      <c r="L33" s="345">
        <f t="shared" si="1"/>
        <v>1</v>
      </c>
      <c r="M33" s="345">
        <f t="shared" si="1"/>
        <v>1</v>
      </c>
      <c r="N33" s="345">
        <f t="shared" si="1"/>
        <v>1</v>
      </c>
      <c r="O33" s="345">
        <f t="shared" si="1"/>
        <v>1</v>
      </c>
      <c r="P33" s="345">
        <f t="shared" si="1"/>
        <v>1</v>
      </c>
      <c r="Q33" s="345">
        <f t="shared" si="1"/>
        <v>1</v>
      </c>
      <c r="R33" s="346"/>
      <c r="S33" s="314"/>
      <c r="T33" s="12"/>
      <c r="U33" s="260" t="s">
        <v>116</v>
      </c>
      <c r="AA33" s="120" t="s">
        <v>111</v>
      </c>
      <c r="AB33" s="495">
        <v>1</v>
      </c>
      <c r="AC33" s="495">
        <v>1</v>
      </c>
      <c r="AD33" s="495">
        <v>1</v>
      </c>
      <c r="AE33" s="486">
        <v>1</v>
      </c>
      <c r="AF33" s="495">
        <v>1</v>
      </c>
      <c r="AG33" s="486">
        <v>1</v>
      </c>
      <c r="AH33" s="486">
        <v>1</v>
      </c>
      <c r="AI33" s="486">
        <v>1</v>
      </c>
      <c r="AJ33" s="495">
        <v>1</v>
      </c>
      <c r="AK33" s="495">
        <v>1</v>
      </c>
      <c r="AL33" s="495">
        <v>1</v>
      </c>
      <c r="AM33" s="495">
        <v>1</v>
      </c>
      <c r="AN33" s="495">
        <v>1</v>
      </c>
      <c r="AO33" s="495">
        <v>1</v>
      </c>
      <c r="AP33" s="495">
        <v>1</v>
      </c>
      <c r="AQ33" s="495">
        <v>1</v>
      </c>
      <c r="AR33" s="495">
        <v>1</v>
      </c>
      <c r="AS33" s="486">
        <v>1</v>
      </c>
      <c r="AT33" s="486">
        <v>1</v>
      </c>
      <c r="AU33" s="486">
        <v>1</v>
      </c>
      <c r="AV33" s="495">
        <v>1</v>
      </c>
      <c r="AW33" s="495">
        <v>1</v>
      </c>
      <c r="AX33" s="495">
        <v>1</v>
      </c>
      <c r="AY33" s="486">
        <v>1</v>
      </c>
      <c r="AZ33" s="486"/>
      <c r="BA33" s="486"/>
      <c r="BB33" s="486"/>
      <c r="BC33" s="495"/>
      <c r="BD33" s="495"/>
      <c r="BE33" s="495"/>
      <c r="BF33" s="280"/>
      <c r="BG33" s="280"/>
    </row>
    <row r="34" spans="3:59" s="11" customFormat="1" ht="15" customHeight="1">
      <c r="C34" s="177" t="s">
        <v>117</v>
      </c>
      <c r="D34" s="166" t="s">
        <v>111</v>
      </c>
      <c r="E34" s="225">
        <f>INDEX(G34:Q34,Model!$E$1279)</f>
        <v>0</v>
      </c>
      <c r="F34" s="180"/>
      <c r="G34" s="345">
        <f t="shared" si="1"/>
        <v>0</v>
      </c>
      <c r="H34" s="345">
        <f t="shared" si="1"/>
        <v>0</v>
      </c>
      <c r="I34" s="345">
        <f t="shared" si="1"/>
        <v>0</v>
      </c>
      <c r="J34" s="345">
        <f t="shared" si="1"/>
        <v>0</v>
      </c>
      <c r="K34" s="345">
        <f t="shared" si="1"/>
        <v>0</v>
      </c>
      <c r="L34" s="345">
        <f t="shared" si="1"/>
        <v>0</v>
      </c>
      <c r="M34" s="345">
        <f t="shared" si="1"/>
        <v>0</v>
      </c>
      <c r="N34" s="345">
        <f t="shared" si="1"/>
        <v>1</v>
      </c>
      <c r="O34" s="345">
        <f t="shared" si="1"/>
        <v>0</v>
      </c>
      <c r="P34" s="345">
        <f t="shared" si="1"/>
        <v>0</v>
      </c>
      <c r="Q34" s="345">
        <f t="shared" si="1"/>
        <v>0</v>
      </c>
      <c r="R34" s="346"/>
      <c r="S34" s="314"/>
      <c r="T34" s="12"/>
      <c r="U34" s="177" t="s">
        <v>117</v>
      </c>
      <c r="V34" s="166"/>
      <c r="W34" s="166"/>
      <c r="X34" s="166"/>
      <c r="Y34" s="166"/>
      <c r="Z34" s="166"/>
      <c r="AA34" s="180" t="s">
        <v>111</v>
      </c>
      <c r="AB34" s="495">
        <v>0</v>
      </c>
      <c r="AC34" s="495">
        <v>0</v>
      </c>
      <c r="AD34" s="495">
        <v>0</v>
      </c>
      <c r="AE34" s="495">
        <v>0</v>
      </c>
      <c r="AF34" s="495">
        <v>0</v>
      </c>
      <c r="AG34" s="495">
        <v>0</v>
      </c>
      <c r="AH34" s="495">
        <v>0</v>
      </c>
      <c r="AI34" s="495">
        <v>0</v>
      </c>
      <c r="AJ34" s="495">
        <v>0</v>
      </c>
      <c r="AK34" s="495">
        <v>0</v>
      </c>
      <c r="AL34" s="495">
        <v>0</v>
      </c>
      <c r="AM34" s="495">
        <v>0</v>
      </c>
      <c r="AN34" s="495">
        <v>0</v>
      </c>
      <c r="AO34" s="495">
        <v>1</v>
      </c>
      <c r="AP34" s="495">
        <v>0</v>
      </c>
      <c r="AQ34" s="495">
        <v>0</v>
      </c>
      <c r="AR34" s="495">
        <v>0</v>
      </c>
      <c r="AS34" s="495">
        <v>0</v>
      </c>
      <c r="AT34" s="495">
        <v>0</v>
      </c>
      <c r="AU34" s="495">
        <v>0</v>
      </c>
      <c r="AV34" s="495">
        <v>0</v>
      </c>
      <c r="AW34" s="495">
        <v>0</v>
      </c>
      <c r="AX34" s="495">
        <v>0</v>
      </c>
      <c r="AY34" s="495">
        <v>0</v>
      </c>
      <c r="AZ34" s="495"/>
      <c r="BA34" s="495"/>
      <c r="BB34" s="495"/>
      <c r="BC34" s="495"/>
      <c r="BD34" s="495"/>
      <c r="BE34" s="495"/>
      <c r="BF34" s="280"/>
      <c r="BG34" s="280"/>
    </row>
    <row r="35" spans="3:59" s="11" customFormat="1" ht="15" customHeight="1">
      <c r="C35" s="260" t="s">
        <v>118</v>
      </c>
      <c r="D35" s="11" t="s">
        <v>111</v>
      </c>
      <c r="E35" s="119">
        <f>INDEX(G35:Q35,Model!$E$1279)</f>
        <v>1</v>
      </c>
      <c r="F35" s="120"/>
      <c r="G35" s="345">
        <f t="shared" si="1"/>
        <v>1</v>
      </c>
      <c r="H35" s="345">
        <f t="shared" si="1"/>
        <v>1</v>
      </c>
      <c r="I35" s="345">
        <f t="shared" si="1"/>
        <v>1</v>
      </c>
      <c r="J35" s="345">
        <f t="shared" si="1"/>
        <v>1</v>
      </c>
      <c r="K35" s="345">
        <f t="shared" si="1"/>
        <v>1</v>
      </c>
      <c r="L35" s="345">
        <f t="shared" si="1"/>
        <v>1</v>
      </c>
      <c r="M35" s="345">
        <f t="shared" si="1"/>
        <v>1</v>
      </c>
      <c r="N35" s="345">
        <f t="shared" si="1"/>
        <v>2</v>
      </c>
      <c r="O35" s="345">
        <f t="shared" si="1"/>
        <v>1</v>
      </c>
      <c r="P35" s="345">
        <f t="shared" si="1"/>
        <v>1</v>
      </c>
      <c r="Q35" s="345">
        <f t="shared" si="1"/>
        <v>1</v>
      </c>
      <c r="R35" s="346"/>
      <c r="S35" s="314"/>
      <c r="T35" s="12"/>
      <c r="U35" s="260" t="s">
        <v>118</v>
      </c>
      <c r="AA35" s="120" t="s">
        <v>111</v>
      </c>
      <c r="AB35" s="495">
        <v>1</v>
      </c>
      <c r="AC35" s="495">
        <v>1</v>
      </c>
      <c r="AD35" s="495">
        <v>1</v>
      </c>
      <c r="AE35" s="495">
        <v>1</v>
      </c>
      <c r="AF35" s="495">
        <v>1</v>
      </c>
      <c r="AG35" s="495">
        <v>1</v>
      </c>
      <c r="AH35" s="495">
        <v>1</v>
      </c>
      <c r="AI35" s="495">
        <v>1</v>
      </c>
      <c r="AJ35" s="495">
        <v>1</v>
      </c>
      <c r="AK35" s="495">
        <v>1</v>
      </c>
      <c r="AL35" s="495">
        <v>1</v>
      </c>
      <c r="AM35" s="495">
        <v>1</v>
      </c>
      <c r="AN35" s="495">
        <v>1</v>
      </c>
      <c r="AO35" s="495">
        <v>2</v>
      </c>
      <c r="AP35" s="495">
        <v>1</v>
      </c>
      <c r="AQ35" s="495">
        <v>1</v>
      </c>
      <c r="AR35" s="495">
        <v>1</v>
      </c>
      <c r="AS35" s="495">
        <v>1</v>
      </c>
      <c r="AT35" s="495">
        <v>1</v>
      </c>
      <c r="AU35" s="495">
        <v>1</v>
      </c>
      <c r="AV35" s="495">
        <v>1</v>
      </c>
      <c r="AW35" s="495">
        <v>1</v>
      </c>
      <c r="AX35" s="495">
        <v>1</v>
      </c>
      <c r="AY35" s="495">
        <v>1</v>
      </c>
      <c r="AZ35" s="495"/>
      <c r="BA35" s="495"/>
      <c r="BB35" s="495"/>
      <c r="BC35" s="495"/>
      <c r="BD35" s="495"/>
      <c r="BE35" s="495"/>
      <c r="BF35" s="280"/>
      <c r="BG35" s="280"/>
    </row>
    <row r="36" spans="3:59" s="11" customFormat="1" ht="15" customHeight="1">
      <c r="C36" s="143" t="s">
        <v>119</v>
      </c>
      <c r="D36" s="138" t="s">
        <v>30</v>
      </c>
      <c r="E36" s="204">
        <f>INDEX(G36:Q36,Model!$E$1279)</f>
        <v>0.01</v>
      </c>
      <c r="F36" s="331"/>
      <c r="G36" s="349">
        <f t="shared" si="1"/>
        <v>0.01</v>
      </c>
      <c r="H36" s="349">
        <f t="shared" si="1"/>
        <v>0.01</v>
      </c>
      <c r="I36" s="349">
        <f t="shared" si="1"/>
        <v>0</v>
      </c>
      <c r="J36" s="349">
        <f t="shared" si="1"/>
        <v>0</v>
      </c>
      <c r="K36" s="349">
        <f t="shared" si="1"/>
        <v>0</v>
      </c>
      <c r="L36" s="349">
        <f t="shared" si="1"/>
        <v>0</v>
      </c>
      <c r="M36" s="349">
        <f t="shared" si="1"/>
        <v>0</v>
      </c>
      <c r="N36" s="349">
        <f t="shared" si="1"/>
        <v>0</v>
      </c>
      <c r="O36" s="349">
        <f t="shared" si="1"/>
        <v>0</v>
      </c>
      <c r="P36" s="349">
        <f t="shared" si="1"/>
        <v>0</v>
      </c>
      <c r="Q36" s="349">
        <f t="shared" si="1"/>
        <v>0</v>
      </c>
      <c r="R36" s="346"/>
      <c r="S36" s="314"/>
      <c r="T36" s="12"/>
      <c r="U36" s="143" t="s">
        <v>119</v>
      </c>
      <c r="V36" s="138"/>
      <c r="W36" s="138"/>
      <c r="X36" s="138"/>
      <c r="Y36" s="138"/>
      <c r="Z36" s="138"/>
      <c r="AA36" s="331" t="s">
        <v>30</v>
      </c>
      <c r="AB36" s="499">
        <v>0.01</v>
      </c>
      <c r="AC36" s="499">
        <v>0.01</v>
      </c>
      <c r="AD36" s="499">
        <v>0.01</v>
      </c>
      <c r="AE36" s="499">
        <v>0</v>
      </c>
      <c r="AF36" s="499">
        <v>0</v>
      </c>
      <c r="AG36" s="499">
        <v>0</v>
      </c>
      <c r="AH36" s="499">
        <v>0</v>
      </c>
      <c r="AI36" s="499">
        <v>0</v>
      </c>
      <c r="AJ36" s="499">
        <v>0</v>
      </c>
      <c r="AK36" s="499">
        <v>0</v>
      </c>
      <c r="AL36" s="499">
        <v>0</v>
      </c>
      <c r="AM36" s="499">
        <v>0</v>
      </c>
      <c r="AN36" s="499">
        <v>0</v>
      </c>
      <c r="AO36" s="499">
        <v>0</v>
      </c>
      <c r="AP36" s="499">
        <v>0.15</v>
      </c>
      <c r="AQ36" s="499">
        <v>0</v>
      </c>
      <c r="AR36" s="499">
        <v>0</v>
      </c>
      <c r="AS36" s="499">
        <v>0</v>
      </c>
      <c r="AT36" s="499">
        <v>0</v>
      </c>
      <c r="AU36" s="499">
        <v>0</v>
      </c>
      <c r="AV36" s="499">
        <v>0</v>
      </c>
      <c r="AW36" s="499">
        <v>0</v>
      </c>
      <c r="AX36" s="499">
        <v>0</v>
      </c>
      <c r="AY36" s="499">
        <v>0</v>
      </c>
      <c r="AZ36" s="499"/>
      <c r="BA36" s="499"/>
      <c r="BB36" s="499"/>
      <c r="BC36" s="499"/>
      <c r="BD36" s="499"/>
      <c r="BE36" s="499"/>
      <c r="BF36" s="242"/>
      <c r="BG36" s="242"/>
    </row>
    <row r="37" spans="3:59" s="11" customFormat="1" ht="15" customHeight="1">
      <c r="C37" s="143" t="s">
        <v>120</v>
      </c>
      <c r="D37" s="138" t="s">
        <v>30</v>
      </c>
      <c r="E37" s="204">
        <f>INDEX(G37:Q37,Model!$E$1279)</f>
        <v>0</v>
      </c>
      <c r="F37" s="331"/>
      <c r="G37" s="349">
        <f t="shared" si="1"/>
        <v>0</v>
      </c>
      <c r="H37" s="349">
        <f t="shared" si="1"/>
        <v>0</v>
      </c>
      <c r="I37" s="349">
        <f t="shared" si="1"/>
        <v>0</v>
      </c>
      <c r="J37" s="349">
        <f t="shared" si="1"/>
        <v>0</v>
      </c>
      <c r="K37" s="349">
        <f t="shared" si="1"/>
        <v>0.01</v>
      </c>
      <c r="L37" s="349">
        <f t="shared" si="1"/>
        <v>3.0000000000000001E-3</v>
      </c>
      <c r="M37" s="349">
        <f t="shared" si="1"/>
        <v>0</v>
      </c>
      <c r="N37" s="349">
        <f t="shared" si="1"/>
        <v>0</v>
      </c>
      <c r="O37" s="349">
        <f t="shared" si="1"/>
        <v>0</v>
      </c>
      <c r="P37" s="349">
        <f t="shared" si="1"/>
        <v>0</v>
      </c>
      <c r="Q37" s="349">
        <f t="shared" si="1"/>
        <v>0</v>
      </c>
      <c r="R37" s="346"/>
      <c r="S37" s="314"/>
      <c r="T37" s="12"/>
      <c r="U37" s="143" t="s">
        <v>120</v>
      </c>
      <c r="V37" s="138"/>
      <c r="W37" s="138"/>
      <c r="X37" s="138"/>
      <c r="Y37" s="138"/>
      <c r="Z37" s="138"/>
      <c r="AA37" s="138" t="s">
        <v>30</v>
      </c>
      <c r="AB37" s="493"/>
      <c r="AC37" s="493"/>
      <c r="AD37" s="493"/>
      <c r="AE37" s="493"/>
      <c r="AF37" s="493"/>
      <c r="AG37" s="493">
        <v>0.01</v>
      </c>
      <c r="AH37" s="493">
        <v>5.0000000000000001E-3</v>
      </c>
      <c r="AI37" s="493">
        <v>3.0000000000000001E-3</v>
      </c>
      <c r="AJ37" s="493"/>
      <c r="AK37" s="493">
        <v>0.01</v>
      </c>
      <c r="AL37" s="493"/>
      <c r="AM37" s="493">
        <v>2.5000000000000001E-3</v>
      </c>
      <c r="AN37" s="493">
        <v>5.0000000000000001E-3</v>
      </c>
      <c r="AO37" s="493"/>
      <c r="AP37" s="493"/>
      <c r="AQ37" s="493"/>
      <c r="AR37" s="493"/>
      <c r="AS37" s="493"/>
      <c r="AT37" s="493"/>
      <c r="AU37" s="493"/>
      <c r="AV37" s="493"/>
      <c r="AW37" s="493"/>
      <c r="AX37" s="493"/>
      <c r="AY37" s="493"/>
      <c r="AZ37" s="493"/>
      <c r="BA37" s="493"/>
      <c r="BB37" s="493"/>
      <c r="BC37" s="493"/>
      <c r="BD37" s="493"/>
      <c r="BE37" s="493"/>
      <c r="BF37" s="242"/>
      <c r="BG37" s="242"/>
    </row>
    <row r="38" spans="3:59" s="11" customFormat="1" ht="15" customHeight="1">
      <c r="C38" s="228" t="s">
        <v>121</v>
      </c>
      <c r="D38" s="138"/>
      <c r="E38" s="138"/>
      <c r="F38" s="138"/>
      <c r="G38" s="352"/>
      <c r="H38" s="352"/>
      <c r="I38" s="352"/>
      <c r="J38" s="352"/>
      <c r="K38" s="352"/>
      <c r="L38" s="352"/>
      <c r="M38" s="352"/>
      <c r="N38" s="352"/>
      <c r="O38" s="352"/>
      <c r="P38" s="352"/>
      <c r="Q38" s="350"/>
      <c r="R38" s="346"/>
      <c r="S38" s="314"/>
      <c r="T38" s="12"/>
      <c r="U38" s="228" t="s">
        <v>121</v>
      </c>
      <c r="V38" s="138"/>
      <c r="W38" s="226"/>
      <c r="X38" s="138"/>
      <c r="Y38" s="226"/>
      <c r="Z38" s="138"/>
      <c r="AA38" s="219"/>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c r="BA38" s="138"/>
      <c r="BB38" s="138"/>
      <c r="BC38" s="138"/>
      <c r="BD38" s="138"/>
      <c r="BE38" s="331"/>
    </row>
    <row r="39" spans="3:59" s="11" customFormat="1" ht="15" customHeight="1">
      <c r="C39" s="177" t="s">
        <v>122</v>
      </c>
      <c r="D39" s="166" t="s">
        <v>111</v>
      </c>
      <c r="E39" s="225">
        <f>INDEX(G39:Q39,Model!$E$1279)</f>
        <v>1</v>
      </c>
      <c r="F39" s="180"/>
      <c r="G39" s="345">
        <f t="shared" si="1"/>
        <v>1</v>
      </c>
      <c r="H39" s="345">
        <f t="shared" si="1"/>
        <v>1</v>
      </c>
      <c r="I39" s="345">
        <f t="shared" si="1"/>
        <v>1</v>
      </c>
      <c r="J39" s="345">
        <f t="shared" si="1"/>
        <v>1</v>
      </c>
      <c r="K39" s="345">
        <f t="shared" si="1"/>
        <v>1</v>
      </c>
      <c r="L39" s="345">
        <f t="shared" si="1"/>
        <v>1</v>
      </c>
      <c r="M39" s="345">
        <f t="shared" si="1"/>
        <v>1</v>
      </c>
      <c r="N39" s="345">
        <f t="shared" si="1"/>
        <v>1</v>
      </c>
      <c r="O39" s="345">
        <f t="shared" si="1"/>
        <v>1</v>
      </c>
      <c r="P39" s="345">
        <f t="shared" si="1"/>
        <v>3</v>
      </c>
      <c r="Q39" s="345">
        <f t="shared" si="1"/>
        <v>1</v>
      </c>
      <c r="R39" s="346"/>
      <c r="S39" s="314"/>
      <c r="T39" s="12"/>
      <c r="U39" s="177" t="s">
        <v>122</v>
      </c>
      <c r="V39" s="166"/>
      <c r="W39" s="166"/>
      <c r="X39" s="166"/>
      <c r="Y39" s="166"/>
      <c r="Z39" s="166"/>
      <c r="AA39" s="166" t="s">
        <v>111</v>
      </c>
      <c r="AB39" s="486">
        <v>1</v>
      </c>
      <c r="AC39" s="495">
        <v>1</v>
      </c>
      <c r="AD39" s="495">
        <v>1</v>
      </c>
      <c r="AE39" s="486">
        <v>1</v>
      </c>
      <c r="AF39" s="495">
        <v>1</v>
      </c>
      <c r="AG39" s="495">
        <v>1</v>
      </c>
      <c r="AH39" s="495">
        <v>1</v>
      </c>
      <c r="AI39" s="495">
        <v>1</v>
      </c>
      <c r="AJ39" s="495">
        <v>1</v>
      </c>
      <c r="AK39" s="495">
        <v>1</v>
      </c>
      <c r="AL39" s="495">
        <v>1</v>
      </c>
      <c r="AM39" s="495">
        <v>1</v>
      </c>
      <c r="AN39" s="495">
        <v>1</v>
      </c>
      <c r="AO39" s="495">
        <v>1</v>
      </c>
      <c r="AP39" s="495">
        <v>1</v>
      </c>
      <c r="AQ39" s="495">
        <v>1</v>
      </c>
      <c r="AR39" s="495">
        <v>1</v>
      </c>
      <c r="AS39" s="495">
        <v>1</v>
      </c>
      <c r="AT39" s="495">
        <v>2</v>
      </c>
      <c r="AU39" s="486">
        <v>3</v>
      </c>
      <c r="AV39" s="495">
        <v>1</v>
      </c>
      <c r="AW39" s="495">
        <v>1</v>
      </c>
      <c r="AX39" s="495">
        <v>1</v>
      </c>
      <c r="AY39" s="495">
        <v>1</v>
      </c>
      <c r="AZ39" s="495"/>
      <c r="BA39" s="495"/>
      <c r="BB39" s="486"/>
      <c r="BC39" s="495"/>
      <c r="BD39" s="495"/>
      <c r="BE39" s="495"/>
      <c r="BF39" s="280"/>
      <c r="BG39" s="280"/>
    </row>
    <row r="40" spans="3:59" s="11" customFormat="1" ht="15" customHeight="1">
      <c r="C40" s="15" t="s">
        <v>123</v>
      </c>
      <c r="D40" s="14" t="s">
        <v>30</v>
      </c>
      <c r="E40" s="123">
        <f>INDEX(G40:Q40,Model!$E$1279)</f>
        <v>0</v>
      </c>
      <c r="F40" s="122"/>
      <c r="G40" s="349">
        <f t="shared" si="1"/>
        <v>0</v>
      </c>
      <c r="H40" s="349">
        <f t="shared" si="1"/>
        <v>0</v>
      </c>
      <c r="I40" s="349">
        <f t="shared" si="1"/>
        <v>0</v>
      </c>
      <c r="J40" s="349">
        <f t="shared" si="1"/>
        <v>0</v>
      </c>
      <c r="K40" s="349">
        <f t="shared" si="1"/>
        <v>0</v>
      </c>
      <c r="L40" s="349">
        <f t="shared" si="1"/>
        <v>0</v>
      </c>
      <c r="M40" s="349">
        <f t="shared" si="1"/>
        <v>0</v>
      </c>
      <c r="N40" s="349">
        <f t="shared" si="1"/>
        <v>0</v>
      </c>
      <c r="O40" s="349">
        <f t="shared" si="1"/>
        <v>0</v>
      </c>
      <c r="P40" s="349">
        <f t="shared" si="1"/>
        <v>0.01</v>
      </c>
      <c r="Q40" s="349">
        <f t="shared" si="1"/>
        <v>0</v>
      </c>
      <c r="R40" s="346"/>
      <c r="S40" s="314"/>
      <c r="T40" s="12"/>
      <c r="U40" s="15" t="s">
        <v>123</v>
      </c>
      <c r="V40" s="14"/>
      <c r="W40" s="14"/>
      <c r="X40" s="14"/>
      <c r="Y40" s="14"/>
      <c r="Z40" s="14"/>
      <c r="AA40" s="14" t="s">
        <v>30</v>
      </c>
      <c r="AB40" s="486"/>
      <c r="AC40" s="495"/>
      <c r="AD40" s="495"/>
      <c r="AE40" s="495"/>
      <c r="AF40" s="495"/>
      <c r="AG40" s="495"/>
      <c r="AH40" s="495"/>
      <c r="AI40" s="495"/>
      <c r="AJ40" s="495"/>
      <c r="AK40" s="495"/>
      <c r="AL40" s="495"/>
      <c r="AM40" s="495"/>
      <c r="AN40" s="495"/>
      <c r="AO40" s="495"/>
      <c r="AP40" s="495"/>
      <c r="AQ40" s="495"/>
      <c r="AR40" s="495"/>
      <c r="AS40" s="495"/>
      <c r="AT40" s="495"/>
      <c r="AU40" s="499">
        <v>0.01</v>
      </c>
      <c r="AV40" s="495"/>
      <c r="AW40" s="495"/>
      <c r="AX40" s="495"/>
      <c r="AY40" s="495"/>
      <c r="AZ40" s="495"/>
      <c r="BA40" s="495"/>
      <c r="BB40" s="499"/>
      <c r="BC40" s="495"/>
      <c r="BD40" s="495"/>
      <c r="BE40" s="495"/>
      <c r="BF40" s="280"/>
      <c r="BG40" s="280"/>
    </row>
    <row r="41" spans="3:59" s="11" customFormat="1" ht="15" customHeight="1">
      <c r="C41" s="177" t="s">
        <v>124</v>
      </c>
      <c r="D41" s="166" t="s">
        <v>30</v>
      </c>
      <c r="E41" s="178">
        <f>INDEX(G41:Q41,Model!$E$1279)</f>
        <v>0</v>
      </c>
      <c r="F41" s="180"/>
      <c r="G41" s="349">
        <f t="shared" si="1"/>
        <v>0</v>
      </c>
      <c r="H41" s="349">
        <f t="shared" si="1"/>
        <v>0</v>
      </c>
      <c r="I41" s="349">
        <f t="shared" si="1"/>
        <v>0</v>
      </c>
      <c r="J41" s="349">
        <f t="shared" si="1"/>
        <v>0</v>
      </c>
      <c r="K41" s="349">
        <f t="shared" si="1"/>
        <v>0</v>
      </c>
      <c r="L41" s="349">
        <f t="shared" si="1"/>
        <v>0.5</v>
      </c>
      <c r="M41" s="349">
        <f t="shared" si="1"/>
        <v>0</v>
      </c>
      <c r="N41" s="349">
        <f t="shared" si="1"/>
        <v>0</v>
      </c>
      <c r="O41" s="349">
        <f t="shared" si="1"/>
        <v>0</v>
      </c>
      <c r="P41" s="349">
        <f t="shared" si="1"/>
        <v>0</v>
      </c>
      <c r="Q41" s="349">
        <f t="shared" si="1"/>
        <v>0</v>
      </c>
      <c r="R41" s="346"/>
      <c r="S41" s="314"/>
      <c r="T41" s="12"/>
      <c r="U41" s="177" t="s">
        <v>124</v>
      </c>
      <c r="V41" s="166"/>
      <c r="W41" s="166"/>
      <c r="X41" s="166"/>
      <c r="Y41" s="166"/>
      <c r="Z41" s="166"/>
      <c r="AA41" s="166" t="s">
        <v>30</v>
      </c>
      <c r="AB41" s="497"/>
      <c r="AC41" s="499"/>
      <c r="AD41" s="499"/>
      <c r="AE41" s="499"/>
      <c r="AF41" s="499"/>
      <c r="AG41" s="499"/>
      <c r="AH41" s="499"/>
      <c r="AI41" s="499">
        <v>0.5</v>
      </c>
      <c r="AJ41" s="497"/>
      <c r="AK41" s="499"/>
      <c r="AL41" s="499"/>
      <c r="AM41" s="499"/>
      <c r="AN41" s="499"/>
      <c r="AO41" s="499"/>
      <c r="AP41" s="499"/>
      <c r="AQ41" s="499"/>
      <c r="AR41" s="499"/>
      <c r="AS41" s="499"/>
      <c r="AT41" s="499"/>
      <c r="AU41" s="499"/>
      <c r="AV41" s="499"/>
      <c r="AW41" s="499"/>
      <c r="AX41" s="499"/>
      <c r="AY41" s="499"/>
      <c r="AZ41" s="499"/>
      <c r="BA41" s="499"/>
      <c r="BB41" s="499"/>
      <c r="BC41" s="497"/>
      <c r="BD41" s="497"/>
      <c r="BE41" s="497"/>
      <c r="BF41" s="242"/>
      <c r="BG41" s="242"/>
    </row>
    <row r="42" spans="3:59" s="11" customFormat="1" ht="15" customHeight="1">
      <c r="C42" s="15" t="s">
        <v>125</v>
      </c>
      <c r="D42" s="14" t="s">
        <v>30</v>
      </c>
      <c r="E42" s="123">
        <f>INDEX(G42:Q42,Model!$E$1279)</f>
        <v>0</v>
      </c>
      <c r="F42" s="122"/>
      <c r="G42" s="349">
        <f t="shared" si="1"/>
        <v>0</v>
      </c>
      <c r="H42" s="349">
        <f t="shared" si="1"/>
        <v>0</v>
      </c>
      <c r="I42" s="349">
        <f t="shared" ref="I42:Q97" si="2">INDEX($AB42:$BE42,I$16)</f>
        <v>0</v>
      </c>
      <c r="J42" s="349">
        <f t="shared" si="2"/>
        <v>0</v>
      </c>
      <c r="K42" s="349">
        <f t="shared" si="2"/>
        <v>0</v>
      </c>
      <c r="L42" s="349">
        <f t="shared" si="2"/>
        <v>0.25</v>
      </c>
      <c r="M42" s="349">
        <f t="shared" si="2"/>
        <v>0</v>
      </c>
      <c r="N42" s="349">
        <f t="shared" si="2"/>
        <v>0</v>
      </c>
      <c r="O42" s="349">
        <f t="shared" si="2"/>
        <v>0</v>
      </c>
      <c r="P42" s="349">
        <f t="shared" si="2"/>
        <v>0</v>
      </c>
      <c r="Q42" s="349">
        <f t="shared" si="2"/>
        <v>0</v>
      </c>
      <c r="R42" s="346"/>
      <c r="S42" s="314"/>
      <c r="T42" s="12"/>
      <c r="U42" s="15" t="s">
        <v>125</v>
      </c>
      <c r="V42" s="14"/>
      <c r="W42" s="14"/>
      <c r="X42" s="14"/>
      <c r="Y42" s="14"/>
      <c r="Z42" s="14"/>
      <c r="AA42" s="14" t="s">
        <v>30</v>
      </c>
      <c r="AB42" s="497"/>
      <c r="AC42" s="499"/>
      <c r="AD42" s="499"/>
      <c r="AE42" s="499"/>
      <c r="AF42" s="499"/>
      <c r="AG42" s="499"/>
      <c r="AH42" s="499"/>
      <c r="AI42" s="499">
        <v>0.25</v>
      </c>
      <c r="AJ42" s="497"/>
      <c r="AK42" s="499"/>
      <c r="AL42" s="499"/>
      <c r="AM42" s="499"/>
      <c r="AN42" s="499"/>
      <c r="AO42" s="499"/>
      <c r="AP42" s="499"/>
      <c r="AQ42" s="499"/>
      <c r="AR42" s="499"/>
      <c r="AS42" s="499"/>
      <c r="AT42" s="499"/>
      <c r="AU42" s="499"/>
      <c r="AV42" s="499"/>
      <c r="AW42" s="499"/>
      <c r="AX42" s="499"/>
      <c r="AY42" s="499"/>
      <c r="AZ42" s="499"/>
      <c r="BA42" s="499"/>
      <c r="BB42" s="499"/>
      <c r="BC42" s="497"/>
      <c r="BD42" s="497"/>
      <c r="BE42" s="497"/>
      <c r="BF42" s="242"/>
      <c r="BG42" s="242"/>
    </row>
    <row r="43" spans="3:59" s="11" customFormat="1" ht="15" customHeight="1">
      <c r="C43" s="304" t="s">
        <v>126</v>
      </c>
      <c r="F43" s="14"/>
      <c r="G43" s="352"/>
      <c r="H43" s="352"/>
      <c r="I43" s="352"/>
      <c r="J43" s="352"/>
      <c r="K43" s="352"/>
      <c r="L43" s="352"/>
      <c r="M43" s="352"/>
      <c r="N43" s="352"/>
      <c r="O43" s="352"/>
      <c r="P43" s="352"/>
      <c r="Q43" s="350"/>
      <c r="R43" s="346"/>
      <c r="S43" s="314"/>
      <c r="T43" s="12"/>
      <c r="U43" s="304" t="s">
        <v>126</v>
      </c>
      <c r="W43" s="9"/>
      <c r="Y43" s="9"/>
      <c r="AA43" s="219"/>
      <c r="AJ43" s="138"/>
      <c r="BC43" s="138"/>
      <c r="BD43" s="138"/>
      <c r="BE43" s="331"/>
    </row>
    <row r="44" spans="3:59" s="11" customFormat="1" ht="15" customHeight="1">
      <c r="C44" s="177" t="s">
        <v>127</v>
      </c>
      <c r="D44" s="166" t="s">
        <v>30</v>
      </c>
      <c r="E44" s="178">
        <f>INDEX(G44:Q44,Model!$E$1279)</f>
        <v>0.3</v>
      </c>
      <c r="F44" s="180"/>
      <c r="G44" s="376">
        <f t="shared" ref="G44:Q59" si="3">INDEX($AB44:$BE44,G$16)</f>
        <v>0.3</v>
      </c>
      <c r="H44" s="376">
        <f t="shared" si="3"/>
        <v>0.3</v>
      </c>
      <c r="I44" s="376">
        <f t="shared" si="2"/>
        <v>0.25</v>
      </c>
      <c r="J44" s="376">
        <f t="shared" si="2"/>
        <v>0.3</v>
      </c>
      <c r="K44" s="376">
        <f t="shared" si="2"/>
        <v>0.27500000000000002</v>
      </c>
      <c r="L44" s="376">
        <f t="shared" si="2"/>
        <v>0.3</v>
      </c>
      <c r="M44" s="376">
        <f t="shared" si="2"/>
        <v>0.35</v>
      </c>
      <c r="N44" s="376">
        <f t="shared" si="2"/>
        <v>0</v>
      </c>
      <c r="O44" s="376">
        <f t="shared" si="2"/>
        <v>0.25</v>
      </c>
      <c r="P44" s="376">
        <f t="shared" si="2"/>
        <v>0.29499999999999998</v>
      </c>
      <c r="Q44" s="376">
        <f t="shared" si="2"/>
        <v>0.3</v>
      </c>
      <c r="R44" s="346"/>
      <c r="S44" s="314"/>
      <c r="T44" s="12"/>
      <c r="U44" s="177" t="s">
        <v>127</v>
      </c>
      <c r="V44" s="166"/>
      <c r="W44" s="166"/>
      <c r="X44" s="166"/>
      <c r="Y44" s="166"/>
      <c r="Z44" s="166"/>
      <c r="AA44" s="180" t="s">
        <v>30</v>
      </c>
      <c r="AB44" s="493">
        <v>0.3</v>
      </c>
      <c r="AC44" s="493">
        <v>0.3</v>
      </c>
      <c r="AD44" s="493">
        <v>0.3</v>
      </c>
      <c r="AE44" s="493">
        <v>0.3</v>
      </c>
      <c r="AF44" s="493">
        <v>0.25</v>
      </c>
      <c r="AG44" s="493">
        <v>0.27500000000000002</v>
      </c>
      <c r="AH44" s="493">
        <v>0.25</v>
      </c>
      <c r="AI44" s="493">
        <v>0.3</v>
      </c>
      <c r="AJ44" s="494">
        <v>0.35</v>
      </c>
      <c r="AK44" s="493">
        <v>0.3</v>
      </c>
      <c r="AL44" s="493">
        <v>0.25</v>
      </c>
      <c r="AM44" s="493">
        <v>0.25</v>
      </c>
      <c r="AN44" s="493">
        <v>0.3</v>
      </c>
      <c r="AO44" s="493">
        <v>0</v>
      </c>
      <c r="AP44" s="493">
        <v>0.3</v>
      </c>
      <c r="AQ44" s="493">
        <v>0.28000000000000003</v>
      </c>
      <c r="AR44" s="493">
        <v>0.18</v>
      </c>
      <c r="AS44" s="493">
        <v>0.34</v>
      </c>
      <c r="AT44" s="493">
        <v>0.25</v>
      </c>
      <c r="AU44" s="493">
        <v>0.29499999999999998</v>
      </c>
      <c r="AV44" s="493">
        <v>0.25</v>
      </c>
      <c r="AW44" s="493">
        <v>0.2</v>
      </c>
      <c r="AX44" s="493">
        <v>0</v>
      </c>
      <c r="AY44" s="493">
        <v>0.3</v>
      </c>
      <c r="AZ44" s="493"/>
      <c r="BA44" s="493"/>
      <c r="BB44" s="493"/>
      <c r="BC44" s="494"/>
      <c r="BD44" s="494"/>
      <c r="BE44" s="494"/>
      <c r="BF44" s="242"/>
      <c r="BG44" s="242"/>
    </row>
    <row r="45" spans="3:59" s="11" customFormat="1" ht="15" customHeight="1">
      <c r="C45" s="260" t="s">
        <v>128</v>
      </c>
      <c r="D45" s="11" t="s">
        <v>30</v>
      </c>
      <c r="E45" s="104">
        <f>INDEX(G45:Q45,Model!$E$1279)</f>
        <v>0</v>
      </c>
      <c r="F45" s="120"/>
      <c r="G45" s="376">
        <f t="shared" si="3"/>
        <v>0</v>
      </c>
      <c r="H45" s="376">
        <f t="shared" si="3"/>
        <v>0</v>
      </c>
      <c r="I45" s="376">
        <f t="shared" si="2"/>
        <v>0</v>
      </c>
      <c r="J45" s="376">
        <f t="shared" si="2"/>
        <v>0</v>
      </c>
      <c r="K45" s="376">
        <f t="shared" si="2"/>
        <v>0</v>
      </c>
      <c r="L45" s="376">
        <f t="shared" si="2"/>
        <v>0</v>
      </c>
      <c r="M45" s="376">
        <f t="shared" si="2"/>
        <v>0</v>
      </c>
      <c r="N45" s="376">
        <f t="shared" si="2"/>
        <v>0</v>
      </c>
      <c r="O45" s="376">
        <f t="shared" si="2"/>
        <v>0</v>
      </c>
      <c r="P45" s="376">
        <f t="shared" si="2"/>
        <v>0</v>
      </c>
      <c r="Q45" s="376">
        <f t="shared" si="2"/>
        <v>0</v>
      </c>
      <c r="R45" s="346"/>
      <c r="S45" s="314"/>
      <c r="T45" s="12"/>
      <c r="U45" s="260" t="s">
        <v>128</v>
      </c>
      <c r="AA45" s="120" t="s">
        <v>30</v>
      </c>
      <c r="AB45" s="493"/>
      <c r="AC45" s="493"/>
      <c r="AD45" s="493"/>
      <c r="AE45" s="493"/>
      <c r="AF45" s="493"/>
      <c r="AG45" s="493"/>
      <c r="AH45" s="493"/>
      <c r="AI45" s="493"/>
      <c r="AJ45" s="494"/>
      <c r="AK45" s="493"/>
      <c r="AL45" s="493">
        <v>0.3</v>
      </c>
      <c r="AM45" s="493">
        <v>0.3</v>
      </c>
      <c r="AN45" s="493"/>
      <c r="AO45" s="493"/>
      <c r="AP45" s="493"/>
      <c r="AQ45" s="493"/>
      <c r="AR45" s="493"/>
      <c r="AS45" s="493"/>
      <c r="AT45" s="493"/>
      <c r="AU45" s="493"/>
      <c r="AV45" s="493"/>
      <c r="AW45" s="493"/>
      <c r="AX45" s="493"/>
      <c r="AY45" s="493"/>
      <c r="AZ45" s="493"/>
      <c r="BA45" s="493"/>
      <c r="BB45" s="493"/>
      <c r="BC45" s="494"/>
      <c r="BD45" s="494"/>
      <c r="BE45" s="494"/>
      <c r="BF45" s="242"/>
      <c r="BG45" s="242"/>
    </row>
    <row r="46" spans="3:59" s="11" customFormat="1" ht="15" customHeight="1">
      <c r="C46" s="260" t="s">
        <v>100</v>
      </c>
      <c r="D46" s="11" t="s">
        <v>42</v>
      </c>
      <c r="E46" s="119">
        <f>INDEX(G46:Q46,Model!$E$1279)</f>
        <v>0</v>
      </c>
      <c r="F46" s="120"/>
      <c r="G46" s="345">
        <f t="shared" si="3"/>
        <v>0</v>
      </c>
      <c r="H46" s="345">
        <f t="shared" si="3"/>
        <v>0</v>
      </c>
      <c r="I46" s="345">
        <f t="shared" si="2"/>
        <v>0</v>
      </c>
      <c r="J46" s="345">
        <f t="shared" si="2"/>
        <v>0</v>
      </c>
      <c r="K46" s="345">
        <f t="shared" si="2"/>
        <v>0</v>
      </c>
      <c r="L46" s="345">
        <f t="shared" si="2"/>
        <v>0</v>
      </c>
      <c r="M46" s="345">
        <f t="shared" si="2"/>
        <v>0</v>
      </c>
      <c r="N46" s="345">
        <f t="shared" si="2"/>
        <v>0</v>
      </c>
      <c r="O46" s="345">
        <f t="shared" si="2"/>
        <v>0</v>
      </c>
      <c r="P46" s="345">
        <f t="shared" si="2"/>
        <v>0</v>
      </c>
      <c r="Q46" s="345">
        <f t="shared" si="2"/>
        <v>0</v>
      </c>
      <c r="R46" s="346"/>
      <c r="S46" s="314"/>
      <c r="T46" s="12"/>
      <c r="U46" s="260" t="s">
        <v>101</v>
      </c>
      <c r="AA46" s="120" t="s">
        <v>42</v>
      </c>
      <c r="AB46" s="500"/>
      <c r="AC46" s="500"/>
      <c r="AD46" s="500"/>
      <c r="AE46" s="500"/>
      <c r="AF46" s="500"/>
      <c r="AG46" s="500"/>
      <c r="AH46" s="500"/>
      <c r="AI46" s="500"/>
      <c r="AJ46" s="500"/>
      <c r="AK46" s="500"/>
      <c r="AL46" s="495">
        <v>16</v>
      </c>
      <c r="AM46" s="495">
        <v>4</v>
      </c>
      <c r="AN46" s="500"/>
      <c r="AO46" s="500"/>
      <c r="AP46" s="500"/>
      <c r="AQ46" s="500"/>
      <c r="AR46" s="500"/>
      <c r="AS46" s="500"/>
      <c r="AT46" s="500"/>
      <c r="AU46" s="500"/>
      <c r="AV46" s="500"/>
      <c r="AW46" s="500"/>
      <c r="AX46" s="500"/>
      <c r="AY46" s="500"/>
      <c r="AZ46" s="500"/>
      <c r="BA46" s="500"/>
      <c r="BB46" s="500"/>
      <c r="BC46" s="500"/>
      <c r="BD46" s="500"/>
      <c r="BE46" s="500"/>
      <c r="BF46" s="280"/>
      <c r="BG46" s="280"/>
    </row>
    <row r="47" spans="3:59" s="11" customFormat="1" ht="15" customHeight="1">
      <c r="C47" s="260" t="s">
        <v>129</v>
      </c>
      <c r="D47" s="11" t="s">
        <v>111</v>
      </c>
      <c r="E47" s="119" t="str">
        <f>INDEX(G47:Q47,Model!$E$1279)</f>
        <v>deferred</v>
      </c>
      <c r="F47" s="120"/>
      <c r="G47" s="345" t="str">
        <f t="shared" si="3"/>
        <v>deferred</v>
      </c>
      <c r="H47" s="345" t="str">
        <f t="shared" si="3"/>
        <v>deferred</v>
      </c>
      <c r="I47" s="345" t="str">
        <f t="shared" si="2"/>
        <v>deferred</v>
      </c>
      <c r="J47" s="345" t="str">
        <f t="shared" si="2"/>
        <v>deferred</v>
      </c>
      <c r="K47" s="345" t="str">
        <f t="shared" si="2"/>
        <v>deferred</v>
      </c>
      <c r="L47" s="345" t="str">
        <f t="shared" si="2"/>
        <v>deferred</v>
      </c>
      <c r="M47" s="345" t="str">
        <f t="shared" si="2"/>
        <v>deferred</v>
      </c>
      <c r="N47" s="345" t="str">
        <f t="shared" si="2"/>
        <v>deferred</v>
      </c>
      <c r="O47" s="345" t="str">
        <f t="shared" si="2"/>
        <v>deferred</v>
      </c>
      <c r="P47" s="345" t="str">
        <f t="shared" si="2"/>
        <v>deferred</v>
      </c>
      <c r="Q47" s="345" t="str">
        <f t="shared" si="2"/>
        <v>deferred</v>
      </c>
      <c r="R47" s="346"/>
      <c r="S47" s="314"/>
      <c r="T47" s="12"/>
      <c r="U47" s="260" t="s">
        <v>129</v>
      </c>
      <c r="AA47" s="120" t="s">
        <v>111</v>
      </c>
      <c r="AB47" s="501" t="s">
        <v>130</v>
      </c>
      <c r="AC47" s="501" t="s">
        <v>130</v>
      </c>
      <c r="AD47" s="501" t="s">
        <v>130</v>
      </c>
      <c r="AE47" s="501" t="s">
        <v>130</v>
      </c>
      <c r="AF47" s="501" t="s">
        <v>130</v>
      </c>
      <c r="AG47" s="501" t="s">
        <v>130</v>
      </c>
      <c r="AH47" s="501" t="s">
        <v>130</v>
      </c>
      <c r="AI47" s="501" t="s">
        <v>130</v>
      </c>
      <c r="AJ47" s="502" t="s">
        <v>130</v>
      </c>
      <c r="AK47" s="501" t="s">
        <v>130</v>
      </c>
      <c r="AL47" s="501" t="s">
        <v>130</v>
      </c>
      <c r="AM47" s="501" t="s">
        <v>130</v>
      </c>
      <c r="AN47" s="501" t="s">
        <v>130</v>
      </c>
      <c r="AO47" s="501" t="s">
        <v>130</v>
      </c>
      <c r="AP47" s="501" t="s">
        <v>130</v>
      </c>
      <c r="AQ47" s="501" t="s">
        <v>130</v>
      </c>
      <c r="AR47" s="501" t="s">
        <v>130</v>
      </c>
      <c r="AS47" s="501" t="s">
        <v>130</v>
      </c>
      <c r="AT47" s="501" t="s">
        <v>130</v>
      </c>
      <c r="AU47" s="501" t="s">
        <v>130</v>
      </c>
      <c r="AV47" s="501" t="s">
        <v>130</v>
      </c>
      <c r="AW47" s="501" t="s">
        <v>130</v>
      </c>
      <c r="AX47" s="501"/>
      <c r="AY47" s="501" t="s">
        <v>130</v>
      </c>
      <c r="AZ47" s="501"/>
      <c r="BA47" s="501"/>
      <c r="BB47" s="501"/>
      <c r="BC47" s="502"/>
      <c r="BD47" s="502"/>
      <c r="BE47" s="502"/>
      <c r="BF47" s="324"/>
      <c r="BG47" s="324"/>
    </row>
    <row r="48" spans="3:59" s="11" customFormat="1" ht="15" customHeight="1">
      <c r="C48" s="260" t="s">
        <v>131</v>
      </c>
      <c r="D48" s="11" t="s">
        <v>111</v>
      </c>
      <c r="E48" s="119" t="str">
        <f>INDEX(G48:Q48,Model!$E$1279)</f>
        <v>deferred</v>
      </c>
      <c r="F48" s="120"/>
      <c r="G48" s="345" t="str">
        <f t="shared" si="3"/>
        <v>deferred</v>
      </c>
      <c r="H48" s="345" t="str">
        <f t="shared" si="3"/>
        <v>deferred</v>
      </c>
      <c r="I48" s="345" t="str">
        <f t="shared" si="2"/>
        <v>deferred</v>
      </c>
      <c r="J48" s="345" t="str">
        <f t="shared" si="2"/>
        <v>deferred</v>
      </c>
      <c r="K48" s="345" t="str">
        <f t="shared" si="2"/>
        <v>deferred</v>
      </c>
      <c r="L48" s="345" t="str">
        <f t="shared" si="2"/>
        <v>deferred</v>
      </c>
      <c r="M48" s="345" t="str">
        <f t="shared" si="2"/>
        <v>deferred</v>
      </c>
      <c r="N48" s="345" t="str">
        <f t="shared" si="2"/>
        <v>deferred</v>
      </c>
      <c r="O48" s="345" t="str">
        <f t="shared" si="2"/>
        <v>deferred</v>
      </c>
      <c r="P48" s="345" t="str">
        <f t="shared" si="2"/>
        <v>deferred</v>
      </c>
      <c r="Q48" s="345" t="str">
        <f t="shared" si="2"/>
        <v>deferred</v>
      </c>
      <c r="R48" s="346"/>
      <c r="S48" s="314"/>
      <c r="T48" s="12"/>
      <c r="U48" s="260" t="s">
        <v>131</v>
      </c>
      <c r="AA48" s="120" t="s">
        <v>111</v>
      </c>
      <c r="AB48" s="501" t="s">
        <v>130</v>
      </c>
      <c r="AC48" s="501" t="s">
        <v>130</v>
      </c>
      <c r="AD48" s="501" t="s">
        <v>130</v>
      </c>
      <c r="AE48" s="501" t="s">
        <v>130</v>
      </c>
      <c r="AF48" s="501" t="s">
        <v>130</v>
      </c>
      <c r="AG48" s="501" t="s">
        <v>130</v>
      </c>
      <c r="AH48" s="501" t="s">
        <v>130</v>
      </c>
      <c r="AI48" s="501" t="s">
        <v>130</v>
      </c>
      <c r="AJ48" s="502" t="s">
        <v>130</v>
      </c>
      <c r="AK48" s="501" t="s">
        <v>130</v>
      </c>
      <c r="AL48" s="501" t="s">
        <v>130</v>
      </c>
      <c r="AM48" s="501" t="s">
        <v>130</v>
      </c>
      <c r="AN48" s="501" t="s">
        <v>130</v>
      </c>
      <c r="AO48" s="501" t="s">
        <v>130</v>
      </c>
      <c r="AP48" s="501" t="s">
        <v>130</v>
      </c>
      <c r="AQ48" s="501" t="s">
        <v>130</v>
      </c>
      <c r="AR48" s="501" t="s">
        <v>130</v>
      </c>
      <c r="AS48" s="501" t="s">
        <v>130</v>
      </c>
      <c r="AT48" s="501" t="s">
        <v>130</v>
      </c>
      <c r="AU48" s="501" t="s">
        <v>130</v>
      </c>
      <c r="AV48" s="501" t="s">
        <v>130</v>
      </c>
      <c r="AW48" s="501" t="s">
        <v>130</v>
      </c>
      <c r="AX48" s="501"/>
      <c r="AY48" s="501" t="s">
        <v>130</v>
      </c>
      <c r="AZ48" s="501"/>
      <c r="BA48" s="501"/>
      <c r="BB48" s="501"/>
      <c r="BC48" s="502"/>
      <c r="BD48" s="502"/>
      <c r="BE48" s="502"/>
      <c r="BF48" s="324"/>
      <c r="BG48" s="324"/>
    </row>
    <row r="49" spans="2:59" s="11" customFormat="1" ht="15" customHeight="1">
      <c r="C49" s="260" t="s">
        <v>132</v>
      </c>
      <c r="D49" s="11" t="s">
        <v>111</v>
      </c>
      <c r="E49" s="119" t="str">
        <f>INDEX(G49:Q49,Model!$E$1279)</f>
        <v>deferred</v>
      </c>
      <c r="F49" s="120"/>
      <c r="G49" s="345" t="str">
        <f t="shared" si="3"/>
        <v>deferred</v>
      </c>
      <c r="H49" s="345" t="str">
        <f t="shared" si="3"/>
        <v>deferred</v>
      </c>
      <c r="I49" s="345" t="str">
        <f t="shared" si="2"/>
        <v>deferred</v>
      </c>
      <c r="J49" s="345" t="str">
        <f t="shared" si="2"/>
        <v>deferred</v>
      </c>
      <c r="K49" s="345" t="str">
        <f t="shared" si="2"/>
        <v>deferred</v>
      </c>
      <c r="L49" s="345" t="str">
        <f t="shared" si="2"/>
        <v>deferred</v>
      </c>
      <c r="M49" s="345" t="str">
        <f t="shared" si="2"/>
        <v>deferred</v>
      </c>
      <c r="N49" s="345" t="str">
        <f t="shared" si="2"/>
        <v>deferred</v>
      </c>
      <c r="O49" s="345" t="str">
        <f t="shared" si="2"/>
        <v>deferred</v>
      </c>
      <c r="P49" s="345" t="str">
        <f t="shared" si="2"/>
        <v>deferred</v>
      </c>
      <c r="Q49" s="345" t="str">
        <f t="shared" si="2"/>
        <v>deferred</v>
      </c>
      <c r="R49" s="346"/>
      <c r="S49" s="314"/>
      <c r="T49" s="12"/>
      <c r="U49" s="260" t="s">
        <v>132</v>
      </c>
      <c r="AA49" s="120" t="s">
        <v>111</v>
      </c>
      <c r="AB49" s="501" t="s">
        <v>130</v>
      </c>
      <c r="AC49" s="501" t="s">
        <v>130</v>
      </c>
      <c r="AD49" s="501" t="s">
        <v>130</v>
      </c>
      <c r="AE49" s="501" t="s">
        <v>130</v>
      </c>
      <c r="AF49" s="501" t="s">
        <v>130</v>
      </c>
      <c r="AG49" s="501" t="s">
        <v>130</v>
      </c>
      <c r="AH49" s="501" t="s">
        <v>130</v>
      </c>
      <c r="AI49" s="501" t="s">
        <v>130</v>
      </c>
      <c r="AJ49" s="502" t="s">
        <v>130</v>
      </c>
      <c r="AK49" s="501" t="s">
        <v>130</v>
      </c>
      <c r="AL49" s="501" t="s">
        <v>130</v>
      </c>
      <c r="AM49" s="501" t="s">
        <v>130</v>
      </c>
      <c r="AN49" s="501" t="s">
        <v>130</v>
      </c>
      <c r="AO49" s="501" t="s">
        <v>130</v>
      </c>
      <c r="AP49" s="501" t="s">
        <v>130</v>
      </c>
      <c r="AQ49" s="501" t="s">
        <v>130</v>
      </c>
      <c r="AR49" s="501" t="s">
        <v>130</v>
      </c>
      <c r="AS49" s="501" t="s">
        <v>130</v>
      </c>
      <c r="AT49" s="501" t="s">
        <v>130</v>
      </c>
      <c r="AU49" s="501" t="s">
        <v>130</v>
      </c>
      <c r="AV49" s="501" t="s">
        <v>130</v>
      </c>
      <c r="AW49" s="501" t="s">
        <v>130</v>
      </c>
      <c r="AX49" s="501"/>
      <c r="AY49" s="501" t="s">
        <v>130</v>
      </c>
      <c r="AZ49" s="501"/>
      <c r="BA49" s="501"/>
      <c r="BB49" s="501"/>
      <c r="BC49" s="502"/>
      <c r="BD49" s="502"/>
      <c r="BE49" s="502"/>
      <c r="BF49" s="324"/>
      <c r="BG49" s="324"/>
    </row>
    <row r="50" spans="2:59" s="11" customFormat="1" ht="15" customHeight="1">
      <c r="B50" s="120"/>
      <c r="C50" s="260" t="s">
        <v>133</v>
      </c>
      <c r="D50" s="11" t="s">
        <v>42</v>
      </c>
      <c r="E50" s="119">
        <f>INDEX(G50:Q50,Model!$E$1279)</f>
        <v>5</v>
      </c>
      <c r="F50" s="120"/>
      <c r="G50" s="345">
        <f t="shared" si="3"/>
        <v>5</v>
      </c>
      <c r="H50" s="345">
        <f t="shared" si="3"/>
        <v>5</v>
      </c>
      <c r="I50" s="345">
        <f t="shared" si="3"/>
        <v>10</v>
      </c>
      <c r="J50" s="345">
        <f t="shared" si="2"/>
        <v>1</v>
      </c>
      <c r="K50" s="345">
        <f t="shared" si="2"/>
        <v>0</v>
      </c>
      <c r="L50" s="345">
        <f t="shared" si="2"/>
        <v>10</v>
      </c>
      <c r="M50" s="345">
        <f t="shared" si="2"/>
        <v>5</v>
      </c>
      <c r="N50" s="345">
        <f t="shared" si="2"/>
        <v>1</v>
      </c>
      <c r="O50" s="345">
        <f t="shared" si="2"/>
        <v>16</v>
      </c>
      <c r="P50" s="345">
        <f t="shared" si="2"/>
        <v>10</v>
      </c>
      <c r="Q50" s="345">
        <f t="shared" si="2"/>
        <v>10</v>
      </c>
      <c r="R50" s="346"/>
      <c r="S50" s="314"/>
      <c r="T50" s="12"/>
      <c r="U50" s="260" t="s">
        <v>133</v>
      </c>
      <c r="AA50" s="120" t="s">
        <v>42</v>
      </c>
      <c r="AB50" s="503">
        <v>5</v>
      </c>
      <c r="AC50" s="503">
        <v>5</v>
      </c>
      <c r="AD50" s="503">
        <v>5</v>
      </c>
      <c r="AE50" s="504">
        <v>1</v>
      </c>
      <c r="AF50" s="503">
        <v>10</v>
      </c>
      <c r="AG50" s="503"/>
      <c r="AH50" s="503">
        <v>5</v>
      </c>
      <c r="AI50" s="503">
        <v>10</v>
      </c>
      <c r="AJ50" s="505">
        <v>5</v>
      </c>
      <c r="AK50" s="503">
        <v>5</v>
      </c>
      <c r="AL50" s="503"/>
      <c r="AM50" s="503"/>
      <c r="AN50" s="503"/>
      <c r="AO50" s="503">
        <v>1</v>
      </c>
      <c r="AP50" s="506">
        <v>4</v>
      </c>
      <c r="AQ50" s="503">
        <v>1</v>
      </c>
      <c r="AR50" s="503">
        <v>4</v>
      </c>
      <c r="AS50" s="507">
        <v>17</v>
      </c>
      <c r="AT50" s="503">
        <v>10</v>
      </c>
      <c r="AU50" s="504">
        <v>10</v>
      </c>
      <c r="AV50" s="503">
        <v>16</v>
      </c>
      <c r="AW50" s="503">
        <v>4</v>
      </c>
      <c r="AX50" s="503"/>
      <c r="AY50" s="503">
        <v>10</v>
      </c>
      <c r="AZ50" s="503"/>
      <c r="BA50" s="503"/>
      <c r="BB50" s="504"/>
      <c r="BC50" s="505"/>
      <c r="BD50" s="505"/>
      <c r="BE50" s="505"/>
      <c r="BF50" s="325"/>
      <c r="BG50" s="325"/>
    </row>
    <row r="51" spans="2:59" s="11" customFormat="1" ht="15" customHeight="1">
      <c r="B51" s="120"/>
      <c r="C51" s="260" t="s">
        <v>134</v>
      </c>
      <c r="D51" s="11" t="s">
        <v>111</v>
      </c>
      <c r="E51" s="119">
        <f>INDEX(G51:Q51,Model!$E$1279)</f>
        <v>0</v>
      </c>
      <c r="F51" s="120"/>
      <c r="G51" s="345">
        <f t="shared" si="3"/>
        <v>0</v>
      </c>
      <c r="H51" s="345">
        <f t="shared" si="3"/>
        <v>0</v>
      </c>
      <c r="I51" s="345">
        <f t="shared" si="3"/>
        <v>0</v>
      </c>
      <c r="J51" s="345">
        <f t="shared" si="2"/>
        <v>0</v>
      </c>
      <c r="K51" s="345">
        <f t="shared" si="2"/>
        <v>1</v>
      </c>
      <c r="L51" s="345">
        <f t="shared" si="2"/>
        <v>0</v>
      </c>
      <c r="M51" s="345">
        <f t="shared" si="2"/>
        <v>0</v>
      </c>
      <c r="N51" s="345">
        <f t="shared" si="2"/>
        <v>0</v>
      </c>
      <c r="O51" s="345">
        <f t="shared" si="2"/>
        <v>0</v>
      </c>
      <c r="P51" s="345">
        <f t="shared" si="2"/>
        <v>0</v>
      </c>
      <c r="Q51" s="345">
        <f t="shared" si="2"/>
        <v>0</v>
      </c>
      <c r="R51" s="346"/>
      <c r="S51" s="314"/>
      <c r="T51" s="12"/>
      <c r="U51" s="260" t="s">
        <v>134</v>
      </c>
      <c r="AA51" s="120" t="s">
        <v>111</v>
      </c>
      <c r="AB51" s="507">
        <v>0</v>
      </c>
      <c r="AC51" s="507">
        <v>0</v>
      </c>
      <c r="AD51" s="507">
        <v>0</v>
      </c>
      <c r="AE51" s="503">
        <v>0</v>
      </c>
      <c r="AF51" s="507">
        <v>0</v>
      </c>
      <c r="AG51" s="503">
        <v>1</v>
      </c>
      <c r="AH51" s="503">
        <v>0</v>
      </c>
      <c r="AI51" s="503">
        <v>0</v>
      </c>
      <c r="AJ51" s="508">
        <v>0</v>
      </c>
      <c r="AK51" s="503">
        <v>0</v>
      </c>
      <c r="AL51" s="503">
        <v>1</v>
      </c>
      <c r="AM51" s="503">
        <v>1</v>
      </c>
      <c r="AN51" s="503">
        <v>1</v>
      </c>
      <c r="AO51" s="507">
        <v>0</v>
      </c>
      <c r="AP51" s="507">
        <v>0</v>
      </c>
      <c r="AQ51" s="507">
        <v>0</v>
      </c>
      <c r="AR51" s="507">
        <v>0</v>
      </c>
      <c r="AS51" s="507">
        <v>0</v>
      </c>
      <c r="AT51" s="507">
        <v>0</v>
      </c>
      <c r="AU51" s="503">
        <v>0</v>
      </c>
      <c r="AV51" s="507">
        <v>0</v>
      </c>
      <c r="AW51" s="507">
        <v>0</v>
      </c>
      <c r="AX51" s="507"/>
      <c r="AY51" s="507">
        <v>0</v>
      </c>
      <c r="AZ51" s="507"/>
      <c r="BA51" s="507"/>
      <c r="BB51" s="503"/>
      <c r="BC51" s="508"/>
      <c r="BD51" s="508"/>
      <c r="BE51" s="508"/>
      <c r="BF51" s="326"/>
      <c r="BG51" s="326"/>
    </row>
    <row r="52" spans="2:59" s="11" customFormat="1" ht="15" customHeight="1">
      <c r="B52" s="120"/>
      <c r="C52" s="260" t="s">
        <v>135</v>
      </c>
      <c r="D52" s="11" t="s">
        <v>30</v>
      </c>
      <c r="E52" s="104">
        <f>INDEX(G52:Q52,Model!$E$1279)</f>
        <v>0</v>
      </c>
      <c r="F52" s="120"/>
      <c r="G52" s="349">
        <f t="shared" si="3"/>
        <v>0</v>
      </c>
      <c r="H52" s="349">
        <f t="shared" si="3"/>
        <v>0</v>
      </c>
      <c r="I52" s="349">
        <f t="shared" si="3"/>
        <v>0</v>
      </c>
      <c r="J52" s="349">
        <f t="shared" si="3"/>
        <v>0.15</v>
      </c>
      <c r="K52" s="349">
        <f t="shared" si="3"/>
        <v>0</v>
      </c>
      <c r="L52" s="349">
        <f t="shared" si="3"/>
        <v>0</v>
      </c>
      <c r="M52" s="349">
        <f t="shared" si="3"/>
        <v>0</v>
      </c>
      <c r="N52" s="349">
        <f t="shared" si="3"/>
        <v>0</v>
      </c>
      <c r="O52" s="349">
        <f t="shared" si="3"/>
        <v>0</v>
      </c>
      <c r="P52" s="349">
        <f t="shared" si="3"/>
        <v>0</v>
      </c>
      <c r="Q52" s="349">
        <f t="shared" si="3"/>
        <v>0</v>
      </c>
      <c r="R52" s="346"/>
      <c r="S52" s="314"/>
      <c r="T52" s="12"/>
      <c r="U52" s="260" t="s">
        <v>135</v>
      </c>
      <c r="AA52" s="120"/>
      <c r="AB52" s="507"/>
      <c r="AC52" s="507"/>
      <c r="AD52" s="507"/>
      <c r="AE52" s="509">
        <v>0.15</v>
      </c>
      <c r="AF52" s="507"/>
      <c r="AG52" s="503"/>
      <c r="AH52" s="503"/>
      <c r="AI52" s="503"/>
      <c r="AJ52" s="508"/>
      <c r="AK52" s="503"/>
      <c r="AL52" s="503"/>
      <c r="AM52" s="503"/>
      <c r="AN52" s="503"/>
      <c r="AO52" s="507"/>
      <c r="AP52" s="507"/>
      <c r="AQ52" s="507"/>
      <c r="AR52" s="507"/>
      <c r="AS52" s="507"/>
      <c r="AT52" s="507"/>
      <c r="AU52" s="503"/>
      <c r="AV52" s="507"/>
      <c r="AW52" s="507"/>
      <c r="AX52" s="507"/>
      <c r="AY52" s="507"/>
      <c r="AZ52" s="507"/>
      <c r="BA52" s="507"/>
      <c r="BB52" s="503"/>
      <c r="BC52" s="508"/>
      <c r="BD52" s="508"/>
      <c r="BE52" s="508"/>
      <c r="BF52" s="326"/>
      <c r="BG52" s="326"/>
    </row>
    <row r="53" spans="2:59" s="11" customFormat="1" ht="15" customHeight="1">
      <c r="B53" s="120"/>
      <c r="C53" s="260" t="s">
        <v>136</v>
      </c>
      <c r="D53" s="11" t="s">
        <v>42</v>
      </c>
      <c r="E53" s="119">
        <f>INDEX(G53:Q53,Model!$E$1279)</f>
        <v>5</v>
      </c>
      <c r="F53" s="120"/>
      <c r="G53" s="345">
        <f t="shared" si="3"/>
        <v>5</v>
      </c>
      <c r="H53" s="345">
        <f t="shared" si="3"/>
        <v>5</v>
      </c>
      <c r="I53" s="345">
        <f t="shared" si="3"/>
        <v>10</v>
      </c>
      <c r="J53" s="345">
        <f t="shared" si="2"/>
        <v>5</v>
      </c>
      <c r="K53" s="345">
        <f t="shared" si="2"/>
        <v>0</v>
      </c>
      <c r="L53" s="345">
        <f t="shared" si="2"/>
        <v>10</v>
      </c>
      <c r="M53" s="345">
        <f t="shared" si="2"/>
        <v>5</v>
      </c>
      <c r="N53" s="345">
        <f t="shared" si="2"/>
        <v>1</v>
      </c>
      <c r="O53" s="345">
        <f t="shared" si="2"/>
        <v>16</v>
      </c>
      <c r="P53" s="345">
        <f t="shared" si="2"/>
        <v>10</v>
      </c>
      <c r="Q53" s="345">
        <f t="shared" si="2"/>
        <v>10</v>
      </c>
      <c r="R53" s="346"/>
      <c r="S53" s="314"/>
      <c r="T53" s="12"/>
      <c r="U53" s="260" t="s">
        <v>136</v>
      </c>
      <c r="AA53" s="120" t="s">
        <v>42</v>
      </c>
      <c r="AB53" s="503">
        <v>5</v>
      </c>
      <c r="AC53" s="503">
        <v>5</v>
      </c>
      <c r="AD53" s="503">
        <v>5</v>
      </c>
      <c r="AE53" s="504">
        <v>5</v>
      </c>
      <c r="AF53" s="503">
        <v>10</v>
      </c>
      <c r="AG53" s="503"/>
      <c r="AH53" s="503">
        <v>5</v>
      </c>
      <c r="AI53" s="503">
        <v>10</v>
      </c>
      <c r="AJ53" s="505">
        <v>5</v>
      </c>
      <c r="AK53" s="503">
        <v>5</v>
      </c>
      <c r="AL53" s="503"/>
      <c r="AM53" s="503"/>
      <c r="AN53" s="503"/>
      <c r="AO53" s="503">
        <v>1</v>
      </c>
      <c r="AP53" s="506">
        <v>4</v>
      </c>
      <c r="AQ53" s="503">
        <v>1</v>
      </c>
      <c r="AR53" s="503">
        <v>4</v>
      </c>
      <c r="AS53" s="507">
        <v>17</v>
      </c>
      <c r="AT53" s="503">
        <v>10</v>
      </c>
      <c r="AU53" s="504">
        <v>10</v>
      </c>
      <c r="AV53" s="503">
        <v>16</v>
      </c>
      <c r="AW53" s="503">
        <v>4</v>
      </c>
      <c r="AX53" s="503"/>
      <c r="AY53" s="503">
        <v>10</v>
      </c>
      <c r="AZ53" s="503"/>
      <c r="BA53" s="503"/>
      <c r="BB53" s="504"/>
      <c r="BC53" s="505"/>
      <c r="BD53" s="505"/>
      <c r="BE53" s="505"/>
      <c r="BF53" s="325"/>
      <c r="BG53" s="325"/>
    </row>
    <row r="54" spans="2:59" s="11" customFormat="1" ht="15" customHeight="1">
      <c r="B54" s="120"/>
      <c r="C54" s="260" t="s">
        <v>137</v>
      </c>
      <c r="D54" s="11" t="s">
        <v>111</v>
      </c>
      <c r="E54" s="119">
        <f>INDEX(G54:Q54,Model!$E$1279)</f>
        <v>0</v>
      </c>
      <c r="F54" s="120"/>
      <c r="G54" s="345">
        <f t="shared" si="3"/>
        <v>0</v>
      </c>
      <c r="H54" s="345">
        <f t="shared" si="3"/>
        <v>0</v>
      </c>
      <c r="I54" s="345">
        <f t="shared" si="3"/>
        <v>0</v>
      </c>
      <c r="J54" s="345">
        <f t="shared" si="2"/>
        <v>0</v>
      </c>
      <c r="K54" s="345">
        <f t="shared" si="2"/>
        <v>1</v>
      </c>
      <c r="L54" s="345">
        <f t="shared" si="2"/>
        <v>0</v>
      </c>
      <c r="M54" s="345">
        <f t="shared" si="2"/>
        <v>0</v>
      </c>
      <c r="N54" s="345">
        <f t="shared" si="2"/>
        <v>0</v>
      </c>
      <c r="O54" s="345">
        <f t="shared" si="2"/>
        <v>0</v>
      </c>
      <c r="P54" s="345">
        <f t="shared" si="2"/>
        <v>0</v>
      </c>
      <c r="Q54" s="345">
        <f t="shared" si="2"/>
        <v>0</v>
      </c>
      <c r="R54" s="346"/>
      <c r="S54" s="314"/>
      <c r="T54" s="12"/>
      <c r="U54" s="260" t="s">
        <v>137</v>
      </c>
      <c r="AA54" s="120" t="s">
        <v>111</v>
      </c>
      <c r="AB54" s="507">
        <v>0</v>
      </c>
      <c r="AC54" s="507">
        <v>0</v>
      </c>
      <c r="AD54" s="507">
        <v>0</v>
      </c>
      <c r="AE54" s="503">
        <v>0</v>
      </c>
      <c r="AF54" s="507">
        <v>0</v>
      </c>
      <c r="AG54" s="503">
        <v>1</v>
      </c>
      <c r="AH54" s="503">
        <v>0</v>
      </c>
      <c r="AI54" s="503">
        <v>0</v>
      </c>
      <c r="AJ54" s="508">
        <v>0</v>
      </c>
      <c r="AK54" s="503">
        <v>0</v>
      </c>
      <c r="AL54" s="503">
        <v>1</v>
      </c>
      <c r="AM54" s="503">
        <v>1</v>
      </c>
      <c r="AN54" s="503">
        <v>1</v>
      </c>
      <c r="AO54" s="507">
        <v>0</v>
      </c>
      <c r="AP54" s="507">
        <v>0</v>
      </c>
      <c r="AQ54" s="507">
        <v>0</v>
      </c>
      <c r="AR54" s="507">
        <v>0</v>
      </c>
      <c r="AS54" s="507">
        <v>0</v>
      </c>
      <c r="AT54" s="507">
        <v>0</v>
      </c>
      <c r="AU54" s="503">
        <v>0</v>
      </c>
      <c r="AV54" s="507">
        <v>0</v>
      </c>
      <c r="AW54" s="507">
        <v>0</v>
      </c>
      <c r="AX54" s="507"/>
      <c r="AY54" s="507">
        <v>0</v>
      </c>
      <c r="AZ54" s="507"/>
      <c r="BA54" s="507"/>
      <c r="BB54" s="503"/>
      <c r="BC54" s="508"/>
      <c r="BD54" s="508"/>
      <c r="BE54" s="508"/>
      <c r="BF54" s="326"/>
      <c r="BG54" s="326"/>
    </row>
    <row r="55" spans="2:59" s="11" customFormat="1" ht="15" customHeight="1">
      <c r="B55" s="120"/>
      <c r="C55" s="260" t="s">
        <v>138</v>
      </c>
      <c r="D55" s="11" t="s">
        <v>30</v>
      </c>
      <c r="E55" s="104">
        <f>INDEX(G55:Q55,Model!$E$1279)</f>
        <v>0</v>
      </c>
      <c r="F55" s="120"/>
      <c r="G55" s="349">
        <f t="shared" si="3"/>
        <v>0</v>
      </c>
      <c r="H55" s="349">
        <f t="shared" si="3"/>
        <v>0</v>
      </c>
      <c r="I55" s="349">
        <f t="shared" si="3"/>
        <v>0</v>
      </c>
      <c r="J55" s="349">
        <f t="shared" si="2"/>
        <v>0.2</v>
      </c>
      <c r="K55" s="349">
        <f t="shared" ref="K55:Q55" si="4">INDEX($AB55:$BE55,K$16)</f>
        <v>0</v>
      </c>
      <c r="L55" s="349">
        <f t="shared" si="4"/>
        <v>0</v>
      </c>
      <c r="M55" s="349">
        <f t="shared" si="4"/>
        <v>0</v>
      </c>
      <c r="N55" s="349">
        <f t="shared" si="4"/>
        <v>0</v>
      </c>
      <c r="O55" s="349">
        <f t="shared" si="4"/>
        <v>0</v>
      </c>
      <c r="P55" s="349">
        <f t="shared" si="4"/>
        <v>0</v>
      </c>
      <c r="Q55" s="349">
        <f t="shared" si="4"/>
        <v>0</v>
      </c>
      <c r="R55" s="346"/>
      <c r="S55" s="314"/>
      <c r="T55" s="12"/>
      <c r="U55" s="260" t="s">
        <v>138</v>
      </c>
      <c r="AA55" s="120" t="s">
        <v>30</v>
      </c>
      <c r="AB55" s="507"/>
      <c r="AC55" s="507"/>
      <c r="AD55" s="507"/>
      <c r="AE55" s="509">
        <v>0.2</v>
      </c>
      <c r="AF55" s="507"/>
      <c r="AG55" s="503"/>
      <c r="AH55" s="503"/>
      <c r="AI55" s="503"/>
      <c r="AJ55" s="508"/>
      <c r="AK55" s="503"/>
      <c r="AL55" s="503"/>
      <c r="AM55" s="503"/>
      <c r="AN55" s="503"/>
      <c r="AO55" s="507"/>
      <c r="AP55" s="507"/>
      <c r="AQ55" s="507"/>
      <c r="AR55" s="507"/>
      <c r="AS55" s="507"/>
      <c r="AT55" s="507"/>
      <c r="AU55" s="503"/>
      <c r="AV55" s="507"/>
      <c r="AW55" s="507"/>
      <c r="AX55" s="507"/>
      <c r="AY55" s="507"/>
      <c r="AZ55" s="507"/>
      <c r="BA55" s="507"/>
      <c r="BB55" s="503"/>
      <c r="BC55" s="508"/>
      <c r="BD55" s="508"/>
      <c r="BE55" s="508"/>
      <c r="BF55" s="326"/>
      <c r="BG55" s="326"/>
    </row>
    <row r="56" spans="2:59" s="11" customFormat="1" ht="15" customHeight="1">
      <c r="B56" s="120"/>
      <c r="C56" s="260" t="s">
        <v>139</v>
      </c>
      <c r="D56" s="11" t="s">
        <v>111</v>
      </c>
      <c r="E56" s="119">
        <f>INDEX(G56:Q56,Model!$E$1279)</f>
        <v>1</v>
      </c>
      <c r="F56" s="120"/>
      <c r="G56" s="353">
        <f t="shared" si="3"/>
        <v>1</v>
      </c>
      <c r="H56" s="353">
        <f t="shared" si="3"/>
        <v>1</v>
      </c>
      <c r="I56" s="353">
        <f t="shared" si="2"/>
        <v>1</v>
      </c>
      <c r="J56" s="353">
        <f t="shared" si="2"/>
        <v>1</v>
      </c>
      <c r="K56" s="353">
        <f t="shared" si="2"/>
        <v>1</v>
      </c>
      <c r="L56" s="353">
        <f t="shared" si="2"/>
        <v>1</v>
      </c>
      <c r="M56" s="353">
        <f t="shared" si="2"/>
        <v>1</v>
      </c>
      <c r="N56" s="353">
        <f t="shared" si="2"/>
        <v>1</v>
      </c>
      <c r="O56" s="353">
        <f t="shared" si="2"/>
        <v>1</v>
      </c>
      <c r="P56" s="353">
        <f t="shared" si="2"/>
        <v>1</v>
      </c>
      <c r="Q56" s="353">
        <f t="shared" si="2"/>
        <v>1</v>
      </c>
      <c r="R56" s="346"/>
      <c r="S56" s="314"/>
      <c r="T56" s="12"/>
      <c r="U56" s="260" t="s">
        <v>139</v>
      </c>
      <c r="AA56" s="120" t="s">
        <v>111</v>
      </c>
      <c r="AB56" s="507">
        <v>1</v>
      </c>
      <c r="AC56" s="507">
        <v>1</v>
      </c>
      <c r="AD56" s="507">
        <v>1</v>
      </c>
      <c r="AE56" s="507">
        <v>1</v>
      </c>
      <c r="AF56" s="507">
        <v>1</v>
      </c>
      <c r="AG56" s="507">
        <v>1</v>
      </c>
      <c r="AH56" s="507">
        <v>1</v>
      </c>
      <c r="AI56" s="507">
        <v>1</v>
      </c>
      <c r="AJ56" s="508">
        <v>1</v>
      </c>
      <c r="AK56" s="507">
        <v>1</v>
      </c>
      <c r="AL56" s="507">
        <v>1</v>
      </c>
      <c r="AM56" s="507">
        <v>1</v>
      </c>
      <c r="AN56" s="507">
        <v>1</v>
      </c>
      <c r="AO56" s="507">
        <v>1</v>
      </c>
      <c r="AP56" s="507">
        <v>1</v>
      </c>
      <c r="AQ56" s="507">
        <v>2</v>
      </c>
      <c r="AR56" s="507">
        <v>2</v>
      </c>
      <c r="AS56" s="507">
        <v>1</v>
      </c>
      <c r="AT56" s="507">
        <v>1</v>
      </c>
      <c r="AU56" s="507">
        <v>1</v>
      </c>
      <c r="AV56" s="507">
        <v>1</v>
      </c>
      <c r="AW56" s="507">
        <v>1</v>
      </c>
      <c r="AX56" s="507">
        <v>1</v>
      </c>
      <c r="AY56" s="507">
        <v>1</v>
      </c>
      <c r="AZ56" s="507"/>
      <c r="BA56" s="507"/>
      <c r="BB56" s="507"/>
      <c r="BC56" s="508"/>
      <c r="BD56" s="508"/>
      <c r="BE56" s="508"/>
      <c r="BF56" s="326"/>
      <c r="BG56" s="326"/>
    </row>
    <row r="57" spans="2:59" s="11" customFormat="1" ht="15" customHeight="1">
      <c r="B57" s="120"/>
      <c r="C57" s="260" t="s">
        <v>140</v>
      </c>
      <c r="D57" s="11" t="s">
        <v>111</v>
      </c>
      <c r="E57" s="119">
        <f>INDEX(G57:Q57,Model!$E$1279)</f>
        <v>1</v>
      </c>
      <c r="F57" s="120"/>
      <c r="G57" s="353">
        <f t="shared" si="3"/>
        <v>1</v>
      </c>
      <c r="H57" s="353">
        <f t="shared" si="3"/>
        <v>2</v>
      </c>
      <c r="I57" s="353">
        <f t="shared" si="3"/>
        <v>1</v>
      </c>
      <c r="J57" s="353">
        <f t="shared" si="2"/>
        <v>1</v>
      </c>
      <c r="K57" s="353">
        <f t="shared" si="2"/>
        <v>1</v>
      </c>
      <c r="L57" s="353">
        <f t="shared" si="2"/>
        <v>1</v>
      </c>
      <c r="M57" s="353">
        <f t="shared" ref="M57:Q57" si="5">INDEX($AB57:$BE57,M$16)</f>
        <v>1</v>
      </c>
      <c r="N57" s="353">
        <f t="shared" si="5"/>
        <v>1</v>
      </c>
      <c r="O57" s="353">
        <f t="shared" si="5"/>
        <v>1</v>
      </c>
      <c r="P57" s="353">
        <f t="shared" si="5"/>
        <v>1</v>
      </c>
      <c r="Q57" s="353">
        <f t="shared" si="5"/>
        <v>1</v>
      </c>
      <c r="R57" s="346"/>
      <c r="S57" s="314"/>
      <c r="T57" s="12"/>
      <c r="U57" s="260" t="s">
        <v>140</v>
      </c>
      <c r="AA57" s="120" t="s">
        <v>111</v>
      </c>
      <c r="AB57" s="507">
        <v>1</v>
      </c>
      <c r="AC57" s="507">
        <v>2</v>
      </c>
      <c r="AD57" s="507">
        <v>2</v>
      </c>
      <c r="AE57" s="507">
        <v>1</v>
      </c>
      <c r="AF57" s="507">
        <v>1</v>
      </c>
      <c r="AG57" s="507">
        <v>1</v>
      </c>
      <c r="AH57" s="507">
        <v>1</v>
      </c>
      <c r="AI57" s="507">
        <v>1</v>
      </c>
      <c r="AJ57" s="508">
        <v>1</v>
      </c>
      <c r="AK57" s="507">
        <v>1</v>
      </c>
      <c r="AL57" s="507">
        <v>1</v>
      </c>
      <c r="AM57" s="507">
        <v>1</v>
      </c>
      <c r="AN57" s="507">
        <v>1</v>
      </c>
      <c r="AO57" s="507">
        <v>1</v>
      </c>
      <c r="AP57" s="507">
        <v>1</v>
      </c>
      <c r="AQ57" s="507">
        <v>1</v>
      </c>
      <c r="AR57" s="507">
        <v>1</v>
      </c>
      <c r="AS57" s="507">
        <v>1</v>
      </c>
      <c r="AT57" s="507">
        <v>1</v>
      </c>
      <c r="AU57" s="507">
        <v>1</v>
      </c>
      <c r="AV57" s="507">
        <v>1</v>
      </c>
      <c r="AW57" s="507">
        <v>1</v>
      </c>
      <c r="AX57" s="507">
        <v>1</v>
      </c>
      <c r="AY57" s="507">
        <v>1</v>
      </c>
      <c r="AZ57" s="507"/>
      <c r="BA57" s="507"/>
      <c r="BB57" s="507"/>
      <c r="BC57" s="508"/>
      <c r="BD57" s="508"/>
      <c r="BE57" s="508"/>
      <c r="BF57" s="326"/>
      <c r="BG57" s="326"/>
    </row>
    <row r="58" spans="2:59" s="11" customFormat="1" ht="15" customHeight="1">
      <c r="B58" s="120"/>
      <c r="C58" s="375" t="s">
        <v>141</v>
      </c>
      <c r="D58" s="11" t="s">
        <v>42</v>
      </c>
      <c r="E58" s="119">
        <f>INDEX(G58:Q58,Model!$E$1279)</f>
        <v>100</v>
      </c>
      <c r="F58" s="120"/>
      <c r="G58" s="345">
        <f t="shared" si="3"/>
        <v>100</v>
      </c>
      <c r="H58" s="345">
        <f t="shared" si="3"/>
        <v>100</v>
      </c>
      <c r="I58" s="345">
        <f t="shared" si="2"/>
        <v>5</v>
      </c>
      <c r="J58" s="345">
        <f t="shared" si="2"/>
        <v>5</v>
      </c>
      <c r="K58" s="345">
        <f t="shared" si="2"/>
        <v>100</v>
      </c>
      <c r="L58" s="345">
        <f t="shared" si="2"/>
        <v>5</v>
      </c>
      <c r="M58" s="345">
        <f t="shared" si="2"/>
        <v>5</v>
      </c>
      <c r="N58" s="345">
        <f t="shared" si="2"/>
        <v>100</v>
      </c>
      <c r="O58" s="345">
        <f t="shared" si="2"/>
        <v>5</v>
      </c>
      <c r="P58" s="345">
        <f t="shared" si="2"/>
        <v>4</v>
      </c>
      <c r="Q58" s="345">
        <f t="shared" si="2"/>
        <v>100</v>
      </c>
      <c r="R58" s="346"/>
      <c r="S58" s="314"/>
      <c r="T58" s="12"/>
      <c r="U58" s="375" t="s">
        <v>141</v>
      </c>
      <c r="V58" s="375"/>
      <c r="W58" s="132"/>
      <c r="Y58" s="132"/>
      <c r="AA58" s="285" t="s">
        <v>42</v>
      </c>
      <c r="AB58" s="503">
        <v>100</v>
      </c>
      <c r="AC58" s="503">
        <v>100</v>
      </c>
      <c r="AD58" s="503">
        <v>100</v>
      </c>
      <c r="AE58" s="503">
        <v>5</v>
      </c>
      <c r="AF58" s="503">
        <v>5</v>
      </c>
      <c r="AG58" s="503">
        <v>100</v>
      </c>
      <c r="AH58" s="503">
        <v>100</v>
      </c>
      <c r="AI58" s="503">
        <v>5</v>
      </c>
      <c r="AJ58" s="505">
        <v>5</v>
      </c>
      <c r="AK58" s="503">
        <v>100</v>
      </c>
      <c r="AL58" s="503">
        <v>100</v>
      </c>
      <c r="AM58" s="503">
        <v>100</v>
      </c>
      <c r="AN58" s="503">
        <v>3</v>
      </c>
      <c r="AO58" s="503">
        <v>100</v>
      </c>
      <c r="AP58" s="506">
        <v>10</v>
      </c>
      <c r="AQ58" s="503">
        <v>100</v>
      </c>
      <c r="AR58" s="503">
        <v>100</v>
      </c>
      <c r="AS58" s="503">
        <v>100</v>
      </c>
      <c r="AT58" s="503">
        <v>100</v>
      </c>
      <c r="AU58" s="503">
        <v>4</v>
      </c>
      <c r="AV58" s="503">
        <v>5</v>
      </c>
      <c r="AW58" s="503">
        <v>10</v>
      </c>
      <c r="AX58" s="503"/>
      <c r="AY58" s="503">
        <v>100</v>
      </c>
      <c r="AZ58" s="503"/>
      <c r="BA58" s="503"/>
      <c r="BB58" s="503"/>
      <c r="BC58" s="505"/>
      <c r="BD58" s="505"/>
      <c r="BE58" s="505"/>
      <c r="BF58" s="325"/>
      <c r="BG58" s="325"/>
    </row>
    <row r="59" spans="2:59" s="11" customFormat="1" ht="15" customHeight="1">
      <c r="B59" s="120"/>
      <c r="C59" s="375" t="s">
        <v>142</v>
      </c>
      <c r="D59" s="11" t="s">
        <v>30</v>
      </c>
      <c r="E59" s="104">
        <f>INDEX(G59:Q59,Model!$E$1279)</f>
        <v>0.7</v>
      </c>
      <c r="F59" s="120"/>
      <c r="G59" s="349">
        <f t="shared" si="3"/>
        <v>0.7</v>
      </c>
      <c r="H59" s="349">
        <f t="shared" si="3"/>
        <v>0.7</v>
      </c>
      <c r="I59" s="349">
        <f t="shared" si="2"/>
        <v>0.25</v>
      </c>
      <c r="J59" s="349">
        <f t="shared" si="2"/>
        <v>1</v>
      </c>
      <c r="K59" s="349">
        <f t="shared" si="2"/>
        <v>1</v>
      </c>
      <c r="L59" s="349">
        <f t="shared" si="2"/>
        <v>1</v>
      </c>
      <c r="M59" s="349">
        <f t="shared" si="2"/>
        <v>1</v>
      </c>
      <c r="N59" s="349">
        <f t="shared" si="2"/>
        <v>1</v>
      </c>
      <c r="O59" s="349">
        <f t="shared" si="2"/>
        <v>1</v>
      </c>
      <c r="P59" s="349">
        <f t="shared" si="2"/>
        <v>1</v>
      </c>
      <c r="Q59" s="349">
        <f t="shared" si="2"/>
        <v>1</v>
      </c>
      <c r="R59" s="346"/>
      <c r="S59" s="314"/>
      <c r="T59" s="12"/>
      <c r="U59" s="375" t="s">
        <v>142</v>
      </c>
      <c r="V59" s="375"/>
      <c r="W59" s="132"/>
      <c r="Y59" s="132"/>
      <c r="AA59" s="285" t="s">
        <v>30</v>
      </c>
      <c r="AB59" s="497">
        <v>0.7</v>
      </c>
      <c r="AC59" s="497">
        <v>0.7</v>
      </c>
      <c r="AD59" s="497">
        <v>0.7</v>
      </c>
      <c r="AE59" s="497">
        <v>1</v>
      </c>
      <c r="AF59" s="497">
        <v>0.25</v>
      </c>
      <c r="AG59" s="497">
        <v>1</v>
      </c>
      <c r="AH59" s="497">
        <v>1</v>
      </c>
      <c r="AI59" s="497">
        <v>1</v>
      </c>
      <c r="AJ59" s="499">
        <v>1</v>
      </c>
      <c r="AK59" s="497">
        <v>1</v>
      </c>
      <c r="AL59" s="497">
        <v>1</v>
      </c>
      <c r="AM59" s="497">
        <v>1</v>
      </c>
      <c r="AN59" s="497">
        <v>1</v>
      </c>
      <c r="AO59" s="497">
        <v>1</v>
      </c>
      <c r="AP59" s="497">
        <v>0.5</v>
      </c>
      <c r="AQ59" s="497">
        <v>1</v>
      </c>
      <c r="AR59" s="497">
        <v>1</v>
      </c>
      <c r="AS59" s="497">
        <v>0.3</v>
      </c>
      <c r="AT59" s="497">
        <v>1</v>
      </c>
      <c r="AU59" s="497">
        <v>1</v>
      </c>
      <c r="AV59" s="497">
        <v>1</v>
      </c>
      <c r="AW59" s="497">
        <v>1</v>
      </c>
      <c r="AX59" s="497"/>
      <c r="AY59" s="497">
        <v>1</v>
      </c>
      <c r="AZ59" s="497"/>
      <c r="BA59" s="497"/>
      <c r="BB59" s="497"/>
      <c r="BC59" s="499"/>
      <c r="BD59" s="499"/>
      <c r="BE59" s="499"/>
      <c r="BF59" s="242"/>
      <c r="BG59" s="242"/>
    </row>
    <row r="60" spans="2:59" s="11" customFormat="1" ht="15" customHeight="1">
      <c r="B60" s="120"/>
      <c r="C60" s="177" t="s">
        <v>143</v>
      </c>
      <c r="D60" s="166" t="s">
        <v>111</v>
      </c>
      <c r="E60" s="225">
        <f>INDEX(G60:Q60,Model!$E$1279)</f>
        <v>0</v>
      </c>
      <c r="F60" s="180"/>
      <c r="G60" s="345">
        <f t="shared" ref="G60:Q62" si="6">INDEX($AB60:$BE60,G$16)</f>
        <v>0</v>
      </c>
      <c r="H60" s="345">
        <f t="shared" si="6"/>
        <v>0</v>
      </c>
      <c r="I60" s="345">
        <f t="shared" si="6"/>
        <v>0</v>
      </c>
      <c r="J60" s="345">
        <f t="shared" si="6"/>
        <v>0</v>
      </c>
      <c r="K60" s="345">
        <f t="shared" si="6"/>
        <v>0</v>
      </c>
      <c r="L60" s="345">
        <f t="shared" si="6"/>
        <v>0</v>
      </c>
      <c r="M60" s="345">
        <f t="shared" si="6"/>
        <v>0</v>
      </c>
      <c r="N60" s="345">
        <f t="shared" si="6"/>
        <v>1</v>
      </c>
      <c r="O60" s="345">
        <f t="shared" si="6"/>
        <v>0</v>
      </c>
      <c r="P60" s="345">
        <f t="shared" si="6"/>
        <v>0</v>
      </c>
      <c r="Q60" s="345">
        <f t="shared" si="6"/>
        <v>0</v>
      </c>
      <c r="R60" s="346"/>
      <c r="S60" s="314"/>
      <c r="T60" s="12"/>
      <c r="U60" s="177" t="s">
        <v>143</v>
      </c>
      <c r="V60" s="166"/>
      <c r="W60" s="166"/>
      <c r="X60" s="166"/>
      <c r="Y60" s="166"/>
      <c r="Z60" s="166"/>
      <c r="AA60" s="180" t="s">
        <v>111</v>
      </c>
      <c r="AB60" s="495">
        <v>0</v>
      </c>
      <c r="AC60" s="495">
        <v>0</v>
      </c>
      <c r="AD60" s="495">
        <v>0</v>
      </c>
      <c r="AE60" s="495">
        <v>0</v>
      </c>
      <c r="AF60" s="495">
        <v>0</v>
      </c>
      <c r="AG60" s="495">
        <v>0</v>
      </c>
      <c r="AH60" s="495">
        <v>0</v>
      </c>
      <c r="AI60" s="495">
        <v>0</v>
      </c>
      <c r="AJ60" s="495">
        <v>0</v>
      </c>
      <c r="AK60" s="495">
        <v>0</v>
      </c>
      <c r="AL60" s="495">
        <v>0</v>
      </c>
      <c r="AM60" s="495">
        <v>0</v>
      </c>
      <c r="AN60" s="495">
        <v>0</v>
      </c>
      <c r="AO60" s="495">
        <v>1</v>
      </c>
      <c r="AP60" s="495">
        <v>0</v>
      </c>
      <c r="AQ60" s="495">
        <v>0</v>
      </c>
      <c r="AR60" s="495">
        <v>0</v>
      </c>
      <c r="AS60" s="495">
        <v>0</v>
      </c>
      <c r="AT60" s="495">
        <v>0</v>
      </c>
      <c r="AU60" s="495">
        <v>0</v>
      </c>
      <c r="AV60" s="495">
        <v>0</v>
      </c>
      <c r="AW60" s="495">
        <v>0</v>
      </c>
      <c r="AX60" s="495">
        <v>0</v>
      </c>
      <c r="AY60" s="495">
        <v>0</v>
      </c>
      <c r="AZ60" s="495"/>
      <c r="BA60" s="495"/>
      <c r="BB60" s="495"/>
      <c r="BC60" s="495"/>
      <c r="BD60" s="495"/>
      <c r="BE60" s="495"/>
      <c r="BF60" s="280"/>
      <c r="BG60" s="280"/>
    </row>
    <row r="61" spans="2:59" s="11" customFormat="1" ht="15" customHeight="1">
      <c r="B61" s="120"/>
      <c r="C61" s="260" t="s">
        <v>144</v>
      </c>
      <c r="E61" s="119">
        <f>INDEX(G61:Q61,Model!$E$1279)</f>
        <v>0</v>
      </c>
      <c r="F61" s="120"/>
      <c r="G61" s="345">
        <f t="shared" si="6"/>
        <v>0</v>
      </c>
      <c r="H61" s="345">
        <f t="shared" si="6"/>
        <v>0</v>
      </c>
      <c r="I61" s="345">
        <f t="shared" si="6"/>
        <v>0</v>
      </c>
      <c r="J61" s="345">
        <f t="shared" si="6"/>
        <v>0</v>
      </c>
      <c r="K61" s="345">
        <f t="shared" si="6"/>
        <v>0</v>
      </c>
      <c r="L61" s="345">
        <f t="shared" si="6"/>
        <v>0</v>
      </c>
      <c r="M61" s="345">
        <f t="shared" si="6"/>
        <v>0</v>
      </c>
      <c r="N61" s="345">
        <f t="shared" si="6"/>
        <v>34</v>
      </c>
      <c r="O61" s="345">
        <f t="shared" si="6"/>
        <v>0</v>
      </c>
      <c r="P61" s="345">
        <f t="shared" si="6"/>
        <v>0</v>
      </c>
      <c r="Q61" s="345">
        <f t="shared" si="6"/>
        <v>0</v>
      </c>
      <c r="R61" s="346"/>
      <c r="S61" s="314"/>
      <c r="T61" s="12"/>
      <c r="U61" s="260" t="s">
        <v>144</v>
      </c>
      <c r="AA61" s="120"/>
      <c r="AB61" s="495"/>
      <c r="AC61" s="495"/>
      <c r="AD61" s="495"/>
      <c r="AE61" s="495"/>
      <c r="AF61" s="495"/>
      <c r="AG61" s="495"/>
      <c r="AH61" s="495"/>
      <c r="AI61" s="495"/>
      <c r="AJ61" s="495"/>
      <c r="AK61" s="495"/>
      <c r="AL61" s="495"/>
      <c r="AM61" s="495"/>
      <c r="AN61" s="495"/>
      <c r="AO61" s="495">
        <v>34</v>
      </c>
      <c r="AP61" s="495"/>
      <c r="AQ61" s="495"/>
      <c r="AR61" s="495"/>
      <c r="AS61" s="495"/>
      <c r="AT61" s="495"/>
      <c r="AU61" s="495"/>
      <c r="AV61" s="495"/>
      <c r="AW61" s="495"/>
      <c r="AX61" s="495"/>
      <c r="AY61" s="495"/>
      <c r="AZ61" s="495"/>
      <c r="BA61" s="495"/>
      <c r="BB61" s="495"/>
      <c r="BC61" s="495"/>
      <c r="BD61" s="495"/>
      <c r="BE61" s="495"/>
      <c r="BF61" s="280"/>
      <c r="BG61" s="280"/>
    </row>
    <row r="62" spans="2:59" s="11" customFormat="1" ht="15" customHeight="1">
      <c r="B62" s="120"/>
      <c r="C62" s="15" t="s">
        <v>145</v>
      </c>
      <c r="D62" s="14"/>
      <c r="E62" s="121">
        <f>INDEX(G62:Q62,Model!$E$1279)</f>
        <v>0</v>
      </c>
      <c r="F62" s="122"/>
      <c r="G62" s="345">
        <f t="shared" si="6"/>
        <v>0</v>
      </c>
      <c r="H62" s="345">
        <f t="shared" si="6"/>
        <v>0</v>
      </c>
      <c r="I62" s="345">
        <f t="shared" si="6"/>
        <v>0</v>
      </c>
      <c r="J62" s="345">
        <f t="shared" si="6"/>
        <v>0</v>
      </c>
      <c r="K62" s="345">
        <f t="shared" si="6"/>
        <v>0</v>
      </c>
      <c r="L62" s="345">
        <f t="shared" si="6"/>
        <v>0</v>
      </c>
      <c r="M62" s="345">
        <f t="shared" si="6"/>
        <v>0</v>
      </c>
      <c r="N62" s="345">
        <f t="shared" si="6"/>
        <v>5</v>
      </c>
      <c r="O62" s="345">
        <f t="shared" si="6"/>
        <v>0</v>
      </c>
      <c r="P62" s="345">
        <f t="shared" si="6"/>
        <v>0</v>
      </c>
      <c r="Q62" s="345">
        <f t="shared" si="6"/>
        <v>0</v>
      </c>
      <c r="R62" s="346"/>
      <c r="S62" s="314"/>
      <c r="T62" s="12"/>
      <c r="U62" s="15" t="s">
        <v>145</v>
      </c>
      <c r="V62" s="14"/>
      <c r="W62" s="14"/>
      <c r="X62" s="14"/>
      <c r="Y62" s="14"/>
      <c r="Z62" s="14"/>
      <c r="AA62" s="122"/>
      <c r="AB62" s="495"/>
      <c r="AC62" s="495"/>
      <c r="AD62" s="495"/>
      <c r="AE62" s="495"/>
      <c r="AF62" s="495"/>
      <c r="AG62" s="495"/>
      <c r="AH62" s="495"/>
      <c r="AI62" s="495"/>
      <c r="AJ62" s="495"/>
      <c r="AK62" s="495"/>
      <c r="AL62" s="495"/>
      <c r="AM62" s="495"/>
      <c r="AN62" s="495"/>
      <c r="AO62" s="495">
        <v>5</v>
      </c>
      <c r="AP62" s="495"/>
      <c r="AQ62" s="495"/>
      <c r="AR62" s="495"/>
      <c r="AS62" s="495"/>
      <c r="AT62" s="495"/>
      <c r="AU62" s="495"/>
      <c r="AV62" s="495"/>
      <c r="AW62" s="495"/>
      <c r="AX62" s="495"/>
      <c r="AY62" s="495"/>
      <c r="AZ62" s="495"/>
      <c r="BA62" s="495"/>
      <c r="BB62" s="495"/>
      <c r="BC62" s="495"/>
      <c r="BD62" s="495"/>
      <c r="BE62" s="495"/>
      <c r="BF62" s="280"/>
      <c r="BG62" s="280"/>
    </row>
    <row r="63" spans="2:59" s="11" customFormat="1" ht="15" customHeight="1">
      <c r="C63" s="228" t="s">
        <v>146</v>
      </c>
      <c r="D63" s="138"/>
      <c r="E63" s="138"/>
      <c r="F63" s="138"/>
      <c r="G63" s="352"/>
      <c r="H63" s="352"/>
      <c r="I63" s="352"/>
      <c r="J63" s="352"/>
      <c r="K63" s="352"/>
      <c r="L63" s="352"/>
      <c r="M63" s="352"/>
      <c r="N63" s="352"/>
      <c r="O63" s="352"/>
      <c r="P63" s="352"/>
      <c r="Q63" s="350"/>
      <c r="R63" s="346"/>
      <c r="S63" s="314"/>
      <c r="T63" s="12"/>
      <c r="U63" s="228" t="s">
        <v>147</v>
      </c>
      <c r="V63" s="138"/>
      <c r="W63" s="226"/>
      <c r="X63" s="138"/>
      <c r="Y63" s="226"/>
      <c r="Z63" s="138"/>
      <c r="AA63" s="219"/>
      <c r="AJ63" s="14"/>
      <c r="BC63" s="14"/>
      <c r="BD63" s="14"/>
      <c r="BE63" s="122"/>
    </row>
    <row r="64" spans="2:59" s="11" customFormat="1" ht="15" customHeight="1">
      <c r="B64" s="120"/>
      <c r="C64" s="177" t="s">
        <v>148</v>
      </c>
      <c r="D64" s="166" t="s">
        <v>30</v>
      </c>
      <c r="E64" s="178">
        <f>INDEX(G64:Q64,Model!$E$1279)</f>
        <v>0</v>
      </c>
      <c r="F64" s="180"/>
      <c r="G64" s="349">
        <f t="shared" ref="G64:H71" si="7">INDEX($AB64:$BE64,G$16)</f>
        <v>0</v>
      </c>
      <c r="H64" s="349">
        <f t="shared" si="7"/>
        <v>0</v>
      </c>
      <c r="I64" s="349">
        <f t="shared" si="2"/>
        <v>0</v>
      </c>
      <c r="J64" s="349">
        <f t="shared" si="2"/>
        <v>0</v>
      </c>
      <c r="K64" s="349">
        <f t="shared" si="2"/>
        <v>0</v>
      </c>
      <c r="L64" s="349">
        <f t="shared" si="2"/>
        <v>0</v>
      </c>
      <c r="M64" s="349">
        <f t="shared" si="2"/>
        <v>0</v>
      </c>
      <c r="N64" s="349">
        <f t="shared" si="2"/>
        <v>0</v>
      </c>
      <c r="O64" s="349">
        <f t="shared" si="2"/>
        <v>0</v>
      </c>
      <c r="P64" s="349">
        <f t="shared" si="2"/>
        <v>0</v>
      </c>
      <c r="Q64" s="349">
        <f t="shared" si="2"/>
        <v>0</v>
      </c>
      <c r="R64" s="346"/>
      <c r="S64" s="314"/>
      <c r="T64" s="12"/>
      <c r="U64" s="177" t="s">
        <v>148</v>
      </c>
      <c r="V64" s="166"/>
      <c r="W64" s="166"/>
      <c r="X64" s="166"/>
      <c r="Y64" s="166"/>
      <c r="Z64" s="166"/>
      <c r="AA64" s="180" t="s">
        <v>30</v>
      </c>
      <c r="AB64" s="499"/>
      <c r="AC64" s="499"/>
      <c r="AD64" s="499"/>
      <c r="AE64" s="497"/>
      <c r="AF64" s="499"/>
      <c r="AG64" s="497"/>
      <c r="AH64" s="497"/>
      <c r="AI64" s="497"/>
      <c r="AJ64" s="499"/>
      <c r="AK64" s="499"/>
      <c r="AL64" s="499"/>
      <c r="AM64" s="492"/>
      <c r="AN64" s="499"/>
      <c r="AO64" s="499"/>
      <c r="AP64" s="499"/>
      <c r="AQ64" s="497"/>
      <c r="AR64" s="497"/>
      <c r="AS64" s="497"/>
      <c r="AT64" s="497"/>
      <c r="AU64" s="497"/>
      <c r="AV64" s="499"/>
      <c r="AW64" s="499"/>
      <c r="AX64" s="499"/>
      <c r="AY64" s="497"/>
      <c r="AZ64" s="497"/>
      <c r="BA64" s="497"/>
      <c r="BB64" s="497"/>
      <c r="BC64" s="499"/>
      <c r="BD64" s="499"/>
      <c r="BE64" s="499"/>
      <c r="BF64" s="242"/>
      <c r="BG64" s="242"/>
    </row>
    <row r="65" spans="2:59" s="11" customFormat="1" ht="15" customHeight="1">
      <c r="B65" s="120"/>
      <c r="C65" s="260" t="s">
        <v>149</v>
      </c>
      <c r="D65" s="11" t="s">
        <v>30</v>
      </c>
      <c r="E65" s="104">
        <f>INDEX(G65:Q65,Model!$E$1279)</f>
        <v>0</v>
      </c>
      <c r="F65" s="120"/>
      <c r="G65" s="349">
        <f t="shared" si="7"/>
        <v>0</v>
      </c>
      <c r="H65" s="349">
        <f t="shared" si="7"/>
        <v>0</v>
      </c>
      <c r="I65" s="349">
        <f t="shared" si="2"/>
        <v>0</v>
      </c>
      <c r="J65" s="349">
        <f t="shared" si="2"/>
        <v>0</v>
      </c>
      <c r="K65" s="349">
        <f t="shared" si="2"/>
        <v>0</v>
      </c>
      <c r="L65" s="349">
        <f t="shared" si="2"/>
        <v>0</v>
      </c>
      <c r="M65" s="349">
        <f t="shared" si="2"/>
        <v>0</v>
      </c>
      <c r="N65" s="349">
        <f t="shared" si="2"/>
        <v>0</v>
      </c>
      <c r="O65" s="349">
        <f t="shared" si="2"/>
        <v>0</v>
      </c>
      <c r="P65" s="349">
        <f t="shared" si="2"/>
        <v>0</v>
      </c>
      <c r="Q65" s="349">
        <f t="shared" si="2"/>
        <v>0</v>
      </c>
      <c r="R65" s="346"/>
      <c r="S65" s="314"/>
      <c r="T65" s="12"/>
      <c r="U65" s="260" t="s">
        <v>149</v>
      </c>
      <c r="AA65" s="120" t="s">
        <v>30</v>
      </c>
      <c r="AB65" s="499"/>
      <c r="AC65" s="499"/>
      <c r="AD65" s="499"/>
      <c r="AE65" s="497"/>
      <c r="AF65" s="499"/>
      <c r="AG65" s="497"/>
      <c r="AH65" s="497"/>
      <c r="AI65" s="497"/>
      <c r="AJ65" s="499"/>
      <c r="AK65" s="499"/>
      <c r="AL65" s="499"/>
      <c r="AM65" s="499"/>
      <c r="AN65" s="499"/>
      <c r="AO65" s="499"/>
      <c r="AP65" s="499"/>
      <c r="AQ65" s="497"/>
      <c r="AR65" s="497"/>
      <c r="AS65" s="497"/>
      <c r="AT65" s="497"/>
      <c r="AU65" s="497"/>
      <c r="AV65" s="499"/>
      <c r="AW65" s="499"/>
      <c r="AX65" s="499"/>
      <c r="AY65" s="497"/>
      <c r="AZ65" s="497"/>
      <c r="BA65" s="497"/>
      <c r="BB65" s="497"/>
      <c r="BC65" s="499"/>
      <c r="BD65" s="499"/>
      <c r="BE65" s="499"/>
      <c r="BF65" s="242"/>
      <c r="BG65" s="242"/>
    </row>
    <row r="66" spans="2:59" s="11" customFormat="1" ht="15" customHeight="1">
      <c r="B66" s="120"/>
      <c r="C66" s="15" t="s">
        <v>150</v>
      </c>
      <c r="D66" s="14" t="s">
        <v>111</v>
      </c>
      <c r="E66" s="121">
        <f>INDEX(G66:Q66,Model!$E$1279)</f>
        <v>0</v>
      </c>
      <c r="F66" s="122"/>
      <c r="G66" s="345">
        <f t="shared" si="7"/>
        <v>0</v>
      </c>
      <c r="H66" s="345">
        <f t="shared" si="7"/>
        <v>0</v>
      </c>
      <c r="I66" s="345">
        <f t="shared" si="2"/>
        <v>0</v>
      </c>
      <c r="J66" s="345">
        <f t="shared" si="2"/>
        <v>0</v>
      </c>
      <c r="K66" s="345">
        <f t="shared" si="2"/>
        <v>0</v>
      </c>
      <c r="L66" s="345">
        <f t="shared" si="2"/>
        <v>0</v>
      </c>
      <c r="M66" s="345">
        <f t="shared" si="2"/>
        <v>0</v>
      </c>
      <c r="N66" s="345">
        <f t="shared" si="2"/>
        <v>0</v>
      </c>
      <c r="O66" s="345">
        <f t="shared" si="2"/>
        <v>0</v>
      </c>
      <c r="P66" s="345">
        <f t="shared" si="2"/>
        <v>0</v>
      </c>
      <c r="Q66" s="345">
        <f t="shared" si="2"/>
        <v>0</v>
      </c>
      <c r="R66" s="346"/>
      <c r="S66" s="314"/>
      <c r="T66" s="12"/>
      <c r="U66" s="15" t="s">
        <v>150</v>
      </c>
      <c r="V66" s="14"/>
      <c r="W66" s="14"/>
      <c r="X66" s="14"/>
      <c r="Y66" s="14"/>
      <c r="Z66" s="14"/>
      <c r="AA66" s="122" t="s">
        <v>111</v>
      </c>
      <c r="AB66" s="495"/>
      <c r="AC66" s="495"/>
      <c r="AD66" s="495"/>
      <c r="AE66" s="495"/>
      <c r="AF66" s="495"/>
      <c r="AG66" s="495"/>
      <c r="AH66" s="495"/>
      <c r="AI66" s="495"/>
      <c r="AJ66" s="495"/>
      <c r="AK66" s="495"/>
      <c r="AL66" s="495"/>
      <c r="AM66" s="499"/>
      <c r="AN66" s="495"/>
      <c r="AO66" s="495"/>
      <c r="AP66" s="495"/>
      <c r="AQ66" s="495"/>
      <c r="AR66" s="495"/>
      <c r="AS66" s="495"/>
      <c r="AT66" s="495"/>
      <c r="AU66" s="495"/>
      <c r="AV66" s="495"/>
      <c r="AW66" s="495"/>
      <c r="AX66" s="495"/>
      <c r="AY66" s="495"/>
      <c r="AZ66" s="495"/>
      <c r="BA66" s="495"/>
      <c r="BB66" s="495"/>
      <c r="BC66" s="495"/>
      <c r="BD66" s="495"/>
      <c r="BE66" s="495"/>
      <c r="BF66" s="280"/>
      <c r="BG66" s="280"/>
    </row>
    <row r="67" spans="2:59" s="11" customFormat="1" ht="15" customHeight="1">
      <c r="B67" s="120"/>
      <c r="C67" s="177" t="s">
        <v>151</v>
      </c>
      <c r="D67" s="166" t="s">
        <v>111</v>
      </c>
      <c r="E67" s="225">
        <f>INDEX(G67:Q67,Model!$E$1279)</f>
        <v>0</v>
      </c>
      <c r="F67" s="180"/>
      <c r="G67" s="345">
        <f t="shared" si="7"/>
        <v>0</v>
      </c>
      <c r="H67" s="345">
        <f t="shared" si="7"/>
        <v>0</v>
      </c>
      <c r="I67" s="345">
        <f t="shared" ref="I67:Q71" si="8">INDEX($AB67:$BE67,I$16)</f>
        <v>0</v>
      </c>
      <c r="J67" s="345">
        <f t="shared" si="8"/>
        <v>0</v>
      </c>
      <c r="K67" s="345">
        <f t="shared" si="8"/>
        <v>0</v>
      </c>
      <c r="L67" s="345">
        <f t="shared" si="8"/>
        <v>0</v>
      </c>
      <c r="M67" s="345">
        <f t="shared" si="8"/>
        <v>0</v>
      </c>
      <c r="N67" s="345">
        <f t="shared" si="8"/>
        <v>0</v>
      </c>
      <c r="O67" s="345">
        <f t="shared" si="8"/>
        <v>0</v>
      </c>
      <c r="P67" s="345">
        <f t="shared" si="8"/>
        <v>0</v>
      </c>
      <c r="Q67" s="345">
        <f t="shared" si="8"/>
        <v>0</v>
      </c>
      <c r="R67" s="346"/>
      <c r="S67" s="314"/>
      <c r="T67" s="12"/>
      <c r="U67" s="177" t="s">
        <v>151</v>
      </c>
      <c r="V67" s="166"/>
      <c r="W67" s="166"/>
      <c r="X67" s="166"/>
      <c r="Y67" s="166"/>
      <c r="Z67" s="166"/>
      <c r="AA67" s="180" t="s">
        <v>111</v>
      </c>
      <c r="AB67" s="486">
        <v>0</v>
      </c>
      <c r="AC67" s="486">
        <v>0</v>
      </c>
      <c r="AD67" s="486">
        <v>0</v>
      </c>
      <c r="AE67" s="486">
        <v>0</v>
      </c>
      <c r="AF67" s="486">
        <v>0</v>
      </c>
      <c r="AG67" s="486">
        <v>0</v>
      </c>
      <c r="AH67" s="486">
        <v>0</v>
      </c>
      <c r="AI67" s="486">
        <v>0</v>
      </c>
      <c r="AJ67" s="486">
        <v>0</v>
      </c>
      <c r="AK67" s="486">
        <v>0</v>
      </c>
      <c r="AL67" s="486">
        <v>0</v>
      </c>
      <c r="AM67" s="486">
        <v>0</v>
      </c>
      <c r="AN67" s="486">
        <v>0</v>
      </c>
      <c r="AO67" s="486">
        <v>0</v>
      </c>
      <c r="AP67" s="486">
        <v>0</v>
      </c>
      <c r="AQ67" s="486">
        <v>0</v>
      </c>
      <c r="AR67" s="486">
        <v>1</v>
      </c>
      <c r="AS67" s="486">
        <v>0</v>
      </c>
      <c r="AT67" s="486">
        <v>0</v>
      </c>
      <c r="AU67" s="486">
        <v>0</v>
      </c>
      <c r="AV67" s="486">
        <v>0</v>
      </c>
      <c r="AW67" s="486">
        <v>0</v>
      </c>
      <c r="AX67" s="486">
        <v>0</v>
      </c>
      <c r="AY67" s="486">
        <v>0</v>
      </c>
      <c r="AZ67" s="486"/>
      <c r="BA67" s="486"/>
      <c r="BB67" s="486"/>
      <c r="BC67" s="486"/>
      <c r="BD67" s="486"/>
      <c r="BE67" s="486"/>
      <c r="BF67" s="280"/>
      <c r="BG67" s="280"/>
    </row>
    <row r="68" spans="2:59" s="11" customFormat="1" ht="15" customHeight="1">
      <c r="B68" s="120"/>
      <c r="C68" s="260" t="s">
        <v>152</v>
      </c>
      <c r="D68" s="11" t="s">
        <v>30</v>
      </c>
      <c r="E68" s="104">
        <f>INDEX(G68:Q68,Model!$E$1279)</f>
        <v>0</v>
      </c>
      <c r="F68" s="120"/>
      <c r="G68" s="349">
        <f t="shared" si="7"/>
        <v>0</v>
      </c>
      <c r="H68" s="349">
        <f t="shared" si="7"/>
        <v>0</v>
      </c>
      <c r="I68" s="349">
        <f t="shared" si="8"/>
        <v>0</v>
      </c>
      <c r="J68" s="349">
        <f t="shared" si="8"/>
        <v>0</v>
      </c>
      <c r="K68" s="349">
        <f t="shared" si="8"/>
        <v>0</v>
      </c>
      <c r="L68" s="349">
        <f t="shared" si="8"/>
        <v>0</v>
      </c>
      <c r="M68" s="349">
        <f t="shared" si="8"/>
        <v>0</v>
      </c>
      <c r="N68" s="349">
        <f t="shared" si="8"/>
        <v>0</v>
      </c>
      <c r="O68" s="349">
        <f t="shared" si="8"/>
        <v>0</v>
      </c>
      <c r="P68" s="349">
        <f t="shared" si="8"/>
        <v>0</v>
      </c>
      <c r="Q68" s="349">
        <f t="shared" si="8"/>
        <v>0</v>
      </c>
      <c r="R68" s="346"/>
      <c r="S68" s="314"/>
      <c r="T68" s="12"/>
      <c r="U68" s="260" t="s">
        <v>152</v>
      </c>
      <c r="AA68" s="120" t="s">
        <v>30</v>
      </c>
      <c r="AB68" s="498"/>
      <c r="AC68" s="498"/>
      <c r="AD68" s="498"/>
      <c r="AE68" s="498"/>
      <c r="AF68" s="498"/>
      <c r="AG68" s="498"/>
      <c r="AH68" s="498"/>
      <c r="AI68" s="498"/>
      <c r="AJ68" s="498"/>
      <c r="AK68" s="498"/>
      <c r="AL68" s="498"/>
      <c r="AM68" s="498"/>
      <c r="AN68" s="498"/>
      <c r="AO68" s="498"/>
      <c r="AP68" s="498"/>
      <c r="AQ68" s="498"/>
      <c r="AR68" s="498">
        <v>0.15</v>
      </c>
      <c r="AS68" s="498"/>
      <c r="AT68" s="498"/>
      <c r="AU68" s="498"/>
      <c r="AV68" s="498"/>
      <c r="AW68" s="498"/>
      <c r="AX68" s="498"/>
      <c r="AY68" s="498"/>
      <c r="AZ68" s="498"/>
      <c r="BA68" s="498"/>
      <c r="BB68" s="498"/>
      <c r="BC68" s="498"/>
      <c r="BD68" s="498"/>
      <c r="BE68" s="498"/>
      <c r="BF68" s="280"/>
      <c r="BG68" s="280"/>
    </row>
    <row r="69" spans="2:59" s="11" customFormat="1" ht="15" customHeight="1">
      <c r="C69" s="260" t="s">
        <v>153</v>
      </c>
      <c r="D69" s="11" t="s">
        <v>30</v>
      </c>
      <c r="E69" s="104">
        <f>INDEX(G69:Q69,Model!$E$1279)</f>
        <v>0</v>
      </c>
      <c r="F69" s="120"/>
      <c r="G69" s="349">
        <f t="shared" si="7"/>
        <v>0</v>
      </c>
      <c r="H69" s="349">
        <f t="shared" si="7"/>
        <v>0</v>
      </c>
      <c r="I69" s="349">
        <f t="shared" si="8"/>
        <v>0</v>
      </c>
      <c r="J69" s="349">
        <f t="shared" si="8"/>
        <v>0</v>
      </c>
      <c r="K69" s="349">
        <f t="shared" si="8"/>
        <v>0</v>
      </c>
      <c r="L69" s="349">
        <f t="shared" si="8"/>
        <v>0</v>
      </c>
      <c r="M69" s="349">
        <f t="shared" si="8"/>
        <v>0</v>
      </c>
      <c r="N69" s="349">
        <f t="shared" si="8"/>
        <v>0</v>
      </c>
      <c r="O69" s="349">
        <f t="shared" si="8"/>
        <v>0</v>
      </c>
      <c r="P69" s="349">
        <f t="shared" si="8"/>
        <v>0</v>
      </c>
      <c r="Q69" s="349">
        <f t="shared" si="8"/>
        <v>0</v>
      </c>
      <c r="R69" s="346"/>
      <c r="S69" s="314"/>
      <c r="T69" s="12"/>
      <c r="U69" s="260" t="s">
        <v>153</v>
      </c>
      <c r="AA69" s="120" t="s">
        <v>30</v>
      </c>
      <c r="AB69" s="498"/>
      <c r="AC69" s="498"/>
      <c r="AD69" s="498"/>
      <c r="AE69" s="498"/>
      <c r="AF69" s="498"/>
      <c r="AG69" s="498"/>
      <c r="AH69" s="498"/>
      <c r="AI69" s="498"/>
      <c r="AJ69" s="498"/>
      <c r="AK69" s="498"/>
      <c r="AL69" s="498"/>
      <c r="AM69" s="498"/>
      <c r="AN69" s="498"/>
      <c r="AO69" s="498"/>
      <c r="AP69" s="498"/>
      <c r="AQ69" s="498"/>
      <c r="AR69" s="498">
        <v>0.2888</v>
      </c>
      <c r="AS69" s="498"/>
      <c r="AT69" s="498"/>
      <c r="AU69" s="498"/>
      <c r="AV69" s="498"/>
      <c r="AW69" s="498"/>
      <c r="AX69" s="498"/>
      <c r="AY69" s="498"/>
      <c r="AZ69" s="498"/>
      <c r="BA69" s="498"/>
      <c r="BB69" s="498"/>
      <c r="BC69" s="498"/>
      <c r="BD69" s="498"/>
      <c r="BE69" s="498"/>
      <c r="BF69" s="280"/>
      <c r="BG69" s="280"/>
    </row>
    <row r="70" spans="2:59" s="11" customFormat="1" ht="15" customHeight="1">
      <c r="C70" s="260" t="s">
        <v>154</v>
      </c>
      <c r="D70" s="11" t="s">
        <v>30</v>
      </c>
      <c r="E70" s="104">
        <f>INDEX(G70:Q70,Model!$E$1279)</f>
        <v>0</v>
      </c>
      <c r="F70" s="120"/>
      <c r="G70" s="349">
        <f t="shared" si="7"/>
        <v>0</v>
      </c>
      <c r="H70" s="349">
        <f t="shared" si="7"/>
        <v>0</v>
      </c>
      <c r="I70" s="349">
        <f t="shared" si="8"/>
        <v>0</v>
      </c>
      <c r="J70" s="349">
        <f t="shared" si="8"/>
        <v>0</v>
      </c>
      <c r="K70" s="349">
        <f t="shared" si="8"/>
        <v>0</v>
      </c>
      <c r="L70" s="349">
        <f t="shared" si="8"/>
        <v>0</v>
      </c>
      <c r="M70" s="349">
        <f t="shared" si="8"/>
        <v>0</v>
      </c>
      <c r="N70" s="349">
        <f t="shared" si="8"/>
        <v>0</v>
      </c>
      <c r="O70" s="349">
        <f t="shared" si="8"/>
        <v>0</v>
      </c>
      <c r="P70" s="349">
        <f t="shared" si="8"/>
        <v>0</v>
      </c>
      <c r="Q70" s="349">
        <f t="shared" si="8"/>
        <v>0</v>
      </c>
      <c r="R70" s="346"/>
      <c r="S70" s="314"/>
      <c r="T70" s="12"/>
      <c r="U70" s="260" t="s">
        <v>154</v>
      </c>
      <c r="AA70" s="120" t="s">
        <v>30</v>
      </c>
      <c r="AB70" s="498"/>
      <c r="AC70" s="498"/>
      <c r="AD70" s="498"/>
      <c r="AE70" s="498"/>
      <c r="AF70" s="498"/>
      <c r="AG70" s="498"/>
      <c r="AH70" s="498"/>
      <c r="AI70" s="498"/>
      <c r="AJ70" s="498"/>
      <c r="AK70" s="498"/>
      <c r="AL70" s="498"/>
      <c r="AM70" s="498"/>
      <c r="AN70" s="498"/>
      <c r="AO70" s="498"/>
      <c r="AP70" s="498"/>
      <c r="AQ70" s="498"/>
      <c r="AR70" s="498">
        <v>0.2</v>
      </c>
      <c r="AS70" s="498"/>
      <c r="AT70" s="498"/>
      <c r="AU70" s="498"/>
      <c r="AV70" s="498"/>
      <c r="AW70" s="498"/>
      <c r="AX70" s="498"/>
      <c r="AY70" s="498"/>
      <c r="AZ70" s="498"/>
      <c r="BA70" s="498"/>
      <c r="BB70" s="498"/>
      <c r="BC70" s="498"/>
      <c r="BD70" s="498"/>
      <c r="BE70" s="498"/>
      <c r="BF70" s="280"/>
      <c r="BG70" s="280"/>
    </row>
    <row r="71" spans="2:59" s="11" customFormat="1" ht="15" customHeight="1">
      <c r="C71" s="260" t="s">
        <v>155</v>
      </c>
      <c r="D71" s="11" t="s">
        <v>30</v>
      </c>
      <c r="E71" s="123">
        <f>INDEX(G71:Q71,Model!$E$1279)</f>
        <v>0</v>
      </c>
      <c r="F71" s="122"/>
      <c r="G71" s="349">
        <f t="shared" si="7"/>
        <v>0</v>
      </c>
      <c r="H71" s="349">
        <f t="shared" si="7"/>
        <v>0</v>
      </c>
      <c r="I71" s="349">
        <f t="shared" si="8"/>
        <v>0</v>
      </c>
      <c r="J71" s="349">
        <f t="shared" si="8"/>
        <v>0</v>
      </c>
      <c r="K71" s="349">
        <f t="shared" si="8"/>
        <v>0</v>
      </c>
      <c r="L71" s="349">
        <f t="shared" si="8"/>
        <v>0</v>
      </c>
      <c r="M71" s="349">
        <f t="shared" si="8"/>
        <v>0</v>
      </c>
      <c r="N71" s="349">
        <f t="shared" si="8"/>
        <v>0</v>
      </c>
      <c r="O71" s="349">
        <f t="shared" si="8"/>
        <v>0</v>
      </c>
      <c r="P71" s="349">
        <f t="shared" si="8"/>
        <v>0</v>
      </c>
      <c r="Q71" s="349">
        <f t="shared" si="8"/>
        <v>0</v>
      </c>
      <c r="R71" s="346"/>
      <c r="S71" s="314"/>
      <c r="T71" s="12"/>
      <c r="U71" s="15" t="s">
        <v>155</v>
      </c>
      <c r="V71" s="14"/>
      <c r="W71" s="14"/>
      <c r="X71" s="14"/>
      <c r="Y71" s="14"/>
      <c r="Z71" s="14"/>
      <c r="AA71" s="122" t="s">
        <v>30</v>
      </c>
      <c r="AB71" s="498"/>
      <c r="AC71" s="498"/>
      <c r="AD71" s="498"/>
      <c r="AE71" s="498"/>
      <c r="AF71" s="498"/>
      <c r="AG71" s="498"/>
      <c r="AH71" s="498"/>
      <c r="AI71" s="498"/>
      <c r="AJ71" s="498"/>
      <c r="AK71" s="498"/>
      <c r="AL71" s="498"/>
      <c r="AM71" s="498"/>
      <c r="AN71" s="498"/>
      <c r="AO71" s="498"/>
      <c r="AP71" s="498"/>
      <c r="AQ71" s="498"/>
      <c r="AR71" s="498">
        <v>0.27778000000000003</v>
      </c>
      <c r="AS71" s="498"/>
      <c r="AT71" s="498"/>
      <c r="AU71" s="498"/>
      <c r="AV71" s="498"/>
      <c r="AW71" s="498"/>
      <c r="AX71" s="498"/>
      <c r="AY71" s="498"/>
      <c r="AZ71" s="498"/>
      <c r="BA71" s="498"/>
      <c r="BB71" s="498"/>
      <c r="BC71" s="498"/>
      <c r="BD71" s="498"/>
      <c r="BE71" s="498"/>
      <c r="BF71" s="280"/>
      <c r="BG71" s="280"/>
    </row>
    <row r="72" spans="2:59" s="11" customFormat="1" ht="15" customHeight="1">
      <c r="C72" s="228" t="s">
        <v>156</v>
      </c>
      <c r="D72" s="138"/>
      <c r="E72" s="267"/>
      <c r="F72" s="138"/>
      <c r="G72" s="352"/>
      <c r="H72" s="352"/>
      <c r="I72" s="352"/>
      <c r="J72" s="352"/>
      <c r="K72" s="352"/>
      <c r="L72" s="352"/>
      <c r="M72" s="352"/>
      <c r="N72" s="352"/>
      <c r="O72" s="352"/>
      <c r="P72" s="352"/>
      <c r="Q72" s="350"/>
      <c r="R72" s="346"/>
      <c r="S72" s="314"/>
      <c r="T72" s="12"/>
      <c r="U72" s="228" t="s">
        <v>156</v>
      </c>
      <c r="V72" s="138"/>
      <c r="W72" s="226"/>
      <c r="X72" s="138"/>
      <c r="Y72" s="226"/>
      <c r="Z72" s="138"/>
      <c r="AA72" s="219"/>
      <c r="AB72" s="14"/>
      <c r="AC72" s="14"/>
      <c r="AD72" s="14"/>
      <c r="AE72" s="14"/>
      <c r="AF72" s="14"/>
      <c r="AG72" s="14"/>
      <c r="AH72" s="14"/>
      <c r="AI72" s="14"/>
      <c r="AJ72" s="138"/>
      <c r="AK72" s="14"/>
      <c r="AL72" s="14"/>
      <c r="AM72" s="14"/>
      <c r="AN72" s="14"/>
      <c r="AO72" s="14"/>
      <c r="AP72" s="14"/>
      <c r="AQ72" s="14"/>
      <c r="AR72" s="14"/>
      <c r="AS72" s="14"/>
      <c r="AT72" s="14"/>
      <c r="AU72" s="14"/>
      <c r="AV72" s="14"/>
      <c r="AW72" s="14"/>
      <c r="AX72" s="14"/>
      <c r="AY72" s="14"/>
      <c r="AZ72" s="14"/>
      <c r="BA72" s="14"/>
      <c r="BB72" s="14"/>
      <c r="BC72" s="138"/>
      <c r="BD72" s="138"/>
      <c r="BE72" s="331"/>
    </row>
    <row r="73" spans="2:59" s="11" customFormat="1" ht="15" customHeight="1">
      <c r="C73" s="143" t="s">
        <v>157</v>
      </c>
      <c r="D73" s="138" t="s">
        <v>30</v>
      </c>
      <c r="E73" s="204">
        <f>INDEX(G73:Q73,Model!$E$1279)</f>
        <v>0.1</v>
      </c>
      <c r="F73" s="331"/>
      <c r="G73" s="349">
        <f>INDEX($AB73:$BE73,G$16)</f>
        <v>0.1</v>
      </c>
      <c r="H73" s="349">
        <f>INDEX($AB73:$BE73,H$16)</f>
        <v>0.1</v>
      </c>
      <c r="I73" s="349">
        <f t="shared" si="2"/>
        <v>0.25</v>
      </c>
      <c r="J73" s="349">
        <f t="shared" si="2"/>
        <v>0.2</v>
      </c>
      <c r="K73" s="349">
        <f t="shared" si="2"/>
        <v>6.25E-2</v>
      </c>
      <c r="L73" s="349">
        <f t="shared" si="2"/>
        <v>0</v>
      </c>
      <c r="M73" s="349">
        <f t="shared" si="2"/>
        <v>0.08</v>
      </c>
      <c r="N73" s="349">
        <f t="shared" si="2"/>
        <v>0.15</v>
      </c>
      <c r="O73" s="349">
        <f t="shared" si="2"/>
        <v>0.2</v>
      </c>
      <c r="P73" s="349">
        <f t="shared" si="2"/>
        <v>4.99E-2</v>
      </c>
      <c r="Q73" s="349">
        <f t="shared" si="2"/>
        <v>0.05</v>
      </c>
      <c r="R73" s="346"/>
      <c r="S73" s="314"/>
      <c r="T73" s="12"/>
      <c r="U73" s="143" t="s">
        <v>157</v>
      </c>
      <c r="V73" s="138"/>
      <c r="W73" s="138"/>
      <c r="X73" s="138"/>
      <c r="Y73" s="138"/>
      <c r="Z73" s="138"/>
      <c r="AA73" s="331" t="s">
        <v>30</v>
      </c>
      <c r="AB73" s="497">
        <v>0.1</v>
      </c>
      <c r="AC73" s="497">
        <v>0.1</v>
      </c>
      <c r="AD73" s="497">
        <v>0.1</v>
      </c>
      <c r="AE73" s="497">
        <v>0.2</v>
      </c>
      <c r="AF73" s="497">
        <v>0.25</v>
      </c>
      <c r="AG73" s="497">
        <v>6.25E-2</v>
      </c>
      <c r="AH73" s="497">
        <v>0.18</v>
      </c>
      <c r="AI73" s="497">
        <v>0</v>
      </c>
      <c r="AJ73" s="499">
        <v>0.08</v>
      </c>
      <c r="AK73" s="497">
        <v>0.1</v>
      </c>
      <c r="AL73" s="497">
        <v>0.09</v>
      </c>
      <c r="AM73" s="497">
        <v>0.09</v>
      </c>
      <c r="AN73" s="497">
        <v>0.16</v>
      </c>
      <c r="AO73" s="497">
        <v>0.15</v>
      </c>
      <c r="AP73" s="497">
        <v>0.2</v>
      </c>
      <c r="AQ73" s="497">
        <v>0</v>
      </c>
      <c r="AR73" s="497">
        <v>0</v>
      </c>
      <c r="AS73" s="497">
        <v>0.15</v>
      </c>
      <c r="AT73" s="497">
        <v>0.35</v>
      </c>
      <c r="AU73" s="497">
        <v>4.99E-2</v>
      </c>
      <c r="AV73" s="497">
        <v>0.2</v>
      </c>
      <c r="AW73" s="497">
        <v>0.15</v>
      </c>
      <c r="AX73" s="497">
        <v>0.1</v>
      </c>
      <c r="AY73" s="497">
        <v>0.05</v>
      </c>
      <c r="AZ73" s="497"/>
      <c r="BA73" s="497"/>
      <c r="BB73" s="497"/>
      <c r="BC73" s="499"/>
      <c r="BD73" s="499"/>
      <c r="BE73" s="499"/>
      <c r="BF73" s="242"/>
      <c r="BG73" s="242"/>
    </row>
    <row r="74" spans="2:59" s="11" customFormat="1" ht="15" customHeight="1">
      <c r="C74" s="143" t="s">
        <v>158</v>
      </c>
      <c r="D74" s="138" t="s">
        <v>30</v>
      </c>
      <c r="E74" s="204">
        <f>INDEX(G74:Q74,Model!$E$1279)</f>
        <v>0.1</v>
      </c>
      <c r="F74" s="331"/>
      <c r="G74" s="349">
        <f>INDEX($AB74:$BE74,G$16)</f>
        <v>0.1</v>
      </c>
      <c r="H74" s="349">
        <f>INDEX($AB74:$BE74,H$16)</f>
        <v>0.1</v>
      </c>
      <c r="I74" s="349">
        <f t="shared" si="2"/>
        <v>0.1</v>
      </c>
      <c r="J74" s="349">
        <f t="shared" si="2"/>
        <v>0.15</v>
      </c>
      <c r="K74" s="349">
        <f t="shared" si="2"/>
        <v>6.25E-2</v>
      </c>
      <c r="L74" s="349">
        <f t="shared" si="2"/>
        <v>0.1</v>
      </c>
      <c r="M74" s="349">
        <f t="shared" si="2"/>
        <v>0.08</v>
      </c>
      <c r="N74" s="349">
        <f t="shared" si="2"/>
        <v>0.2</v>
      </c>
      <c r="O74" s="349">
        <f t="shared" si="2"/>
        <v>0.2</v>
      </c>
      <c r="P74" s="349">
        <f t="shared" si="2"/>
        <v>0.05</v>
      </c>
      <c r="Q74" s="349">
        <f t="shared" si="2"/>
        <v>0</v>
      </c>
      <c r="R74" s="346"/>
      <c r="S74" s="314"/>
      <c r="T74" s="12"/>
      <c r="U74" s="143" t="s">
        <v>158</v>
      </c>
      <c r="V74" s="138"/>
      <c r="W74" s="138"/>
      <c r="X74" s="138"/>
      <c r="Y74" s="138"/>
      <c r="Z74" s="138"/>
      <c r="AA74" s="331" t="s">
        <v>30</v>
      </c>
      <c r="AB74" s="497">
        <v>0.1</v>
      </c>
      <c r="AC74" s="497">
        <v>0.1</v>
      </c>
      <c r="AD74" s="497">
        <v>0.1</v>
      </c>
      <c r="AE74" s="497">
        <v>0.15</v>
      </c>
      <c r="AF74" s="497">
        <v>0.1</v>
      </c>
      <c r="AG74" s="497">
        <v>6.25E-2</v>
      </c>
      <c r="AH74" s="497">
        <v>0.15</v>
      </c>
      <c r="AI74" s="497">
        <v>0.1</v>
      </c>
      <c r="AJ74" s="499">
        <v>0.08</v>
      </c>
      <c r="AK74" s="497">
        <v>0.1</v>
      </c>
      <c r="AL74" s="497">
        <v>0.1</v>
      </c>
      <c r="AM74" s="497">
        <v>0.1</v>
      </c>
      <c r="AN74" s="497">
        <v>0.1</v>
      </c>
      <c r="AO74" s="497">
        <v>0.2</v>
      </c>
      <c r="AP74" s="497">
        <v>0.2</v>
      </c>
      <c r="AQ74" s="497">
        <v>0.15</v>
      </c>
      <c r="AR74" s="497">
        <v>0.15</v>
      </c>
      <c r="AS74" s="497">
        <v>0</v>
      </c>
      <c r="AT74" s="497">
        <v>0.1</v>
      </c>
      <c r="AU74" s="497">
        <v>0.05</v>
      </c>
      <c r="AV74" s="497">
        <v>0.2</v>
      </c>
      <c r="AW74" s="497">
        <v>0.15</v>
      </c>
      <c r="AX74" s="497">
        <v>0.1</v>
      </c>
      <c r="AY74" s="497">
        <v>0</v>
      </c>
      <c r="AZ74" s="497"/>
      <c r="BA74" s="497"/>
      <c r="BB74" s="497"/>
      <c r="BC74" s="499"/>
      <c r="BD74" s="499"/>
      <c r="BE74" s="499"/>
      <c r="BF74" s="242"/>
      <c r="BG74" s="242"/>
    </row>
    <row r="75" spans="2:59" s="11" customFormat="1" ht="15" customHeight="1">
      <c r="C75" s="177" t="s">
        <v>159</v>
      </c>
      <c r="D75" s="166" t="s">
        <v>30</v>
      </c>
      <c r="E75" s="178">
        <f>INDEX(G75:Q75,Model!$E$1279)</f>
        <v>0</v>
      </c>
      <c r="F75" s="166"/>
      <c r="G75" s="349">
        <f t="shared" ref="G75:Q77" si="9">INDEX($AB75:$BE75,G$16)</f>
        <v>0</v>
      </c>
      <c r="H75" s="349">
        <f t="shared" si="9"/>
        <v>0</v>
      </c>
      <c r="I75" s="349">
        <f t="shared" si="9"/>
        <v>0.15</v>
      </c>
      <c r="J75" s="349">
        <f t="shared" si="9"/>
        <v>0</v>
      </c>
      <c r="K75" s="349">
        <f t="shared" si="9"/>
        <v>0</v>
      </c>
      <c r="L75" s="349">
        <f t="shared" si="9"/>
        <v>0</v>
      </c>
      <c r="M75" s="349">
        <f t="shared" si="9"/>
        <v>0</v>
      </c>
      <c r="N75" s="349">
        <f t="shared" si="9"/>
        <v>0</v>
      </c>
      <c r="O75" s="349">
        <f t="shared" si="9"/>
        <v>0</v>
      </c>
      <c r="P75" s="349">
        <f t="shared" si="9"/>
        <v>0</v>
      </c>
      <c r="Q75" s="349">
        <f t="shared" si="9"/>
        <v>0</v>
      </c>
      <c r="R75" s="346"/>
      <c r="S75" s="314"/>
      <c r="T75" s="12"/>
      <c r="U75" s="177" t="s">
        <v>159</v>
      </c>
      <c r="V75" s="166"/>
      <c r="W75" s="166"/>
      <c r="X75" s="166"/>
      <c r="Y75" s="166"/>
      <c r="Z75" s="166"/>
      <c r="AA75" s="180" t="s">
        <v>30</v>
      </c>
      <c r="AB75" s="497"/>
      <c r="AC75" s="497"/>
      <c r="AD75" s="497"/>
      <c r="AE75" s="497"/>
      <c r="AF75" s="497">
        <v>0.15</v>
      </c>
      <c r="AG75" s="497"/>
      <c r="AH75" s="497"/>
      <c r="AI75" s="497"/>
      <c r="AJ75" s="497"/>
      <c r="AK75" s="497"/>
      <c r="AL75" s="497"/>
      <c r="AM75" s="497"/>
      <c r="AN75" s="497"/>
      <c r="AO75" s="497"/>
      <c r="AP75" s="497"/>
      <c r="AQ75" s="497"/>
      <c r="AR75" s="497"/>
      <c r="AS75" s="497"/>
      <c r="AT75" s="497"/>
      <c r="AU75" s="497"/>
      <c r="AV75" s="497"/>
      <c r="AW75" s="497"/>
      <c r="AX75" s="497"/>
      <c r="AY75" s="497"/>
      <c r="AZ75" s="497"/>
      <c r="BA75" s="497"/>
      <c r="BB75" s="497"/>
      <c r="BC75" s="497"/>
      <c r="BD75" s="497"/>
      <c r="BE75" s="497"/>
      <c r="BF75" s="242"/>
      <c r="BG75" s="242"/>
    </row>
    <row r="76" spans="2:59" s="11" customFormat="1" ht="15" customHeight="1">
      <c r="C76" s="260" t="s">
        <v>160</v>
      </c>
      <c r="D76" s="11" t="s">
        <v>111</v>
      </c>
      <c r="E76" s="387">
        <f>INDEX(G76:Q76,Model!$E$1279)</f>
        <v>0</v>
      </c>
      <c r="G76" s="386">
        <f t="shared" si="9"/>
        <v>0</v>
      </c>
      <c r="H76" s="386">
        <f t="shared" si="9"/>
        <v>0</v>
      </c>
      <c r="I76" s="386">
        <f t="shared" si="9"/>
        <v>0</v>
      </c>
      <c r="J76" s="386">
        <f t="shared" si="9"/>
        <v>0</v>
      </c>
      <c r="K76" s="386">
        <f t="shared" si="9"/>
        <v>0</v>
      </c>
      <c r="L76" s="386">
        <f t="shared" si="9"/>
        <v>0</v>
      </c>
      <c r="M76" s="386">
        <f t="shared" si="9"/>
        <v>0</v>
      </c>
      <c r="N76" s="386">
        <f t="shared" si="9"/>
        <v>0</v>
      </c>
      <c r="O76" s="386">
        <f t="shared" si="9"/>
        <v>0</v>
      </c>
      <c r="P76" s="386">
        <f t="shared" si="9"/>
        <v>0</v>
      </c>
      <c r="Q76" s="386">
        <f t="shared" si="9"/>
        <v>0</v>
      </c>
      <c r="R76" s="346"/>
      <c r="S76" s="314"/>
      <c r="T76" s="12"/>
      <c r="U76" s="260" t="s">
        <v>160</v>
      </c>
      <c r="AA76" s="285" t="s">
        <v>111</v>
      </c>
      <c r="AB76" s="497"/>
      <c r="AC76" s="497"/>
      <c r="AD76" s="497"/>
      <c r="AE76" s="497"/>
      <c r="AF76" s="495">
        <v>0</v>
      </c>
      <c r="AG76" s="497"/>
      <c r="AH76" s="497"/>
      <c r="AI76" s="497"/>
      <c r="AJ76" s="497"/>
      <c r="AK76" s="497"/>
      <c r="AL76" s="497"/>
      <c r="AM76" s="497"/>
      <c r="AN76" s="497"/>
      <c r="AO76" s="497"/>
      <c r="AP76" s="497"/>
      <c r="AQ76" s="497"/>
      <c r="AR76" s="497"/>
      <c r="AS76" s="497"/>
      <c r="AT76" s="497"/>
      <c r="AU76" s="497"/>
      <c r="AV76" s="497"/>
      <c r="AW76" s="497"/>
      <c r="AX76" s="497"/>
      <c r="AY76" s="497"/>
      <c r="AZ76" s="497"/>
      <c r="BA76" s="497"/>
      <c r="BB76" s="497"/>
      <c r="BC76" s="497"/>
      <c r="BD76" s="497"/>
      <c r="BE76" s="497"/>
      <c r="BF76" s="242"/>
      <c r="BG76" s="242"/>
    </row>
    <row r="77" spans="2:59" s="11" customFormat="1" ht="15" customHeight="1">
      <c r="C77" s="15" t="s">
        <v>161</v>
      </c>
      <c r="D77" s="14" t="s">
        <v>30</v>
      </c>
      <c r="E77" s="123">
        <f>INDEX(G77:Q77,Model!$E$1279)</f>
        <v>0</v>
      </c>
      <c r="F77" s="14"/>
      <c r="G77" s="349">
        <f t="shared" si="9"/>
        <v>0</v>
      </c>
      <c r="H77" s="349">
        <f t="shared" si="9"/>
        <v>0</v>
      </c>
      <c r="I77" s="349">
        <f t="shared" si="9"/>
        <v>0.12</v>
      </c>
      <c r="J77" s="349">
        <f t="shared" si="9"/>
        <v>0</v>
      </c>
      <c r="K77" s="349">
        <f t="shared" si="9"/>
        <v>0</v>
      </c>
      <c r="L77" s="349">
        <f t="shared" si="9"/>
        <v>0</v>
      </c>
      <c r="M77" s="349">
        <f t="shared" si="9"/>
        <v>0</v>
      </c>
      <c r="N77" s="349">
        <f t="shared" si="9"/>
        <v>0</v>
      </c>
      <c r="O77" s="349">
        <f t="shared" si="9"/>
        <v>0</v>
      </c>
      <c r="P77" s="349">
        <f t="shared" si="9"/>
        <v>0</v>
      </c>
      <c r="Q77" s="349">
        <f t="shared" si="9"/>
        <v>0</v>
      </c>
      <c r="R77" s="346"/>
      <c r="S77" s="314"/>
      <c r="T77" s="12"/>
      <c r="U77" s="15" t="s">
        <v>161</v>
      </c>
      <c r="V77" s="14"/>
      <c r="W77" s="14"/>
      <c r="X77" s="14"/>
      <c r="Y77" s="14"/>
      <c r="Z77" s="14"/>
      <c r="AA77" s="122" t="s">
        <v>30</v>
      </c>
      <c r="AB77" s="497"/>
      <c r="AC77" s="497"/>
      <c r="AD77" s="497"/>
      <c r="AE77" s="497"/>
      <c r="AF77" s="497">
        <v>0.12</v>
      </c>
      <c r="AG77" s="497"/>
      <c r="AH77" s="497"/>
      <c r="AI77" s="497"/>
      <c r="AJ77" s="497"/>
      <c r="AK77" s="497"/>
      <c r="AL77" s="497"/>
      <c r="AM77" s="497"/>
      <c r="AN77" s="497"/>
      <c r="AO77" s="497"/>
      <c r="AP77" s="497"/>
      <c r="AQ77" s="497"/>
      <c r="AR77" s="497"/>
      <c r="AS77" s="497"/>
      <c r="AT77" s="497"/>
      <c r="AU77" s="497"/>
      <c r="AV77" s="497"/>
      <c r="AW77" s="497"/>
      <c r="AX77" s="497"/>
      <c r="AY77" s="497"/>
      <c r="AZ77" s="497"/>
      <c r="BA77" s="497"/>
      <c r="BB77" s="497"/>
      <c r="BC77" s="497"/>
      <c r="BD77" s="497"/>
      <c r="BE77" s="497"/>
      <c r="BF77" s="242"/>
      <c r="BG77" s="242"/>
    </row>
    <row r="78" spans="2:59" s="11" customFormat="1" ht="15" customHeight="1">
      <c r="C78" s="228" t="s">
        <v>162</v>
      </c>
      <c r="D78" s="138"/>
      <c r="E78" s="267"/>
      <c r="F78" s="138"/>
      <c r="G78" s="352"/>
      <c r="H78" s="352"/>
      <c r="I78" s="352"/>
      <c r="J78" s="352"/>
      <c r="K78" s="352"/>
      <c r="L78" s="352"/>
      <c r="M78" s="352"/>
      <c r="N78" s="352"/>
      <c r="O78" s="352"/>
      <c r="P78" s="352"/>
      <c r="Q78" s="350"/>
      <c r="R78" s="346"/>
      <c r="S78" s="314"/>
      <c r="T78" s="12"/>
      <c r="U78" s="228" t="s">
        <v>162</v>
      </c>
      <c r="V78" s="138"/>
      <c r="W78" s="226"/>
      <c r="X78" s="138"/>
      <c r="Y78" s="226"/>
      <c r="Z78" s="138"/>
      <c r="AA78" s="219"/>
      <c r="AB78" s="14"/>
      <c r="AC78" s="14"/>
      <c r="AD78" s="14"/>
      <c r="AE78" s="14"/>
      <c r="AF78" s="14"/>
      <c r="AG78" s="219"/>
      <c r="AH78" s="14"/>
      <c r="AI78" s="14"/>
      <c r="AJ78" s="138"/>
      <c r="AK78" s="14"/>
      <c r="AL78" s="14"/>
      <c r="AM78" s="14"/>
      <c r="AN78" s="14"/>
      <c r="AO78" s="14"/>
      <c r="AP78" s="14"/>
      <c r="AQ78" s="14"/>
      <c r="AR78" s="14"/>
      <c r="AS78" s="14"/>
      <c r="AT78" s="14"/>
      <c r="AU78" s="14"/>
      <c r="AV78" s="14"/>
      <c r="AW78" s="14"/>
      <c r="AX78" s="14"/>
      <c r="AY78" s="14"/>
      <c r="AZ78" s="14"/>
      <c r="BA78" s="14"/>
      <c r="BB78" s="14"/>
      <c r="BC78" s="138"/>
      <c r="BD78" s="138"/>
      <c r="BE78" s="331"/>
    </row>
    <row r="79" spans="2:59" s="11" customFormat="1" ht="15" customHeight="1">
      <c r="C79" s="177" t="s">
        <v>163</v>
      </c>
      <c r="D79" s="166" t="s">
        <v>30</v>
      </c>
      <c r="E79" s="104">
        <f>INDEX(G79:Q79,Model!$E$1279)</f>
        <v>0.16</v>
      </c>
      <c r="F79" s="180"/>
      <c r="G79" s="377">
        <f t="shared" ref="G79:Q94" si="10">INDEX($AB79:$BE79,G$16)</f>
        <v>0.16</v>
      </c>
      <c r="H79" s="377">
        <f t="shared" si="10"/>
        <v>0.16</v>
      </c>
      <c r="I79" s="377">
        <f t="shared" si="2"/>
        <v>0</v>
      </c>
      <c r="J79" s="377">
        <f t="shared" si="2"/>
        <v>0</v>
      </c>
      <c r="K79" s="377">
        <f t="shared" si="2"/>
        <v>0.1</v>
      </c>
      <c r="L79" s="377">
        <f t="shared" si="2"/>
        <v>0.1</v>
      </c>
      <c r="M79" s="377">
        <f t="shared" si="2"/>
        <v>0.1</v>
      </c>
      <c r="N79" s="377">
        <f t="shared" si="2"/>
        <v>0</v>
      </c>
      <c r="O79" s="377">
        <f t="shared" si="2"/>
        <v>0</v>
      </c>
      <c r="P79" s="377">
        <f t="shared" si="2"/>
        <v>0</v>
      </c>
      <c r="Q79" s="377">
        <f t="shared" si="2"/>
        <v>0</v>
      </c>
      <c r="R79" s="346"/>
      <c r="S79" s="314"/>
      <c r="T79" s="378"/>
      <c r="U79" s="379" t="s">
        <v>163</v>
      </c>
      <c r="V79" s="380"/>
      <c r="W79" s="380"/>
      <c r="X79" s="380"/>
      <c r="Y79" s="380"/>
      <c r="Z79" s="380"/>
      <c r="AA79" s="381" t="s">
        <v>30</v>
      </c>
      <c r="AB79" s="493">
        <v>0.16</v>
      </c>
      <c r="AC79" s="493">
        <v>0.16</v>
      </c>
      <c r="AD79" s="493">
        <v>0.16</v>
      </c>
      <c r="AE79" s="493">
        <v>0</v>
      </c>
      <c r="AF79" s="494">
        <v>0</v>
      </c>
      <c r="AG79" s="493">
        <v>0.1</v>
      </c>
      <c r="AH79" s="493">
        <v>0.1</v>
      </c>
      <c r="AI79" s="493">
        <v>0.1</v>
      </c>
      <c r="AJ79" s="494">
        <v>0.1</v>
      </c>
      <c r="AK79" s="493">
        <v>0.15</v>
      </c>
      <c r="AL79" s="493">
        <v>0.1</v>
      </c>
      <c r="AM79" s="493">
        <v>0.1</v>
      </c>
      <c r="AN79" s="493">
        <v>0.1</v>
      </c>
      <c r="AO79" s="493">
        <v>0</v>
      </c>
      <c r="AP79" s="493">
        <v>0</v>
      </c>
      <c r="AQ79" s="493">
        <v>0</v>
      </c>
      <c r="AR79" s="493">
        <v>0</v>
      </c>
      <c r="AS79" s="493">
        <v>0</v>
      </c>
      <c r="AT79" s="493">
        <v>0</v>
      </c>
      <c r="AU79" s="493">
        <v>0</v>
      </c>
      <c r="AV79" s="494">
        <v>0</v>
      </c>
      <c r="AW79" s="494">
        <v>0</v>
      </c>
      <c r="AX79" s="494">
        <v>0</v>
      </c>
      <c r="AY79" s="493">
        <v>0</v>
      </c>
      <c r="AZ79" s="493"/>
      <c r="BA79" s="493"/>
      <c r="BB79" s="493"/>
      <c r="BC79" s="494"/>
      <c r="BD79" s="494"/>
      <c r="BE79" s="494"/>
      <c r="BF79" s="242"/>
      <c r="BG79" s="242"/>
    </row>
    <row r="80" spans="2:59" s="11" customFormat="1" ht="15" customHeight="1">
      <c r="C80" s="260" t="s">
        <v>164</v>
      </c>
      <c r="D80" s="11" t="s">
        <v>111</v>
      </c>
      <c r="E80" s="387">
        <f>INDEX(G80:Q80,Model!$E$1279)</f>
        <v>1</v>
      </c>
      <c r="F80" s="120"/>
      <c r="G80" s="386">
        <f t="shared" si="10"/>
        <v>1</v>
      </c>
      <c r="H80" s="386">
        <f t="shared" si="10"/>
        <v>1</v>
      </c>
      <c r="I80" s="386">
        <f t="shared" si="2"/>
        <v>1</v>
      </c>
      <c r="J80" s="386">
        <f t="shared" si="2"/>
        <v>1</v>
      </c>
      <c r="K80" s="386">
        <f t="shared" si="2"/>
        <v>1</v>
      </c>
      <c r="L80" s="386">
        <f t="shared" si="2"/>
        <v>1</v>
      </c>
      <c r="M80" s="386">
        <f t="shared" si="2"/>
        <v>1</v>
      </c>
      <c r="N80" s="386">
        <f t="shared" si="2"/>
        <v>1</v>
      </c>
      <c r="O80" s="386">
        <f t="shared" si="2"/>
        <v>1</v>
      </c>
      <c r="P80" s="386">
        <f t="shared" si="2"/>
        <v>1</v>
      </c>
      <c r="Q80" s="386">
        <f t="shared" si="2"/>
        <v>1</v>
      </c>
      <c r="R80" s="346"/>
      <c r="S80" s="314"/>
      <c r="T80" s="378"/>
      <c r="U80" s="260" t="s">
        <v>164</v>
      </c>
      <c r="V80" s="133"/>
      <c r="W80" s="133"/>
      <c r="X80" s="133"/>
      <c r="Y80" s="133"/>
      <c r="Z80" s="133"/>
      <c r="AA80" s="285" t="s">
        <v>111</v>
      </c>
      <c r="AB80" s="495">
        <v>1</v>
      </c>
      <c r="AC80" s="495">
        <v>1</v>
      </c>
      <c r="AD80" s="495">
        <v>1</v>
      </c>
      <c r="AE80" s="495">
        <v>1</v>
      </c>
      <c r="AF80" s="495">
        <v>1</v>
      </c>
      <c r="AG80" s="495">
        <v>1</v>
      </c>
      <c r="AH80" s="495">
        <v>1</v>
      </c>
      <c r="AI80" s="495">
        <v>1</v>
      </c>
      <c r="AJ80" s="495">
        <v>1</v>
      </c>
      <c r="AK80" s="495">
        <v>1</v>
      </c>
      <c r="AL80" s="495">
        <v>1</v>
      </c>
      <c r="AM80" s="495">
        <v>1</v>
      </c>
      <c r="AN80" s="495">
        <v>1</v>
      </c>
      <c r="AO80" s="495">
        <v>1</v>
      </c>
      <c r="AP80" s="495">
        <v>1</v>
      </c>
      <c r="AQ80" s="495">
        <v>1</v>
      </c>
      <c r="AR80" s="495">
        <v>1</v>
      </c>
      <c r="AS80" s="495">
        <v>1</v>
      </c>
      <c r="AT80" s="495">
        <v>1</v>
      </c>
      <c r="AU80" s="495">
        <v>1</v>
      </c>
      <c r="AV80" s="495">
        <v>1</v>
      </c>
      <c r="AW80" s="495">
        <v>1</v>
      </c>
      <c r="AX80" s="495">
        <v>1</v>
      </c>
      <c r="AY80" s="495">
        <v>1</v>
      </c>
      <c r="AZ80" s="495"/>
      <c r="BA80" s="495"/>
      <c r="BB80" s="495"/>
      <c r="BC80" s="495"/>
      <c r="BD80" s="495"/>
      <c r="BE80" s="495"/>
      <c r="BF80" s="242"/>
      <c r="BG80" s="242"/>
    </row>
    <row r="81" spans="3:59" s="11" customFormat="1" ht="15" customHeight="1">
      <c r="C81" s="375" t="s">
        <v>165</v>
      </c>
      <c r="D81" s="11" t="s">
        <v>111</v>
      </c>
      <c r="E81" s="387">
        <f>INDEX(G81:Q81,Model!$E$1279)</f>
        <v>3</v>
      </c>
      <c r="F81" s="120"/>
      <c r="G81" s="345">
        <f t="shared" si="10"/>
        <v>3</v>
      </c>
      <c r="H81" s="345">
        <f t="shared" si="10"/>
        <v>3</v>
      </c>
      <c r="I81" s="345">
        <f t="shared" si="2"/>
        <v>0</v>
      </c>
      <c r="J81" s="345">
        <f t="shared" si="2"/>
        <v>0</v>
      </c>
      <c r="K81" s="345">
        <f t="shared" si="2"/>
        <v>3</v>
      </c>
      <c r="L81" s="345">
        <f t="shared" si="2"/>
        <v>3</v>
      </c>
      <c r="M81" s="345">
        <f t="shared" si="2"/>
        <v>3</v>
      </c>
      <c r="N81" s="345">
        <f t="shared" si="2"/>
        <v>0</v>
      </c>
      <c r="O81" s="345">
        <f t="shared" si="2"/>
        <v>0</v>
      </c>
      <c r="P81" s="345">
        <f t="shared" si="2"/>
        <v>0</v>
      </c>
      <c r="Q81" s="345">
        <f t="shared" si="2"/>
        <v>0</v>
      </c>
      <c r="R81" s="346"/>
      <c r="S81" s="314"/>
      <c r="T81" s="12"/>
      <c r="U81" s="375" t="s">
        <v>165</v>
      </c>
      <c r="W81" s="132"/>
      <c r="Y81" s="132"/>
      <c r="AA81" s="285" t="s">
        <v>111</v>
      </c>
      <c r="AB81" s="495">
        <v>3</v>
      </c>
      <c r="AC81" s="495">
        <v>3</v>
      </c>
      <c r="AD81" s="495">
        <v>3</v>
      </c>
      <c r="AE81" s="495"/>
      <c r="AF81" s="495"/>
      <c r="AG81" s="495">
        <v>3</v>
      </c>
      <c r="AH81" s="495">
        <v>3</v>
      </c>
      <c r="AI81" s="495">
        <v>3</v>
      </c>
      <c r="AJ81" s="495">
        <v>3</v>
      </c>
      <c r="AK81" s="495">
        <v>3</v>
      </c>
      <c r="AL81" s="495">
        <v>3</v>
      </c>
      <c r="AM81" s="495">
        <v>3</v>
      </c>
      <c r="AN81" s="495">
        <v>3</v>
      </c>
      <c r="AO81" s="495"/>
      <c r="AP81" s="495"/>
      <c r="AQ81" s="495"/>
      <c r="AR81" s="495"/>
      <c r="AS81" s="495"/>
      <c r="AT81" s="495"/>
      <c r="AU81" s="495"/>
      <c r="AV81" s="495"/>
      <c r="AW81" s="495"/>
      <c r="AX81" s="495"/>
      <c r="AY81" s="495"/>
      <c r="AZ81" s="495"/>
      <c r="BA81" s="495"/>
      <c r="BB81" s="495"/>
      <c r="BC81" s="495"/>
      <c r="BD81" s="495"/>
      <c r="BE81" s="495"/>
      <c r="BF81" s="280"/>
      <c r="BG81" s="280"/>
    </row>
    <row r="82" spans="3:59" s="11" customFormat="1" ht="15" customHeight="1">
      <c r="C82" s="375" t="s">
        <v>166</v>
      </c>
      <c r="D82" s="11" t="s">
        <v>111</v>
      </c>
      <c r="E82" s="387">
        <f>INDEX(G82:Q82,Model!$E$1279)</f>
        <v>2</v>
      </c>
      <c r="F82" s="120"/>
      <c r="G82" s="345">
        <f t="shared" si="10"/>
        <v>2</v>
      </c>
      <c r="H82" s="345">
        <f t="shared" si="10"/>
        <v>2</v>
      </c>
      <c r="I82" s="345">
        <f t="shared" si="2"/>
        <v>2</v>
      </c>
      <c r="J82" s="345">
        <f t="shared" si="2"/>
        <v>2</v>
      </c>
      <c r="K82" s="345">
        <f t="shared" si="2"/>
        <v>2</v>
      </c>
      <c r="L82" s="345">
        <f t="shared" si="2"/>
        <v>2</v>
      </c>
      <c r="M82" s="345">
        <f t="shared" si="2"/>
        <v>2</v>
      </c>
      <c r="N82" s="345">
        <f t="shared" si="2"/>
        <v>2</v>
      </c>
      <c r="O82" s="345">
        <f t="shared" si="2"/>
        <v>2</v>
      </c>
      <c r="P82" s="345">
        <f t="shared" si="2"/>
        <v>2</v>
      </c>
      <c r="Q82" s="345">
        <f t="shared" si="2"/>
        <v>2</v>
      </c>
      <c r="R82" s="346"/>
      <c r="S82" s="314"/>
      <c r="T82" s="12"/>
      <c r="U82" s="375" t="s">
        <v>166</v>
      </c>
      <c r="W82" s="132"/>
      <c r="Y82" s="132"/>
      <c r="AA82" s="285" t="s">
        <v>111</v>
      </c>
      <c r="AB82" s="486">
        <v>2</v>
      </c>
      <c r="AC82" s="486">
        <v>2</v>
      </c>
      <c r="AD82" s="486">
        <v>2</v>
      </c>
      <c r="AE82" s="486">
        <v>2</v>
      </c>
      <c r="AF82" s="486">
        <v>2</v>
      </c>
      <c r="AG82" s="486">
        <v>2</v>
      </c>
      <c r="AH82" s="486">
        <v>2</v>
      </c>
      <c r="AI82" s="486">
        <v>2</v>
      </c>
      <c r="AJ82" s="486">
        <v>2</v>
      </c>
      <c r="AK82" s="486">
        <v>2</v>
      </c>
      <c r="AL82" s="486">
        <v>2</v>
      </c>
      <c r="AM82" s="486">
        <v>2</v>
      </c>
      <c r="AN82" s="486">
        <v>2</v>
      </c>
      <c r="AO82" s="486">
        <v>2</v>
      </c>
      <c r="AP82" s="486">
        <v>2</v>
      </c>
      <c r="AQ82" s="486">
        <v>2</v>
      </c>
      <c r="AR82" s="486">
        <v>2</v>
      </c>
      <c r="AS82" s="486">
        <v>2</v>
      </c>
      <c r="AT82" s="486">
        <v>2</v>
      </c>
      <c r="AU82" s="486">
        <v>2</v>
      </c>
      <c r="AV82" s="486">
        <v>2</v>
      </c>
      <c r="AW82" s="486">
        <v>2</v>
      </c>
      <c r="AX82" s="486">
        <v>2</v>
      </c>
      <c r="AY82" s="486">
        <v>2</v>
      </c>
      <c r="AZ82" s="486"/>
      <c r="BA82" s="486"/>
      <c r="BB82" s="486"/>
      <c r="BC82" s="486"/>
      <c r="BD82" s="486"/>
      <c r="BE82" s="486"/>
      <c r="BF82" s="280"/>
      <c r="BG82" s="280"/>
    </row>
    <row r="83" spans="3:59" s="11" customFormat="1" ht="15" customHeight="1">
      <c r="C83" s="375" t="s">
        <v>167</v>
      </c>
      <c r="D83" s="11" t="s">
        <v>111</v>
      </c>
      <c r="E83" s="387">
        <f>INDEX(G83:Q83,Model!$E$1279)</f>
        <v>2</v>
      </c>
      <c r="G83" s="345">
        <f t="shared" si="10"/>
        <v>2</v>
      </c>
      <c r="H83" s="345">
        <f t="shared" si="10"/>
        <v>1</v>
      </c>
      <c r="I83" s="345">
        <f t="shared" si="10"/>
        <v>2</v>
      </c>
      <c r="J83" s="345">
        <f t="shared" si="10"/>
        <v>2</v>
      </c>
      <c r="K83" s="345">
        <f t="shared" si="10"/>
        <v>2</v>
      </c>
      <c r="L83" s="345">
        <f t="shared" si="10"/>
        <v>2</v>
      </c>
      <c r="M83" s="345">
        <f t="shared" si="10"/>
        <v>2</v>
      </c>
      <c r="N83" s="345">
        <f t="shared" si="10"/>
        <v>2</v>
      </c>
      <c r="O83" s="345">
        <f t="shared" si="10"/>
        <v>2</v>
      </c>
      <c r="P83" s="345">
        <f t="shared" si="10"/>
        <v>2</v>
      </c>
      <c r="Q83" s="345">
        <f t="shared" si="10"/>
        <v>2</v>
      </c>
      <c r="R83" s="346"/>
      <c r="S83" s="314"/>
      <c r="T83" s="12"/>
      <c r="U83" s="375" t="s">
        <v>167</v>
      </c>
      <c r="W83" s="132"/>
      <c r="Y83" s="132"/>
      <c r="AA83" s="285" t="s">
        <v>111</v>
      </c>
      <c r="AB83" s="486">
        <v>2</v>
      </c>
      <c r="AC83" s="486">
        <v>1</v>
      </c>
      <c r="AD83" s="486">
        <v>1</v>
      </c>
      <c r="AE83" s="486">
        <v>2</v>
      </c>
      <c r="AF83" s="495">
        <v>2</v>
      </c>
      <c r="AG83" s="486">
        <v>2</v>
      </c>
      <c r="AH83" s="486">
        <v>2</v>
      </c>
      <c r="AI83" s="486">
        <v>2</v>
      </c>
      <c r="AJ83" s="495">
        <v>2</v>
      </c>
      <c r="AK83" s="486">
        <v>2</v>
      </c>
      <c r="AL83" s="486">
        <v>2</v>
      </c>
      <c r="AM83" s="486">
        <v>2</v>
      </c>
      <c r="AN83" s="486">
        <v>2</v>
      </c>
      <c r="AO83" s="486">
        <v>2</v>
      </c>
      <c r="AP83" s="486">
        <v>2</v>
      </c>
      <c r="AQ83" s="486">
        <v>2</v>
      </c>
      <c r="AR83" s="486">
        <v>2</v>
      </c>
      <c r="AS83" s="486">
        <v>2</v>
      </c>
      <c r="AT83" s="486">
        <v>2</v>
      </c>
      <c r="AU83" s="486">
        <v>2</v>
      </c>
      <c r="AV83" s="495">
        <v>2</v>
      </c>
      <c r="AW83" s="495">
        <v>2</v>
      </c>
      <c r="AX83" s="495">
        <v>2</v>
      </c>
      <c r="AY83" s="486">
        <v>2</v>
      </c>
      <c r="AZ83" s="486"/>
      <c r="BA83" s="486"/>
      <c r="BB83" s="486"/>
      <c r="BC83" s="495"/>
      <c r="BD83" s="495"/>
      <c r="BE83" s="495"/>
      <c r="BF83" s="280"/>
      <c r="BG83" s="280"/>
    </row>
    <row r="84" spans="3:59" s="11" customFormat="1" ht="15" customHeight="1">
      <c r="C84" s="189" t="s">
        <v>168</v>
      </c>
      <c r="D84" s="138"/>
      <c r="E84" s="404"/>
      <c r="F84" s="166"/>
      <c r="G84" s="408"/>
      <c r="H84" s="409"/>
      <c r="I84" s="409"/>
      <c r="J84" s="409"/>
      <c r="K84" s="409"/>
      <c r="L84" s="409"/>
      <c r="M84" s="409"/>
      <c r="N84" s="409"/>
      <c r="O84" s="409"/>
      <c r="P84" s="409"/>
      <c r="Q84" s="410"/>
      <c r="R84" s="346"/>
      <c r="S84" s="314"/>
      <c r="T84" s="12"/>
      <c r="U84" s="228" t="s">
        <v>162</v>
      </c>
      <c r="V84" s="138"/>
      <c r="W84" s="226"/>
      <c r="X84" s="138"/>
      <c r="Y84" s="226"/>
      <c r="Z84" s="138"/>
      <c r="AA84" s="219"/>
      <c r="AB84" s="493"/>
      <c r="AC84" s="493"/>
      <c r="AD84" s="493"/>
      <c r="AE84" s="493"/>
      <c r="AF84" s="494"/>
      <c r="AG84" s="493"/>
      <c r="AH84" s="493"/>
      <c r="AI84" s="493"/>
      <c r="AJ84" s="494"/>
      <c r="AK84" s="493"/>
      <c r="AL84" s="493"/>
      <c r="AM84" s="493"/>
      <c r="AN84" s="493"/>
      <c r="AO84" s="493"/>
      <c r="AP84" s="493"/>
      <c r="AQ84" s="493"/>
      <c r="AR84" s="493"/>
      <c r="AS84" s="493"/>
      <c r="AT84" s="493"/>
      <c r="AU84" s="493"/>
      <c r="AV84" s="494"/>
      <c r="AW84" s="494"/>
      <c r="AX84" s="494"/>
      <c r="AY84" s="493"/>
      <c r="AZ84" s="493"/>
      <c r="BA84" s="493"/>
      <c r="BB84" s="493"/>
      <c r="BC84" s="494"/>
      <c r="BD84" s="494"/>
      <c r="BE84" s="494"/>
    </row>
    <row r="85" spans="3:59" s="11" customFormat="1" ht="15" customHeight="1">
      <c r="C85" s="177" t="s">
        <v>169</v>
      </c>
      <c r="D85" s="166" t="s">
        <v>111</v>
      </c>
      <c r="E85" s="403">
        <f>INDEX(G85:Q85,Model!$E$1279)</f>
        <v>0</v>
      </c>
      <c r="F85" s="180"/>
      <c r="G85" s="386">
        <f t="shared" si="10"/>
        <v>0</v>
      </c>
      <c r="H85" s="386">
        <f t="shared" si="10"/>
        <v>1</v>
      </c>
      <c r="I85" s="386">
        <f t="shared" ref="H85:Q90" si="11">INDEX($AB85:$BE85,I$16)</f>
        <v>0</v>
      </c>
      <c r="J85" s="386">
        <f t="shared" si="11"/>
        <v>0</v>
      </c>
      <c r="K85" s="386">
        <f t="shared" si="11"/>
        <v>0</v>
      </c>
      <c r="L85" s="386">
        <f t="shared" si="11"/>
        <v>0</v>
      </c>
      <c r="M85" s="386">
        <f t="shared" si="11"/>
        <v>0</v>
      </c>
      <c r="N85" s="386">
        <f t="shared" si="11"/>
        <v>0</v>
      </c>
      <c r="O85" s="386">
        <f t="shared" si="11"/>
        <v>0</v>
      </c>
      <c r="P85" s="386">
        <f t="shared" si="11"/>
        <v>0</v>
      </c>
      <c r="Q85" s="386">
        <f t="shared" si="11"/>
        <v>0</v>
      </c>
      <c r="R85" s="346"/>
      <c r="S85" s="314"/>
      <c r="T85" s="12"/>
      <c r="U85" s="177" t="s">
        <v>169</v>
      </c>
      <c r="V85" s="166"/>
      <c r="W85" s="402"/>
      <c r="X85" s="166"/>
      <c r="Y85" s="402"/>
      <c r="Z85" s="166"/>
      <c r="AA85" s="180" t="s">
        <v>111</v>
      </c>
      <c r="AB85" s="496"/>
      <c r="AC85" s="496">
        <v>1</v>
      </c>
      <c r="AD85" s="496">
        <v>1</v>
      </c>
      <c r="AE85" s="496"/>
      <c r="AF85" s="496"/>
      <c r="AG85" s="496"/>
      <c r="AH85" s="496"/>
      <c r="AI85" s="496"/>
      <c r="AJ85" s="496"/>
      <c r="AK85" s="496"/>
      <c r="AL85" s="496"/>
      <c r="AM85" s="496"/>
      <c r="AN85" s="496"/>
      <c r="AO85" s="496"/>
      <c r="AP85" s="496"/>
      <c r="AQ85" s="496"/>
      <c r="AR85" s="496"/>
      <c r="AS85" s="496"/>
      <c r="AT85" s="496"/>
      <c r="AU85" s="496"/>
      <c r="AV85" s="496"/>
      <c r="AW85" s="496"/>
      <c r="AX85" s="496"/>
      <c r="AY85" s="496"/>
      <c r="AZ85" s="496"/>
      <c r="BA85" s="496"/>
      <c r="BB85" s="496"/>
      <c r="BC85" s="496"/>
      <c r="BD85" s="496"/>
      <c r="BE85" s="496"/>
      <c r="BF85" s="287"/>
      <c r="BG85" s="287"/>
    </row>
    <row r="86" spans="3:59" s="11" customFormat="1" ht="15" customHeight="1">
      <c r="C86" s="260" t="s">
        <v>170</v>
      </c>
      <c r="D86" s="11" t="s">
        <v>30</v>
      </c>
      <c r="E86" s="104">
        <f>INDEX(G86:Q86,Model!$E$1279)</f>
        <v>0</v>
      </c>
      <c r="F86" s="156"/>
      <c r="G86" s="412">
        <f t="shared" si="10"/>
        <v>0</v>
      </c>
      <c r="H86" s="412">
        <f t="shared" si="11"/>
        <v>0.5</v>
      </c>
      <c r="I86" s="412">
        <f t="shared" si="11"/>
        <v>0</v>
      </c>
      <c r="J86" s="412">
        <f t="shared" si="11"/>
        <v>0</v>
      </c>
      <c r="K86" s="412">
        <f t="shared" si="11"/>
        <v>0</v>
      </c>
      <c r="L86" s="412">
        <f t="shared" si="11"/>
        <v>0</v>
      </c>
      <c r="M86" s="412">
        <f t="shared" si="11"/>
        <v>0</v>
      </c>
      <c r="N86" s="412">
        <f t="shared" si="11"/>
        <v>0</v>
      </c>
      <c r="O86" s="412">
        <f t="shared" si="11"/>
        <v>0</v>
      </c>
      <c r="P86" s="412">
        <f t="shared" si="11"/>
        <v>0</v>
      </c>
      <c r="Q86" s="412">
        <f t="shared" si="11"/>
        <v>0</v>
      </c>
      <c r="R86" s="346"/>
      <c r="S86" s="314"/>
      <c r="T86" s="12"/>
      <c r="U86" s="260" t="s">
        <v>170</v>
      </c>
      <c r="W86" s="9"/>
      <c r="Y86" s="9"/>
      <c r="AA86" s="120" t="s">
        <v>30</v>
      </c>
      <c r="AB86" s="496"/>
      <c r="AC86" s="497">
        <v>0.5</v>
      </c>
      <c r="AD86" s="497">
        <v>0.57999999999999996</v>
      </c>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6"/>
      <c r="BC86" s="496"/>
      <c r="BD86" s="496"/>
      <c r="BE86" s="496"/>
      <c r="BF86" s="287"/>
      <c r="BG86" s="287"/>
    </row>
    <row r="87" spans="3:59" s="11" customFormat="1" ht="15" customHeight="1">
      <c r="C87" s="260" t="s">
        <v>171</v>
      </c>
      <c r="D87" s="11" t="s">
        <v>111</v>
      </c>
      <c r="E87" s="387">
        <f>INDEX(G87:Q87,Model!$E$1279)</f>
        <v>0</v>
      </c>
      <c r="F87" s="120"/>
      <c r="G87" s="386">
        <f t="shared" si="10"/>
        <v>0</v>
      </c>
      <c r="H87" s="386">
        <f t="shared" si="10"/>
        <v>1</v>
      </c>
      <c r="I87" s="386">
        <f t="shared" si="11"/>
        <v>0</v>
      </c>
      <c r="J87" s="386">
        <f t="shared" si="11"/>
        <v>0</v>
      </c>
      <c r="K87" s="386">
        <f t="shared" si="11"/>
        <v>0</v>
      </c>
      <c r="L87" s="386">
        <f t="shared" si="11"/>
        <v>0</v>
      </c>
      <c r="M87" s="386">
        <f t="shared" si="11"/>
        <v>0</v>
      </c>
      <c r="N87" s="386">
        <f t="shared" si="11"/>
        <v>0</v>
      </c>
      <c r="O87" s="386">
        <f t="shared" si="11"/>
        <v>0</v>
      </c>
      <c r="P87" s="386">
        <f t="shared" si="11"/>
        <v>0</v>
      </c>
      <c r="Q87" s="386">
        <f t="shared" si="11"/>
        <v>0</v>
      </c>
      <c r="R87" s="346"/>
      <c r="S87" s="314"/>
      <c r="T87" s="12"/>
      <c r="U87" s="260" t="s">
        <v>171</v>
      </c>
      <c r="W87" s="9"/>
      <c r="Y87" s="9"/>
      <c r="AA87" s="285" t="s">
        <v>111</v>
      </c>
      <c r="AB87" s="496"/>
      <c r="AC87" s="496">
        <v>1</v>
      </c>
      <c r="AD87" s="496">
        <v>1</v>
      </c>
      <c r="AE87" s="496"/>
      <c r="AF87" s="496"/>
      <c r="AG87" s="496"/>
      <c r="AH87" s="496"/>
      <c r="AI87" s="496"/>
      <c r="AJ87" s="496"/>
      <c r="AK87" s="496"/>
      <c r="AL87" s="496"/>
      <c r="AM87" s="496"/>
      <c r="AN87" s="496"/>
      <c r="AO87" s="496"/>
      <c r="AP87" s="496"/>
      <c r="AQ87" s="496"/>
      <c r="AR87" s="496"/>
      <c r="AS87" s="496"/>
      <c r="AT87" s="496"/>
      <c r="AU87" s="496"/>
      <c r="AV87" s="496"/>
      <c r="AW87" s="496"/>
      <c r="AX87" s="496"/>
      <c r="AY87" s="496"/>
      <c r="AZ87" s="496"/>
      <c r="BA87" s="496"/>
      <c r="BB87" s="496"/>
      <c r="BC87" s="496"/>
      <c r="BD87" s="496"/>
      <c r="BE87" s="496"/>
      <c r="BF87" s="287"/>
      <c r="BG87" s="287"/>
    </row>
    <row r="88" spans="3:59" s="11" customFormat="1" ht="15" customHeight="1">
      <c r="C88" s="260" t="s">
        <v>172</v>
      </c>
      <c r="D88" s="11" t="s">
        <v>111</v>
      </c>
      <c r="E88" s="387">
        <f>INDEX(G88:Q88,Model!$E$1279)</f>
        <v>0</v>
      </c>
      <c r="F88" s="120"/>
      <c r="G88" s="386">
        <v>0</v>
      </c>
      <c r="H88" s="386">
        <v>0</v>
      </c>
      <c r="I88" s="386">
        <v>1</v>
      </c>
      <c r="J88" s="386">
        <v>0</v>
      </c>
      <c r="K88" s="386">
        <v>0</v>
      </c>
      <c r="L88" s="386">
        <v>0</v>
      </c>
      <c r="M88" s="386">
        <v>0</v>
      </c>
      <c r="N88" s="386">
        <v>0</v>
      </c>
      <c r="O88" s="386">
        <v>0</v>
      </c>
      <c r="P88" s="386">
        <v>0</v>
      </c>
      <c r="Q88" s="386">
        <v>0</v>
      </c>
      <c r="R88" s="346"/>
      <c r="S88" s="314"/>
      <c r="T88" s="12"/>
      <c r="U88" s="260" t="s">
        <v>172</v>
      </c>
      <c r="W88" s="9"/>
      <c r="Y88" s="9"/>
      <c r="AA88" s="285" t="s">
        <v>111</v>
      </c>
      <c r="AB88" s="496"/>
      <c r="AC88" s="496"/>
      <c r="AD88" s="496">
        <v>1</v>
      </c>
      <c r="AE88" s="496"/>
      <c r="AF88" s="496"/>
      <c r="AG88" s="496"/>
      <c r="AH88" s="496"/>
      <c r="AI88" s="496"/>
      <c r="AJ88" s="496"/>
      <c r="AK88" s="496"/>
      <c r="AL88" s="496"/>
      <c r="AM88" s="496"/>
      <c r="AN88" s="496"/>
      <c r="AO88" s="496"/>
      <c r="AP88" s="496"/>
      <c r="AQ88" s="496"/>
      <c r="AR88" s="496"/>
      <c r="AS88" s="496"/>
      <c r="AT88" s="496"/>
      <c r="AU88" s="496"/>
      <c r="AV88" s="496"/>
      <c r="AW88" s="496"/>
      <c r="AX88" s="496"/>
      <c r="AY88" s="496"/>
      <c r="AZ88" s="496"/>
      <c r="BA88" s="496"/>
      <c r="BB88" s="496"/>
      <c r="BC88" s="496"/>
      <c r="BD88" s="496"/>
      <c r="BE88" s="496"/>
      <c r="BF88" s="287"/>
      <c r="BG88" s="287"/>
    </row>
    <row r="89" spans="3:59" s="11" customFormat="1" ht="15" customHeight="1">
      <c r="C89" s="177" t="s">
        <v>173</v>
      </c>
      <c r="D89" s="166" t="s">
        <v>111</v>
      </c>
      <c r="E89" s="403">
        <f>INDEX(G89:Q89,Model!$E$1279)</f>
        <v>0</v>
      </c>
      <c r="F89" s="180"/>
      <c r="G89" s="386">
        <f t="shared" si="10"/>
        <v>0</v>
      </c>
      <c r="H89" s="386">
        <f t="shared" si="10"/>
        <v>0</v>
      </c>
      <c r="I89" s="386">
        <f t="shared" si="11"/>
        <v>0</v>
      </c>
      <c r="J89" s="386">
        <f t="shared" si="11"/>
        <v>1</v>
      </c>
      <c r="K89" s="386">
        <f t="shared" si="11"/>
        <v>0</v>
      </c>
      <c r="L89" s="386">
        <f t="shared" si="11"/>
        <v>0</v>
      </c>
      <c r="M89" s="386">
        <f t="shared" si="11"/>
        <v>0</v>
      </c>
      <c r="N89" s="386">
        <f t="shared" si="11"/>
        <v>0</v>
      </c>
      <c r="O89" s="386">
        <f t="shared" si="11"/>
        <v>0</v>
      </c>
      <c r="P89" s="386">
        <f t="shared" si="11"/>
        <v>0</v>
      </c>
      <c r="Q89" s="386">
        <f t="shared" si="11"/>
        <v>0</v>
      </c>
      <c r="R89" s="346"/>
      <c r="S89" s="314"/>
      <c r="T89" s="12"/>
      <c r="U89" s="177" t="s">
        <v>173</v>
      </c>
      <c r="V89" s="166"/>
      <c r="W89" s="402"/>
      <c r="X89" s="166"/>
      <c r="Y89" s="402"/>
      <c r="Z89" s="166"/>
      <c r="AA89" s="414" t="s">
        <v>111</v>
      </c>
      <c r="AB89" s="496"/>
      <c r="AC89" s="496"/>
      <c r="AD89" s="496"/>
      <c r="AE89" s="496">
        <v>1</v>
      </c>
      <c r="AF89" s="496"/>
      <c r="AG89" s="496"/>
      <c r="AH89" s="496"/>
      <c r="AI89" s="496"/>
      <c r="AJ89" s="496"/>
      <c r="AK89" s="496"/>
      <c r="AL89" s="496"/>
      <c r="AM89" s="496"/>
      <c r="AN89" s="496"/>
      <c r="AO89" s="496"/>
      <c r="AP89" s="496"/>
      <c r="AQ89" s="496"/>
      <c r="AR89" s="496"/>
      <c r="AS89" s="496"/>
      <c r="AT89" s="496"/>
      <c r="AU89" s="496"/>
      <c r="AV89" s="496"/>
      <c r="AW89" s="496"/>
      <c r="AX89" s="496"/>
      <c r="AY89" s="496"/>
      <c r="AZ89" s="496"/>
      <c r="BA89" s="496"/>
      <c r="BB89" s="496"/>
      <c r="BC89" s="496"/>
      <c r="BD89" s="496"/>
      <c r="BE89" s="496"/>
      <c r="BF89" s="287"/>
      <c r="BG89" s="287"/>
    </row>
    <row r="90" spans="3:59" s="11" customFormat="1" ht="15" customHeight="1">
      <c r="C90" s="260" t="s">
        <v>174</v>
      </c>
      <c r="D90" s="11" t="s">
        <v>30</v>
      </c>
      <c r="E90" s="104">
        <f>INDEX(G90:Q90,Model!$E$1279)</f>
        <v>0</v>
      </c>
      <c r="F90" s="120"/>
      <c r="G90" s="412">
        <f t="shared" si="10"/>
        <v>0</v>
      </c>
      <c r="H90" s="412">
        <f t="shared" si="10"/>
        <v>0</v>
      </c>
      <c r="I90" s="412">
        <f t="shared" si="11"/>
        <v>0</v>
      </c>
      <c r="J90" s="412">
        <f t="shared" si="11"/>
        <v>0.5</v>
      </c>
      <c r="K90" s="412">
        <f t="shared" si="11"/>
        <v>0</v>
      </c>
      <c r="L90" s="412">
        <f t="shared" si="11"/>
        <v>0</v>
      </c>
      <c r="M90" s="412">
        <f t="shared" si="11"/>
        <v>0</v>
      </c>
      <c r="N90" s="412">
        <f t="shared" si="11"/>
        <v>0</v>
      </c>
      <c r="O90" s="412">
        <f t="shared" si="11"/>
        <v>0</v>
      </c>
      <c r="P90" s="412">
        <f t="shared" si="11"/>
        <v>0</v>
      </c>
      <c r="Q90" s="412">
        <f t="shared" si="11"/>
        <v>0</v>
      </c>
      <c r="R90" s="346"/>
      <c r="S90" s="314"/>
      <c r="T90" s="12"/>
      <c r="U90" s="260" t="s">
        <v>174</v>
      </c>
      <c r="W90" s="9"/>
      <c r="Y90" s="9"/>
      <c r="AA90" s="120" t="s">
        <v>30</v>
      </c>
      <c r="AB90" s="496"/>
      <c r="AC90" s="496"/>
      <c r="AD90" s="496"/>
      <c r="AE90" s="497">
        <v>0.5</v>
      </c>
      <c r="AF90" s="496"/>
      <c r="AG90" s="496"/>
      <c r="AH90" s="496"/>
      <c r="AI90" s="496"/>
      <c r="AJ90" s="496"/>
      <c r="AK90" s="496"/>
      <c r="AL90" s="496"/>
      <c r="AM90" s="496"/>
      <c r="AN90" s="496"/>
      <c r="AO90" s="496"/>
      <c r="AP90" s="496"/>
      <c r="AQ90" s="496"/>
      <c r="AR90" s="496"/>
      <c r="AS90" s="496"/>
      <c r="AT90" s="496"/>
      <c r="AU90" s="496"/>
      <c r="AV90" s="496"/>
      <c r="AW90" s="496"/>
      <c r="AX90" s="496"/>
      <c r="AY90" s="496"/>
      <c r="AZ90" s="496"/>
      <c r="BA90" s="496"/>
      <c r="BB90" s="496"/>
      <c r="BC90" s="496"/>
      <c r="BD90" s="496"/>
      <c r="BE90" s="496"/>
      <c r="BF90" s="287"/>
      <c r="BG90" s="287"/>
    </row>
    <row r="91" spans="3:59" s="11" customFormat="1" ht="15" customHeight="1">
      <c r="C91" s="260" t="s">
        <v>175</v>
      </c>
      <c r="D91" s="11" t="s">
        <v>42</v>
      </c>
      <c r="E91" s="387">
        <f>INDEX(G91:Q91,Model!$E$1279)</f>
        <v>0</v>
      </c>
      <c r="F91" s="120"/>
      <c r="G91" s="386">
        <f t="shared" si="10"/>
        <v>0</v>
      </c>
      <c r="H91" s="386">
        <f t="shared" si="10"/>
        <v>0</v>
      </c>
      <c r="I91" s="386">
        <f t="shared" si="2"/>
        <v>0</v>
      </c>
      <c r="J91" s="386">
        <f t="shared" si="2"/>
        <v>5</v>
      </c>
      <c r="K91" s="386">
        <f t="shared" si="2"/>
        <v>0</v>
      </c>
      <c r="L91" s="386">
        <f t="shared" si="2"/>
        <v>0</v>
      </c>
      <c r="M91" s="386">
        <f t="shared" si="2"/>
        <v>0</v>
      </c>
      <c r="N91" s="386">
        <f t="shared" si="2"/>
        <v>0</v>
      </c>
      <c r="O91" s="386">
        <f t="shared" si="2"/>
        <v>0</v>
      </c>
      <c r="P91" s="386">
        <f t="shared" si="2"/>
        <v>0</v>
      </c>
      <c r="Q91" s="386">
        <f t="shared" si="2"/>
        <v>0</v>
      </c>
      <c r="R91" s="346"/>
      <c r="S91" s="314"/>
      <c r="T91" s="378"/>
      <c r="U91" s="260" t="s">
        <v>175</v>
      </c>
      <c r="W91" s="133"/>
      <c r="X91" s="133"/>
      <c r="Y91" s="133"/>
      <c r="Z91" s="133"/>
      <c r="AA91" s="411" t="s">
        <v>42</v>
      </c>
      <c r="AB91" s="496"/>
      <c r="AC91" s="496"/>
      <c r="AD91" s="496"/>
      <c r="AE91" s="496">
        <v>5</v>
      </c>
      <c r="AF91" s="496"/>
      <c r="AG91" s="496"/>
      <c r="AH91" s="496"/>
      <c r="AI91" s="496"/>
      <c r="AJ91" s="496"/>
      <c r="AK91" s="496"/>
      <c r="AL91" s="496"/>
      <c r="AM91" s="496"/>
      <c r="AN91" s="496"/>
      <c r="AO91" s="496"/>
      <c r="AP91" s="496"/>
      <c r="AQ91" s="496"/>
      <c r="AR91" s="496"/>
      <c r="AS91" s="496"/>
      <c r="AT91" s="496"/>
      <c r="AU91" s="496"/>
      <c r="AV91" s="496"/>
      <c r="AW91" s="496"/>
      <c r="AX91" s="496"/>
      <c r="AY91" s="496"/>
      <c r="AZ91" s="496"/>
      <c r="BA91" s="496"/>
      <c r="BB91" s="496"/>
      <c r="BC91" s="496"/>
      <c r="BD91" s="496"/>
      <c r="BE91" s="496"/>
      <c r="BF91" s="407"/>
      <c r="BG91" s="407"/>
    </row>
    <row r="92" spans="3:59" s="11" customFormat="1" ht="15" customHeight="1">
      <c r="C92" s="15" t="s">
        <v>176</v>
      </c>
      <c r="D92" s="14" t="s">
        <v>30</v>
      </c>
      <c r="E92" s="123">
        <f>INDEX(G92:Q92,Model!$E$1279)</f>
        <v>0</v>
      </c>
      <c r="F92" s="122"/>
      <c r="G92" s="412">
        <f t="shared" si="10"/>
        <v>0</v>
      </c>
      <c r="H92" s="412">
        <f t="shared" si="10"/>
        <v>0</v>
      </c>
      <c r="I92" s="412">
        <f t="shared" si="10"/>
        <v>0</v>
      </c>
      <c r="J92" s="412">
        <f t="shared" si="10"/>
        <v>0.25</v>
      </c>
      <c r="K92" s="412">
        <f t="shared" si="10"/>
        <v>0</v>
      </c>
      <c r="L92" s="412">
        <f t="shared" si="10"/>
        <v>0</v>
      </c>
      <c r="M92" s="412">
        <f t="shared" si="10"/>
        <v>0</v>
      </c>
      <c r="N92" s="412">
        <f t="shared" si="10"/>
        <v>0</v>
      </c>
      <c r="O92" s="412">
        <f t="shared" si="10"/>
        <v>0</v>
      </c>
      <c r="P92" s="412">
        <f t="shared" si="10"/>
        <v>0</v>
      </c>
      <c r="Q92" s="412">
        <f t="shared" si="10"/>
        <v>0</v>
      </c>
      <c r="R92" s="346"/>
      <c r="S92" s="314"/>
      <c r="T92" s="378"/>
      <c r="U92" s="15" t="s">
        <v>176</v>
      </c>
      <c r="V92" s="14"/>
      <c r="W92" s="405"/>
      <c r="X92" s="405"/>
      <c r="Y92" s="405"/>
      <c r="Z92" s="405"/>
      <c r="AA92" s="406" t="s">
        <v>30</v>
      </c>
      <c r="AB92" s="497"/>
      <c r="AC92" s="497"/>
      <c r="AD92" s="497"/>
      <c r="AE92" s="497">
        <v>0.25</v>
      </c>
      <c r="AF92" s="497"/>
      <c r="AG92" s="497"/>
      <c r="AH92" s="497"/>
      <c r="AI92" s="497"/>
      <c r="AJ92" s="497"/>
      <c r="AK92" s="497"/>
      <c r="AL92" s="497"/>
      <c r="AM92" s="497"/>
      <c r="AN92" s="497"/>
      <c r="AO92" s="497"/>
      <c r="AP92" s="497"/>
      <c r="AQ92" s="497"/>
      <c r="AR92" s="497"/>
      <c r="AS92" s="497"/>
      <c r="AT92" s="497"/>
      <c r="AU92" s="497"/>
      <c r="AV92" s="497"/>
      <c r="AW92" s="497"/>
      <c r="AX92" s="497"/>
      <c r="AY92" s="497"/>
      <c r="AZ92" s="497"/>
      <c r="BA92" s="497"/>
      <c r="BB92" s="497"/>
      <c r="BC92" s="497"/>
      <c r="BD92" s="497"/>
      <c r="BE92" s="497"/>
      <c r="BF92" s="242"/>
      <c r="BG92" s="242"/>
    </row>
    <row r="93" spans="3:59" s="11" customFormat="1" ht="15" customHeight="1">
      <c r="C93" s="177" t="s">
        <v>177</v>
      </c>
      <c r="D93" s="166" t="s">
        <v>111</v>
      </c>
      <c r="E93" s="403">
        <f>INDEX(G93:Q93,Model!$E$1279)</f>
        <v>0</v>
      </c>
      <c r="F93" s="180"/>
      <c r="G93" s="345">
        <f t="shared" si="10"/>
        <v>0</v>
      </c>
      <c r="H93" s="345">
        <f t="shared" si="10"/>
        <v>0</v>
      </c>
      <c r="I93" s="345">
        <f t="shared" si="10"/>
        <v>1</v>
      </c>
      <c r="J93" s="345">
        <f t="shared" si="10"/>
        <v>0</v>
      </c>
      <c r="K93" s="345">
        <f t="shared" si="10"/>
        <v>0</v>
      </c>
      <c r="L93" s="345">
        <f t="shared" si="10"/>
        <v>0</v>
      </c>
      <c r="M93" s="345">
        <f t="shared" si="10"/>
        <v>0</v>
      </c>
      <c r="N93" s="345">
        <f t="shared" si="10"/>
        <v>0</v>
      </c>
      <c r="O93" s="345">
        <f t="shared" si="10"/>
        <v>0</v>
      </c>
      <c r="P93" s="345">
        <f t="shared" si="10"/>
        <v>0</v>
      </c>
      <c r="Q93" s="345">
        <f t="shared" si="10"/>
        <v>0</v>
      </c>
      <c r="R93" s="346"/>
      <c r="S93" s="314"/>
      <c r="T93" s="378"/>
      <c r="U93" s="177" t="s">
        <v>177</v>
      </c>
      <c r="V93" s="166"/>
      <c r="W93" s="380"/>
      <c r="X93" s="380"/>
      <c r="Y93" s="380"/>
      <c r="Z93" s="380"/>
      <c r="AA93" s="381"/>
      <c r="AB93" s="497"/>
      <c r="AC93" s="497"/>
      <c r="AD93" s="497"/>
      <c r="AE93" s="497"/>
      <c r="AF93" s="496">
        <v>1</v>
      </c>
      <c r="AG93" s="497"/>
      <c r="AH93" s="497"/>
      <c r="AI93" s="497"/>
      <c r="AJ93" s="497"/>
      <c r="AK93" s="497"/>
      <c r="AL93" s="497"/>
      <c r="AM93" s="497"/>
      <c r="AN93" s="497"/>
      <c r="AO93" s="497"/>
      <c r="AP93" s="497"/>
      <c r="AQ93" s="497"/>
      <c r="AR93" s="497"/>
      <c r="AS93" s="497"/>
      <c r="AT93" s="497"/>
      <c r="AU93" s="497"/>
      <c r="AV93" s="497"/>
      <c r="AW93" s="497"/>
      <c r="AX93" s="497"/>
      <c r="AY93" s="497"/>
      <c r="AZ93" s="497"/>
      <c r="BA93" s="497"/>
      <c r="BB93" s="497"/>
      <c r="BC93" s="497"/>
      <c r="BD93" s="497"/>
      <c r="BE93" s="497"/>
      <c r="BF93" s="242"/>
      <c r="BG93" s="242"/>
    </row>
    <row r="94" spans="3:59" s="11" customFormat="1" ht="15" customHeight="1">
      <c r="C94" s="260" t="s">
        <v>174</v>
      </c>
      <c r="D94" s="11" t="s">
        <v>30</v>
      </c>
      <c r="E94" s="104">
        <f>INDEX(G94:Q94,Model!$E$1279)</f>
        <v>0</v>
      </c>
      <c r="F94" s="120"/>
      <c r="G94" s="412">
        <f t="shared" si="10"/>
        <v>0</v>
      </c>
      <c r="H94" s="412">
        <f t="shared" si="10"/>
        <v>0</v>
      </c>
      <c r="I94" s="412">
        <f t="shared" si="10"/>
        <v>0.5</v>
      </c>
      <c r="J94" s="412">
        <f t="shared" si="10"/>
        <v>0</v>
      </c>
      <c r="K94" s="412">
        <f t="shared" si="10"/>
        <v>0</v>
      </c>
      <c r="L94" s="412">
        <f t="shared" si="10"/>
        <v>0</v>
      </c>
      <c r="M94" s="412">
        <f t="shared" si="10"/>
        <v>0</v>
      </c>
      <c r="N94" s="412">
        <f t="shared" si="10"/>
        <v>0</v>
      </c>
      <c r="O94" s="412">
        <f t="shared" si="10"/>
        <v>0</v>
      </c>
      <c r="P94" s="412">
        <f t="shared" si="10"/>
        <v>0</v>
      </c>
      <c r="Q94" s="412">
        <f t="shared" si="10"/>
        <v>0</v>
      </c>
      <c r="R94" s="346"/>
      <c r="S94" s="314"/>
      <c r="T94" s="378"/>
      <c r="U94" s="260" t="s">
        <v>174</v>
      </c>
      <c r="W94" s="133"/>
      <c r="X94" s="133"/>
      <c r="Y94" s="133"/>
      <c r="Z94" s="133"/>
      <c r="AA94" s="411" t="s">
        <v>30</v>
      </c>
      <c r="AB94" s="498"/>
      <c r="AC94" s="498"/>
      <c r="AD94" s="498"/>
      <c r="AE94" s="498"/>
      <c r="AF94" s="498">
        <v>0.5</v>
      </c>
      <c r="AG94" s="498"/>
      <c r="AH94" s="498"/>
      <c r="AI94" s="498"/>
      <c r="AJ94" s="497"/>
      <c r="AK94" s="498"/>
      <c r="AL94" s="498"/>
      <c r="AM94" s="498"/>
      <c r="AN94" s="498"/>
      <c r="AO94" s="498"/>
      <c r="AP94" s="498"/>
      <c r="AQ94" s="498"/>
      <c r="AR94" s="498"/>
      <c r="AS94" s="498"/>
      <c r="AT94" s="498"/>
      <c r="AU94" s="498"/>
      <c r="AV94" s="498"/>
      <c r="AW94" s="498"/>
      <c r="AX94" s="498"/>
      <c r="AY94" s="498"/>
      <c r="AZ94" s="498"/>
      <c r="BA94" s="498"/>
      <c r="BB94" s="498"/>
      <c r="BC94" s="497"/>
      <c r="BD94" s="497"/>
      <c r="BE94" s="497"/>
      <c r="BF94" s="242"/>
      <c r="BG94" s="242"/>
    </row>
    <row r="95" spans="3:59" s="11" customFormat="1" ht="15" customHeight="1">
      <c r="C95" s="228" t="s">
        <v>178</v>
      </c>
      <c r="D95" s="138"/>
      <c r="E95" s="267"/>
      <c r="F95" s="138"/>
      <c r="G95" s="352"/>
      <c r="H95" s="352"/>
      <c r="I95" s="352"/>
      <c r="J95" s="352"/>
      <c r="K95" s="352"/>
      <c r="L95" s="352"/>
      <c r="M95" s="352"/>
      <c r="N95" s="352"/>
      <c r="O95" s="352"/>
      <c r="P95" s="352"/>
      <c r="Q95" s="350"/>
      <c r="R95" s="346"/>
      <c r="S95" s="314"/>
      <c r="T95" s="12"/>
      <c r="U95" s="228" t="s">
        <v>178</v>
      </c>
      <c r="V95" s="138"/>
      <c r="W95" s="226"/>
      <c r="X95" s="138"/>
      <c r="Y95" s="226"/>
      <c r="Z95" s="138"/>
      <c r="AA95" s="219"/>
      <c r="AB95" s="14"/>
      <c r="AC95" s="14"/>
      <c r="AD95" s="14"/>
      <c r="AE95" s="14"/>
      <c r="AF95" s="14"/>
      <c r="AG95" s="14"/>
      <c r="AH95" s="14"/>
      <c r="AI95" s="14"/>
      <c r="AJ95" s="138"/>
      <c r="AK95" s="14"/>
      <c r="AL95" s="14"/>
      <c r="AM95" s="14"/>
      <c r="AN95" s="14"/>
      <c r="AO95" s="14"/>
      <c r="AP95" s="14"/>
      <c r="AQ95" s="14"/>
      <c r="AR95" s="14"/>
      <c r="AS95" s="14"/>
      <c r="AT95" s="14"/>
      <c r="AU95" s="14"/>
      <c r="AV95" s="14"/>
      <c r="AW95" s="14"/>
      <c r="AX95" s="14"/>
      <c r="AY95" s="14"/>
      <c r="AZ95" s="14"/>
      <c r="BA95" s="14"/>
      <c r="BB95" s="14"/>
      <c r="BC95" s="138"/>
      <c r="BD95" s="138"/>
      <c r="BE95" s="331"/>
    </row>
    <row r="96" spans="3:59" s="11" customFormat="1" ht="15" customHeight="1">
      <c r="C96" s="260" t="s">
        <v>179</v>
      </c>
      <c r="D96" s="11" t="s">
        <v>111</v>
      </c>
      <c r="E96" s="119">
        <f>INDEX(G96:Q96,Model!$E$1279)</f>
        <v>1</v>
      </c>
      <c r="F96" s="120"/>
      <c r="G96" s="345">
        <f>INDEX($AB96:$BE96,G$16)</f>
        <v>1</v>
      </c>
      <c r="H96" s="345">
        <f>INDEX($AB96:$BE96,H$16)</f>
        <v>1</v>
      </c>
      <c r="I96" s="345">
        <f t="shared" si="2"/>
        <v>1</v>
      </c>
      <c r="J96" s="345">
        <f t="shared" si="2"/>
        <v>1</v>
      </c>
      <c r="K96" s="345">
        <f t="shared" si="2"/>
        <v>1</v>
      </c>
      <c r="L96" s="345">
        <f t="shared" si="2"/>
        <v>1</v>
      </c>
      <c r="M96" s="345">
        <f t="shared" si="2"/>
        <v>1</v>
      </c>
      <c r="N96" s="345">
        <f t="shared" si="2"/>
        <v>1</v>
      </c>
      <c r="O96" s="345">
        <f t="shared" si="2"/>
        <v>1</v>
      </c>
      <c r="P96" s="345">
        <f t="shared" si="2"/>
        <v>1</v>
      </c>
      <c r="Q96" s="345">
        <f t="shared" si="2"/>
        <v>1</v>
      </c>
      <c r="R96" s="346"/>
      <c r="S96" s="314"/>
      <c r="T96" s="12"/>
      <c r="U96" s="260" t="s">
        <v>179</v>
      </c>
      <c r="AA96" s="120" t="s">
        <v>111</v>
      </c>
      <c r="AB96" s="495">
        <v>1</v>
      </c>
      <c r="AC96" s="495">
        <v>1</v>
      </c>
      <c r="AD96" s="495">
        <v>1</v>
      </c>
      <c r="AE96" s="495">
        <v>1</v>
      </c>
      <c r="AF96" s="495">
        <v>1</v>
      </c>
      <c r="AG96" s="495">
        <v>1</v>
      </c>
      <c r="AH96" s="495">
        <v>1</v>
      </c>
      <c r="AI96" s="495">
        <v>1</v>
      </c>
      <c r="AJ96" s="495">
        <v>1</v>
      </c>
      <c r="AK96" s="495">
        <v>1</v>
      </c>
      <c r="AL96" s="495">
        <v>1</v>
      </c>
      <c r="AM96" s="495">
        <v>1</v>
      </c>
      <c r="AN96" s="495">
        <v>1</v>
      </c>
      <c r="AO96" s="495">
        <v>1</v>
      </c>
      <c r="AP96" s="495">
        <v>1</v>
      </c>
      <c r="AQ96" s="495">
        <v>1</v>
      </c>
      <c r="AR96" s="495">
        <v>1</v>
      </c>
      <c r="AS96" s="495">
        <v>1</v>
      </c>
      <c r="AT96" s="495">
        <v>1</v>
      </c>
      <c r="AU96" s="495">
        <v>1</v>
      </c>
      <c r="AV96" s="495">
        <v>1</v>
      </c>
      <c r="AW96" s="495">
        <v>1</v>
      </c>
      <c r="AX96" s="495">
        <v>1</v>
      </c>
      <c r="AY96" s="495">
        <v>1</v>
      </c>
      <c r="AZ96" s="495"/>
      <c r="BA96" s="495"/>
      <c r="BB96" s="495"/>
      <c r="BC96" s="495"/>
      <c r="BD96" s="495"/>
      <c r="BE96" s="495"/>
      <c r="BF96" s="280"/>
      <c r="BG96" s="280"/>
    </row>
    <row r="97" spans="2:59" s="11" customFormat="1" ht="15" customHeight="1">
      <c r="C97" s="15" t="s">
        <v>180</v>
      </c>
      <c r="D97" s="14" t="s">
        <v>181</v>
      </c>
      <c r="E97" s="123">
        <f>INDEX(G97:Q97,Model!$E$1279)</f>
        <v>0.6</v>
      </c>
      <c r="F97" s="122"/>
      <c r="G97" s="349">
        <f>INDEX($AB97:$BE97,G$16)</f>
        <v>0.6</v>
      </c>
      <c r="H97" s="349">
        <f>INDEX($AB97:$BE97,H$16)</f>
        <v>0.6</v>
      </c>
      <c r="I97" s="349">
        <f t="shared" si="2"/>
        <v>0.6</v>
      </c>
      <c r="J97" s="349">
        <f t="shared" si="2"/>
        <v>0.6</v>
      </c>
      <c r="K97" s="349">
        <f t="shared" si="2"/>
        <v>0.6</v>
      </c>
      <c r="L97" s="349">
        <f t="shared" ref="L97:Q97" si="12">INDEX($AB97:$BE97,L$16)</f>
        <v>0.6</v>
      </c>
      <c r="M97" s="349">
        <f t="shared" si="12"/>
        <v>0.6</v>
      </c>
      <c r="N97" s="349">
        <f t="shared" si="12"/>
        <v>0.6</v>
      </c>
      <c r="O97" s="349">
        <f t="shared" si="12"/>
        <v>0.6</v>
      </c>
      <c r="P97" s="349">
        <f t="shared" si="12"/>
        <v>0.6</v>
      </c>
      <c r="Q97" s="349">
        <f t="shared" si="12"/>
        <v>0.6</v>
      </c>
      <c r="R97" s="346"/>
      <c r="S97" s="314"/>
      <c r="T97" s="12"/>
      <c r="U97" s="15" t="s">
        <v>180</v>
      </c>
      <c r="V97" s="14"/>
      <c r="W97" s="14"/>
      <c r="X97" s="14"/>
      <c r="Y97" s="14"/>
      <c r="Z97" s="14"/>
      <c r="AA97" s="122" t="s">
        <v>181</v>
      </c>
      <c r="AB97" s="497">
        <v>0.6</v>
      </c>
      <c r="AC97" s="497">
        <v>0.6</v>
      </c>
      <c r="AD97" s="497">
        <v>0.6</v>
      </c>
      <c r="AE97" s="497">
        <v>0.6</v>
      </c>
      <c r="AF97" s="497">
        <v>0.6</v>
      </c>
      <c r="AG97" s="497">
        <v>0.6</v>
      </c>
      <c r="AH97" s="497">
        <v>0.6</v>
      </c>
      <c r="AI97" s="497">
        <v>0.6</v>
      </c>
      <c r="AJ97" s="497">
        <v>0.6</v>
      </c>
      <c r="AK97" s="497">
        <v>0.6</v>
      </c>
      <c r="AL97" s="497">
        <v>0.6</v>
      </c>
      <c r="AM97" s="497">
        <v>0.6</v>
      </c>
      <c r="AN97" s="497">
        <v>0.6</v>
      </c>
      <c r="AO97" s="497">
        <v>0.6</v>
      </c>
      <c r="AP97" s="497">
        <v>0.6</v>
      </c>
      <c r="AQ97" s="497">
        <v>0.6</v>
      </c>
      <c r="AR97" s="497">
        <v>0.6</v>
      </c>
      <c r="AS97" s="497">
        <v>0.6</v>
      </c>
      <c r="AT97" s="497">
        <v>0.6</v>
      </c>
      <c r="AU97" s="497">
        <v>0.6</v>
      </c>
      <c r="AV97" s="497">
        <v>0.6</v>
      </c>
      <c r="AW97" s="497">
        <v>0.6</v>
      </c>
      <c r="AX97" s="497">
        <v>0.6</v>
      </c>
      <c r="AY97" s="497">
        <v>0.6</v>
      </c>
      <c r="AZ97" s="497"/>
      <c r="BA97" s="497"/>
      <c r="BB97" s="497"/>
      <c r="BC97" s="499"/>
      <c r="BD97" s="499"/>
      <c r="BE97" s="499"/>
      <c r="BF97" s="242"/>
      <c r="BG97" s="242"/>
    </row>
    <row r="98" spans="2:59" s="11" customFormat="1" ht="15" customHeight="1">
      <c r="E98" s="104"/>
      <c r="G98" s="354"/>
      <c r="H98" s="354"/>
      <c r="I98" s="354"/>
      <c r="J98" s="354"/>
      <c r="K98" s="354"/>
      <c r="L98" s="354"/>
      <c r="M98" s="354"/>
      <c r="N98" s="354"/>
      <c r="O98" s="354"/>
      <c r="P98" s="354"/>
      <c r="Q98" s="354"/>
      <c r="R98" s="346"/>
      <c r="S98" s="314"/>
      <c r="T98" s="12"/>
      <c r="U98" s="337" t="s">
        <v>10</v>
      </c>
      <c r="V98" s="14"/>
      <c r="W98" s="14"/>
      <c r="X98" s="14"/>
      <c r="Y98" s="14"/>
      <c r="Z98" s="336"/>
      <c r="AA98" s="336"/>
      <c r="AB98" s="336"/>
      <c r="AC98" s="336"/>
      <c r="AD98" s="336"/>
      <c r="AE98" s="336"/>
      <c r="AF98" s="336"/>
      <c r="AG98" s="336"/>
      <c r="AH98" s="336"/>
      <c r="AI98" s="336"/>
      <c r="AJ98" s="336"/>
      <c r="AK98" s="336"/>
      <c r="AL98" s="336"/>
      <c r="AM98" s="336"/>
      <c r="AN98" s="336"/>
      <c r="AO98" s="336"/>
      <c r="AP98" s="336"/>
      <c r="AQ98" s="336"/>
      <c r="AR98" s="336"/>
      <c r="AS98" s="336"/>
      <c r="AT98" s="336"/>
      <c r="AU98" s="336"/>
      <c r="AV98" s="336"/>
      <c r="AW98" s="336"/>
      <c r="AX98" s="336"/>
      <c r="AY98" s="336"/>
      <c r="AZ98" s="336"/>
      <c r="BA98" s="336"/>
      <c r="BB98" s="336"/>
      <c r="BC98" s="336"/>
      <c r="BD98" s="336"/>
      <c r="BE98" s="336"/>
      <c r="BF98" s="244"/>
      <c r="BG98" s="244"/>
    </row>
    <row r="99" spans="2:59" s="11" customFormat="1" ht="15" customHeight="1">
      <c r="E99" s="104"/>
      <c r="G99" s="354"/>
      <c r="H99" s="354"/>
      <c r="I99" s="354"/>
      <c r="J99" s="354"/>
      <c r="K99" s="354"/>
      <c r="L99" s="354"/>
      <c r="M99" s="354"/>
      <c r="N99" s="354"/>
      <c r="O99" s="354"/>
      <c r="P99" s="354"/>
      <c r="Q99" s="354"/>
      <c r="R99" s="346"/>
      <c r="S99" s="314"/>
      <c r="T99" s="12"/>
      <c r="U99" s="510" t="s">
        <v>790</v>
      </c>
      <c r="V99" s="523" t="s">
        <v>182</v>
      </c>
      <c r="W99" s="511"/>
      <c r="X99" s="511"/>
      <c r="Y99" s="511"/>
      <c r="Z99" s="511"/>
      <c r="AA99" s="512"/>
      <c r="AB99" s="513"/>
      <c r="AC99" s="514" t="s">
        <v>183</v>
      </c>
      <c r="AD99" s="521"/>
      <c r="AE99" s="521" t="s">
        <v>184</v>
      </c>
      <c r="AF99" s="514" t="s">
        <v>185</v>
      </c>
      <c r="AG99" s="514" t="s">
        <v>186</v>
      </c>
      <c r="AH99" s="514" t="s">
        <v>187</v>
      </c>
      <c r="AI99" s="514"/>
      <c r="AJ99" s="515" t="s">
        <v>188</v>
      </c>
      <c r="AK99" s="514"/>
      <c r="AL99" s="514"/>
      <c r="AM99" s="514" t="s">
        <v>189</v>
      </c>
      <c r="AN99" s="514" t="s">
        <v>190</v>
      </c>
      <c r="AO99" s="514" t="s">
        <v>191</v>
      </c>
      <c r="AP99" s="514" t="s">
        <v>192</v>
      </c>
      <c r="AQ99" s="514" t="s">
        <v>193</v>
      </c>
      <c r="AR99" s="514" t="s">
        <v>193</v>
      </c>
      <c r="AS99" s="514" t="s">
        <v>194</v>
      </c>
      <c r="AT99" s="514" t="s">
        <v>195</v>
      </c>
      <c r="AU99" s="514" t="s">
        <v>196</v>
      </c>
      <c r="AV99" s="514" t="s">
        <v>197</v>
      </c>
      <c r="AW99" s="514" t="s">
        <v>198</v>
      </c>
      <c r="AX99" s="513"/>
      <c r="AY99" s="514" t="s">
        <v>199</v>
      </c>
      <c r="AZ99" s="514"/>
      <c r="BA99" s="514"/>
      <c r="BB99" s="514"/>
      <c r="BC99" s="514"/>
      <c r="BD99" s="514"/>
      <c r="BE99" s="514"/>
      <c r="BF99" s="327"/>
      <c r="BG99" s="327"/>
    </row>
    <row r="100" spans="2:59" s="11" customFormat="1" ht="15" customHeight="1">
      <c r="E100" s="104"/>
      <c r="G100" s="354"/>
      <c r="H100" s="354"/>
      <c r="I100" s="354"/>
      <c r="J100" s="354"/>
      <c r="K100" s="354"/>
      <c r="L100" s="354"/>
      <c r="M100" s="354"/>
      <c r="N100" s="354"/>
      <c r="O100" s="354"/>
      <c r="P100" s="354"/>
      <c r="Q100" s="354"/>
      <c r="R100" s="346"/>
      <c r="S100" s="314"/>
      <c r="T100" s="12"/>
      <c r="U100" s="516"/>
      <c r="V100" s="517" t="s">
        <v>200</v>
      </c>
      <c r="W100" s="518"/>
      <c r="X100" s="518"/>
      <c r="Y100" s="518"/>
      <c r="Z100" s="518"/>
      <c r="AA100" s="519"/>
      <c r="AB100" s="520"/>
      <c r="AC100" s="521"/>
      <c r="AD100" s="521"/>
      <c r="AE100" s="521" t="s">
        <v>201</v>
      </c>
      <c r="AF100" s="514"/>
      <c r="AG100" s="521" t="s">
        <v>202</v>
      </c>
      <c r="AH100" s="521" t="s">
        <v>203</v>
      </c>
      <c r="AI100" s="521"/>
      <c r="AJ100" s="522" t="s">
        <v>204</v>
      </c>
      <c r="AK100" s="521"/>
      <c r="AL100" s="521"/>
      <c r="AM100" s="521"/>
      <c r="AN100" s="521"/>
      <c r="AO100" s="521"/>
      <c r="AP100" s="521"/>
      <c r="AQ100" s="521" t="s">
        <v>205</v>
      </c>
      <c r="AR100" s="521" t="s">
        <v>205</v>
      </c>
      <c r="AS100" s="521" t="s">
        <v>206</v>
      </c>
      <c r="AT100" s="520"/>
      <c r="AU100" s="520"/>
      <c r="AV100" s="514" t="s">
        <v>207</v>
      </c>
      <c r="AW100" s="520"/>
      <c r="AX100" s="520"/>
      <c r="AY100" s="520"/>
      <c r="AZ100" s="520"/>
      <c r="BA100" s="520"/>
      <c r="BB100" s="520"/>
      <c r="BC100" s="521"/>
      <c r="BD100" s="521"/>
      <c r="BE100" s="521"/>
      <c r="BF100" s="328"/>
      <c r="BG100" s="328"/>
    </row>
    <row r="101" spans="2:59" s="11" customFormat="1" ht="15" customHeight="1">
      <c r="E101" s="104"/>
      <c r="G101" s="354"/>
      <c r="H101" s="354"/>
      <c r="I101" s="354"/>
      <c r="J101" s="354"/>
      <c r="K101" s="354"/>
      <c r="L101" s="354"/>
      <c r="M101" s="354"/>
      <c r="N101" s="354"/>
      <c r="O101" s="354"/>
      <c r="P101" s="354"/>
      <c r="Q101" s="354"/>
      <c r="R101" s="346"/>
      <c r="S101" s="314"/>
      <c r="T101" s="12"/>
      <c r="U101" s="516"/>
      <c r="V101" s="523" t="s">
        <v>208</v>
      </c>
      <c r="W101" s="518"/>
      <c r="X101" s="518"/>
      <c r="Y101" s="518"/>
      <c r="Z101" s="518"/>
      <c r="AA101" s="519"/>
      <c r="AB101" s="520"/>
      <c r="AC101" s="521"/>
      <c r="AD101" s="521"/>
      <c r="AE101" s="521"/>
      <c r="AF101" s="514"/>
      <c r="AG101" s="521"/>
      <c r="AH101" s="521"/>
      <c r="AI101" s="521"/>
      <c r="AJ101" s="522"/>
      <c r="AK101" s="521"/>
      <c r="AL101" s="521"/>
      <c r="AM101" s="521"/>
      <c r="AN101" s="521"/>
      <c r="AO101" s="521"/>
      <c r="AP101" s="521"/>
      <c r="AQ101" s="521"/>
      <c r="AR101" s="521"/>
      <c r="AS101" s="521"/>
      <c r="AT101" s="520"/>
      <c r="AU101" s="520"/>
      <c r="AV101" s="514"/>
      <c r="AW101" s="520"/>
      <c r="AX101" s="520"/>
      <c r="AY101" s="520"/>
      <c r="AZ101" s="520"/>
      <c r="BA101" s="520"/>
      <c r="BB101" s="520"/>
      <c r="BC101" s="521"/>
      <c r="BD101" s="521"/>
      <c r="BE101" s="521"/>
      <c r="BF101" s="328"/>
      <c r="BG101" s="328"/>
    </row>
    <row r="102" spans="2:59" s="11" customFormat="1" ht="15" customHeight="1">
      <c r="E102" s="104"/>
      <c r="G102" s="354"/>
      <c r="H102" s="354"/>
      <c r="I102" s="354"/>
      <c r="J102" s="354"/>
      <c r="K102" s="354"/>
      <c r="L102" s="354"/>
      <c r="M102" s="354"/>
      <c r="N102" s="354"/>
      <c r="O102" s="354"/>
      <c r="P102" s="354"/>
      <c r="Q102" s="354"/>
      <c r="R102" s="346"/>
      <c r="S102" s="314"/>
      <c r="T102" s="12"/>
      <c r="U102" s="524"/>
      <c r="V102" s="523" t="s">
        <v>209</v>
      </c>
      <c r="W102" s="525"/>
      <c r="X102" s="525"/>
      <c r="Y102" s="525"/>
      <c r="Z102" s="525"/>
      <c r="AA102" s="526"/>
      <c r="AB102" s="520"/>
      <c r="AC102" s="521"/>
      <c r="AD102" s="546"/>
      <c r="AE102" s="546"/>
      <c r="AF102" s="520"/>
      <c r="AG102" s="521"/>
      <c r="AH102" s="521"/>
      <c r="AI102" s="521"/>
      <c r="AJ102" s="522"/>
      <c r="AK102" s="521"/>
      <c r="AL102" s="521"/>
      <c r="AM102" s="521"/>
      <c r="AN102" s="521"/>
      <c r="AO102" s="521"/>
      <c r="AP102" s="521"/>
      <c r="AQ102" s="521"/>
      <c r="AR102" s="521"/>
      <c r="AS102" s="521" t="s">
        <v>210</v>
      </c>
      <c r="AT102" s="520"/>
      <c r="AU102" s="520"/>
      <c r="AV102" s="520"/>
      <c r="AW102" s="520"/>
      <c r="AX102" s="520"/>
      <c r="AY102" s="520"/>
      <c r="AZ102" s="520"/>
      <c r="BA102" s="520"/>
      <c r="BB102" s="520"/>
      <c r="BC102" s="521"/>
      <c r="BD102" s="521"/>
      <c r="BE102" s="521"/>
      <c r="BF102" s="328"/>
      <c r="BG102" s="328"/>
    </row>
    <row r="103" spans="2:59" s="132" customFormat="1" ht="15" customHeight="1">
      <c r="B103" s="11"/>
      <c r="E103" s="148"/>
      <c r="G103" s="354"/>
      <c r="H103" s="354"/>
      <c r="I103" s="354"/>
      <c r="J103" s="354"/>
      <c r="K103" s="354"/>
      <c r="L103" s="354"/>
      <c r="M103" s="354"/>
      <c r="N103" s="354"/>
      <c r="O103" s="354"/>
      <c r="P103" s="354"/>
      <c r="Q103" s="354"/>
      <c r="R103" s="346"/>
      <c r="S103" s="12"/>
      <c r="T103" s="12"/>
      <c r="U103" s="329"/>
      <c r="V103" s="11"/>
      <c r="W103" s="11"/>
      <c r="X103" s="11"/>
      <c r="Y103" s="11"/>
      <c r="Z103" s="330"/>
      <c r="AA103" s="329"/>
      <c r="AB103" s="243"/>
      <c r="AC103" s="243"/>
      <c r="AD103" s="243"/>
      <c r="AE103" s="243"/>
      <c r="AF103" s="243"/>
      <c r="AG103" s="243"/>
      <c r="AH103" s="243"/>
      <c r="AI103" s="243"/>
      <c r="AJ103" s="243"/>
      <c r="AK103" s="243"/>
      <c r="AL103" s="243"/>
      <c r="AM103" s="243"/>
      <c r="AN103" s="243"/>
      <c r="AO103" s="243"/>
      <c r="AP103" s="243"/>
      <c r="AQ103" s="243"/>
      <c r="AR103" s="243"/>
      <c r="AS103" s="243"/>
      <c r="AT103" s="243"/>
      <c r="AU103" s="243"/>
      <c r="AV103" s="243"/>
      <c r="AW103" s="243"/>
      <c r="AX103" s="243"/>
      <c r="AY103" s="243"/>
      <c r="AZ103" s="243"/>
      <c r="BA103" s="243"/>
      <c r="BB103" s="243"/>
      <c r="BC103" s="243"/>
      <c r="BD103" s="243"/>
      <c r="BE103" s="243"/>
      <c r="BF103" s="243"/>
      <c r="BG103" s="243"/>
    </row>
    <row r="104" spans="2:59" s="11" customFormat="1" ht="23" customHeight="1">
      <c r="C104" s="547" t="s">
        <v>211</v>
      </c>
      <c r="D104" s="490"/>
      <c r="E104" s="490"/>
      <c r="F104" s="490"/>
      <c r="G104" s="527"/>
      <c r="H104" s="527"/>
      <c r="I104" s="527"/>
      <c r="J104" s="527"/>
      <c r="K104" s="527"/>
      <c r="L104" s="527"/>
      <c r="M104" s="527"/>
      <c r="N104" s="527"/>
      <c r="O104" s="527"/>
      <c r="P104" s="527"/>
      <c r="Q104" s="527"/>
      <c r="R104" s="527"/>
      <c r="S104" s="490"/>
      <c r="T104" s="490"/>
      <c r="U104" s="490"/>
      <c r="V104" s="490"/>
      <c r="W104" s="490"/>
      <c r="X104" s="490"/>
      <c r="Y104" s="490"/>
      <c r="Z104" s="490"/>
      <c r="AA104" s="490"/>
      <c r="AB104" s="490"/>
      <c r="AC104" s="490"/>
      <c r="AD104" s="490"/>
      <c r="AE104" s="490"/>
      <c r="AF104" s="490"/>
      <c r="AG104" s="490"/>
      <c r="AH104" s="490"/>
      <c r="AI104" s="490"/>
      <c r="AJ104" s="490"/>
      <c r="AK104" s="490"/>
      <c r="AL104" s="490"/>
      <c r="AM104" s="490"/>
      <c r="AN104" s="490"/>
      <c r="AO104" s="490"/>
      <c r="AP104" s="490"/>
      <c r="AQ104" s="490"/>
      <c r="AR104" s="490"/>
      <c r="AS104" s="490"/>
      <c r="AT104" s="490"/>
      <c r="AU104" s="490"/>
      <c r="AV104" s="490"/>
      <c r="AW104" s="490"/>
      <c r="AX104" s="490"/>
      <c r="AY104" s="490"/>
      <c r="AZ104" s="490"/>
      <c r="BA104" s="490"/>
      <c r="BB104" s="490"/>
      <c r="BC104" s="490"/>
      <c r="BD104" s="490"/>
      <c r="BE104" s="490"/>
      <c r="BF104" s="490"/>
      <c r="BG104" s="243"/>
    </row>
    <row r="105" spans="2:59" s="132" customFormat="1" ht="15" customHeight="1" outlineLevel="1">
      <c r="B105" s="11"/>
      <c r="C105" s="170"/>
      <c r="D105" s="170"/>
      <c r="E105" s="170"/>
      <c r="F105" s="170"/>
      <c r="G105" s="355"/>
      <c r="H105" s="355"/>
      <c r="I105" s="355"/>
      <c r="J105" s="355"/>
      <c r="K105" s="355"/>
      <c r="L105" s="355"/>
      <c r="M105" s="355"/>
      <c r="N105" s="355"/>
      <c r="O105" s="355"/>
      <c r="P105" s="355"/>
      <c r="Q105" s="355"/>
      <c r="R105" s="355"/>
      <c r="S105" s="170"/>
      <c r="T105" s="170"/>
    </row>
    <row r="106" spans="2:59" s="132" customFormat="1" ht="15" customHeight="1" outlineLevel="1">
      <c r="B106" s="11"/>
      <c r="D106" s="185" t="s">
        <v>212</v>
      </c>
      <c r="E106" s="385">
        <f>INDEX(G106:Q106,Model!$E$1279)</f>
        <v>0</v>
      </c>
      <c r="G106" s="356">
        <f t="shared" ref="G106:G125" si="13">INDEX($AB106:$BE106,G$16)</f>
        <v>0</v>
      </c>
      <c r="H106" s="356">
        <f t="shared" ref="H106:Q121" si="14">INDEX($AB106:$BE106,H$16)</f>
        <v>0</v>
      </c>
      <c r="I106" s="356">
        <f t="shared" si="14"/>
        <v>0</v>
      </c>
      <c r="J106" s="356">
        <f t="shared" si="14"/>
        <v>0</v>
      </c>
      <c r="K106" s="356">
        <f t="shared" si="14"/>
        <v>0.5</v>
      </c>
      <c r="L106" s="356">
        <f t="shared" si="14"/>
        <v>0</v>
      </c>
      <c r="M106" s="356">
        <f t="shared" si="14"/>
        <v>0</v>
      </c>
      <c r="N106" s="356">
        <f t="shared" si="14"/>
        <v>0</v>
      </c>
      <c r="O106" s="356">
        <f t="shared" si="14"/>
        <v>0</v>
      </c>
      <c r="P106" s="356">
        <f t="shared" si="14"/>
        <v>0</v>
      </c>
      <c r="Q106" s="356">
        <f t="shared" si="14"/>
        <v>0</v>
      </c>
      <c r="R106" s="354"/>
      <c r="S106" s="315"/>
      <c r="T106" s="149"/>
      <c r="U106" s="149"/>
      <c r="V106" s="149"/>
      <c r="W106" s="149"/>
      <c r="X106" s="149"/>
      <c r="Y106" s="149"/>
      <c r="Z106" s="149"/>
      <c r="AA106" s="338" t="s">
        <v>212</v>
      </c>
      <c r="AB106" s="493"/>
      <c r="AC106" s="493"/>
      <c r="AD106" s="493"/>
      <c r="AE106" s="493"/>
      <c r="AF106" s="493"/>
      <c r="AG106" s="493">
        <v>0.5</v>
      </c>
      <c r="AH106" s="493"/>
      <c r="AI106" s="493"/>
      <c r="AJ106" s="493"/>
      <c r="AK106" s="493"/>
      <c r="AL106" s="493">
        <v>0.5</v>
      </c>
      <c r="AM106" s="493">
        <v>0.5</v>
      </c>
      <c r="AN106" s="493">
        <v>0.25</v>
      </c>
      <c r="AO106" s="493"/>
      <c r="AP106" s="493"/>
      <c r="AQ106" s="493"/>
      <c r="AR106" s="493"/>
      <c r="AS106" s="493"/>
      <c r="AT106" s="493"/>
      <c r="AU106" s="493"/>
      <c r="AV106" s="493"/>
      <c r="AW106" s="493"/>
      <c r="AX106" s="493"/>
      <c r="AY106" s="493"/>
      <c r="AZ106" s="493"/>
      <c r="BA106" s="493"/>
      <c r="BB106" s="493"/>
      <c r="BC106" s="493"/>
      <c r="BD106" s="493"/>
      <c r="BE106" s="493"/>
    </row>
    <row r="107" spans="2:59" s="132" customFormat="1" ht="15" customHeight="1" outlineLevel="1">
      <c r="B107" s="11"/>
      <c r="D107" s="185" t="s">
        <v>213</v>
      </c>
      <c r="E107" s="385">
        <f>INDEX(G107:Q107,Model!$E$1279)</f>
        <v>0</v>
      </c>
      <c r="G107" s="356">
        <f t="shared" si="13"/>
        <v>0</v>
      </c>
      <c r="H107" s="356">
        <f t="shared" si="14"/>
        <v>0</v>
      </c>
      <c r="I107" s="356">
        <f t="shared" si="14"/>
        <v>0</v>
      </c>
      <c r="J107" s="356">
        <f t="shared" si="14"/>
        <v>0</v>
      </c>
      <c r="K107" s="356">
        <f t="shared" si="14"/>
        <v>0.125</v>
      </c>
      <c r="L107" s="356">
        <f t="shared" si="14"/>
        <v>0</v>
      </c>
      <c r="M107" s="356">
        <f t="shared" si="14"/>
        <v>0</v>
      </c>
      <c r="N107" s="356">
        <f t="shared" si="14"/>
        <v>0</v>
      </c>
      <c r="O107" s="356">
        <f t="shared" si="14"/>
        <v>0</v>
      </c>
      <c r="P107" s="356">
        <f t="shared" si="14"/>
        <v>0</v>
      </c>
      <c r="Q107" s="356">
        <f t="shared" si="14"/>
        <v>0</v>
      </c>
      <c r="R107" s="354"/>
      <c r="S107" s="315"/>
      <c r="T107" s="149"/>
      <c r="U107" s="149"/>
      <c r="V107" s="149"/>
      <c r="W107" s="149"/>
      <c r="X107" s="149"/>
      <c r="Y107" s="149"/>
      <c r="Z107" s="149"/>
      <c r="AA107" s="338" t="s">
        <v>213</v>
      </c>
      <c r="AB107" s="493"/>
      <c r="AC107" s="493"/>
      <c r="AD107" s="493"/>
      <c r="AE107" s="493"/>
      <c r="AF107" s="493"/>
      <c r="AG107" s="493">
        <v>0.125</v>
      </c>
      <c r="AH107" s="493"/>
      <c r="AI107" s="493"/>
      <c r="AJ107" s="493"/>
      <c r="AK107" s="493"/>
      <c r="AL107" s="493">
        <v>0.125</v>
      </c>
      <c r="AM107" s="493">
        <v>0.125</v>
      </c>
      <c r="AN107" s="493">
        <v>0.1875</v>
      </c>
      <c r="AO107" s="493"/>
      <c r="AP107" s="493"/>
      <c r="AQ107" s="493"/>
      <c r="AR107" s="493"/>
      <c r="AS107" s="493"/>
      <c r="AT107" s="493"/>
      <c r="AU107" s="493"/>
      <c r="AV107" s="493"/>
      <c r="AW107" s="493"/>
      <c r="AX107" s="493"/>
      <c r="AY107" s="493"/>
      <c r="AZ107" s="493"/>
      <c r="BA107" s="493"/>
      <c r="BB107" s="493"/>
      <c r="BC107" s="493"/>
      <c r="BD107" s="493"/>
      <c r="BE107" s="493"/>
    </row>
    <row r="108" spans="2:59" s="132" customFormat="1" ht="15" customHeight="1" outlineLevel="1">
      <c r="B108" s="11"/>
      <c r="D108" s="185" t="s">
        <v>214</v>
      </c>
      <c r="E108" s="385">
        <f>INDEX(G108:Q108,Model!$E$1279)</f>
        <v>0</v>
      </c>
      <c r="G108" s="356">
        <f t="shared" si="13"/>
        <v>0</v>
      </c>
      <c r="H108" s="356">
        <f t="shared" si="14"/>
        <v>0</v>
      </c>
      <c r="I108" s="356">
        <f t="shared" si="14"/>
        <v>0</v>
      </c>
      <c r="J108" s="356">
        <f t="shared" si="14"/>
        <v>0</v>
      </c>
      <c r="K108" s="356">
        <f t="shared" si="14"/>
        <v>5.3571428571428568E-2</v>
      </c>
      <c r="L108" s="356">
        <f t="shared" si="14"/>
        <v>0</v>
      </c>
      <c r="M108" s="356">
        <f t="shared" si="14"/>
        <v>0</v>
      </c>
      <c r="N108" s="356">
        <f t="shared" si="14"/>
        <v>0</v>
      </c>
      <c r="O108" s="356">
        <f t="shared" si="14"/>
        <v>0</v>
      </c>
      <c r="P108" s="356">
        <f t="shared" si="14"/>
        <v>0</v>
      </c>
      <c r="Q108" s="356">
        <f t="shared" si="14"/>
        <v>0</v>
      </c>
      <c r="R108" s="354"/>
      <c r="S108" s="315"/>
      <c r="T108" s="149"/>
      <c r="U108" s="149"/>
      <c r="V108" s="149"/>
      <c r="W108" s="149"/>
      <c r="X108" s="149"/>
      <c r="Y108" s="149"/>
      <c r="Z108" s="149"/>
      <c r="AA108" s="338" t="s">
        <v>214</v>
      </c>
      <c r="AB108" s="493"/>
      <c r="AC108" s="493"/>
      <c r="AD108" s="493"/>
      <c r="AE108" s="493"/>
      <c r="AF108" s="493"/>
      <c r="AG108" s="493">
        <v>5.3571428571428568E-2</v>
      </c>
      <c r="AH108" s="493"/>
      <c r="AI108" s="493"/>
      <c r="AJ108" s="493"/>
      <c r="AK108" s="493"/>
      <c r="AL108" s="493">
        <v>5.3571428571428568E-2</v>
      </c>
      <c r="AM108" s="493">
        <v>5.3571428571428568E-2</v>
      </c>
      <c r="AN108" s="493">
        <v>0.140625</v>
      </c>
      <c r="AO108" s="493"/>
      <c r="AP108" s="493"/>
      <c r="AQ108" s="493"/>
      <c r="AR108" s="493"/>
      <c r="AS108" s="493"/>
      <c r="AT108" s="493"/>
      <c r="AU108" s="493"/>
      <c r="AV108" s="493"/>
      <c r="AW108" s="493"/>
      <c r="AX108" s="493"/>
      <c r="AY108" s="493"/>
      <c r="AZ108" s="493"/>
      <c r="BA108" s="493"/>
      <c r="BB108" s="493"/>
      <c r="BC108" s="493"/>
      <c r="BD108" s="493"/>
      <c r="BE108" s="493"/>
    </row>
    <row r="109" spans="2:59" s="132" customFormat="1" ht="15" customHeight="1" outlineLevel="1">
      <c r="B109" s="11"/>
      <c r="D109" s="185" t="s">
        <v>215</v>
      </c>
      <c r="E109" s="385">
        <f>INDEX(G109:Q109,Model!$E$1279)</f>
        <v>0</v>
      </c>
      <c r="G109" s="356">
        <f t="shared" si="13"/>
        <v>0</v>
      </c>
      <c r="H109" s="356">
        <f t="shared" si="14"/>
        <v>0</v>
      </c>
      <c r="I109" s="356">
        <f t="shared" si="14"/>
        <v>0</v>
      </c>
      <c r="J109" s="356">
        <f t="shared" si="14"/>
        <v>0</v>
      </c>
      <c r="K109" s="356">
        <f t="shared" si="14"/>
        <v>5.3571428571428568E-2</v>
      </c>
      <c r="L109" s="356">
        <f t="shared" si="14"/>
        <v>0</v>
      </c>
      <c r="M109" s="356">
        <f t="shared" si="14"/>
        <v>0</v>
      </c>
      <c r="N109" s="356">
        <f t="shared" si="14"/>
        <v>0</v>
      </c>
      <c r="O109" s="356">
        <f t="shared" si="14"/>
        <v>0</v>
      </c>
      <c r="P109" s="356">
        <f t="shared" si="14"/>
        <v>0</v>
      </c>
      <c r="Q109" s="356">
        <f t="shared" si="14"/>
        <v>0</v>
      </c>
      <c r="R109" s="354"/>
      <c r="S109" s="315"/>
      <c r="T109" s="149"/>
      <c r="U109" s="149"/>
      <c r="V109" s="149"/>
      <c r="W109" s="149"/>
      <c r="X109" s="149"/>
      <c r="Y109" s="149"/>
      <c r="Z109" s="149"/>
      <c r="AA109" s="338" t="s">
        <v>215</v>
      </c>
      <c r="AB109" s="493"/>
      <c r="AC109" s="493"/>
      <c r="AD109" s="493"/>
      <c r="AE109" s="493"/>
      <c r="AF109" s="493"/>
      <c r="AG109" s="493">
        <v>5.3571428571428568E-2</v>
      </c>
      <c r="AH109" s="493"/>
      <c r="AI109" s="493"/>
      <c r="AJ109" s="493"/>
      <c r="AK109" s="493"/>
      <c r="AL109" s="493">
        <v>5.3571428571428568E-2</v>
      </c>
      <c r="AM109" s="493">
        <v>5.3571428571428568E-2</v>
      </c>
      <c r="AN109" s="493">
        <v>0.10546875</v>
      </c>
      <c r="AO109" s="493"/>
      <c r="AP109" s="493"/>
      <c r="AQ109" s="493"/>
      <c r="AR109" s="493"/>
      <c r="AS109" s="493"/>
      <c r="AT109" s="493"/>
      <c r="AU109" s="493"/>
      <c r="AV109" s="493"/>
      <c r="AW109" s="493"/>
      <c r="AX109" s="493"/>
      <c r="AY109" s="493"/>
      <c r="AZ109" s="493"/>
      <c r="BA109" s="493"/>
      <c r="BB109" s="493"/>
      <c r="BC109" s="493"/>
      <c r="BD109" s="493"/>
      <c r="BE109" s="493"/>
    </row>
    <row r="110" spans="2:59" s="132" customFormat="1" ht="15" customHeight="1" outlineLevel="1">
      <c r="B110" s="11"/>
      <c r="D110" s="185" t="s">
        <v>216</v>
      </c>
      <c r="E110" s="385">
        <f>INDEX(G110:Q110,Model!$E$1279)</f>
        <v>0</v>
      </c>
      <c r="G110" s="356">
        <f t="shared" si="13"/>
        <v>0</v>
      </c>
      <c r="H110" s="356">
        <f t="shared" si="14"/>
        <v>0</v>
      </c>
      <c r="I110" s="356">
        <f t="shared" si="14"/>
        <v>0</v>
      </c>
      <c r="J110" s="356">
        <f t="shared" si="14"/>
        <v>0</v>
      </c>
      <c r="K110" s="356">
        <f t="shared" si="14"/>
        <v>5.3571428571428568E-2</v>
      </c>
      <c r="L110" s="356">
        <f t="shared" si="14"/>
        <v>0</v>
      </c>
      <c r="M110" s="356">
        <f t="shared" si="14"/>
        <v>0</v>
      </c>
      <c r="N110" s="356">
        <f t="shared" si="14"/>
        <v>0</v>
      </c>
      <c r="O110" s="356">
        <f t="shared" si="14"/>
        <v>0</v>
      </c>
      <c r="P110" s="356">
        <f t="shared" si="14"/>
        <v>0</v>
      </c>
      <c r="Q110" s="356">
        <f t="shared" si="14"/>
        <v>0</v>
      </c>
      <c r="R110" s="354"/>
      <c r="S110" s="315"/>
      <c r="T110" s="149"/>
      <c r="U110" s="149"/>
      <c r="V110" s="149"/>
      <c r="W110" s="149"/>
      <c r="X110" s="149"/>
      <c r="Y110" s="149"/>
      <c r="Z110" s="149"/>
      <c r="AA110" s="338" t="s">
        <v>216</v>
      </c>
      <c r="AB110" s="493"/>
      <c r="AC110" s="493"/>
      <c r="AD110" s="493"/>
      <c r="AE110" s="493"/>
      <c r="AF110" s="493"/>
      <c r="AG110" s="493">
        <v>5.3571428571428568E-2</v>
      </c>
      <c r="AH110" s="493"/>
      <c r="AI110" s="493"/>
      <c r="AJ110" s="493"/>
      <c r="AK110" s="493"/>
      <c r="AL110" s="493">
        <v>5.3571428571428568E-2</v>
      </c>
      <c r="AM110" s="493">
        <v>5.3571428571428568E-2</v>
      </c>
      <c r="AN110" s="493">
        <v>5.2734375E-2</v>
      </c>
      <c r="AO110" s="493"/>
      <c r="AP110" s="493"/>
      <c r="AQ110" s="493"/>
      <c r="AR110" s="493"/>
      <c r="AS110" s="493"/>
      <c r="AT110" s="493"/>
      <c r="AU110" s="493"/>
      <c r="AV110" s="493"/>
      <c r="AW110" s="493"/>
      <c r="AX110" s="493"/>
      <c r="AY110" s="493"/>
      <c r="AZ110" s="493"/>
      <c r="BA110" s="493"/>
      <c r="BB110" s="493"/>
      <c r="BC110" s="493"/>
      <c r="BD110" s="493"/>
      <c r="BE110" s="493"/>
    </row>
    <row r="111" spans="2:59" s="132" customFormat="1" ht="15" customHeight="1" outlineLevel="1">
      <c r="B111" s="11"/>
      <c r="D111" s="185" t="s">
        <v>217</v>
      </c>
      <c r="E111" s="385">
        <f>INDEX(G111:Q111,Model!$E$1279)</f>
        <v>0</v>
      </c>
      <c r="G111" s="356">
        <f t="shared" si="13"/>
        <v>0</v>
      </c>
      <c r="H111" s="356">
        <f t="shared" si="14"/>
        <v>0</v>
      </c>
      <c r="I111" s="356">
        <f t="shared" si="14"/>
        <v>0</v>
      </c>
      <c r="J111" s="356">
        <f t="shared" si="14"/>
        <v>0</v>
      </c>
      <c r="K111" s="356">
        <f t="shared" si="14"/>
        <v>5.3571428571428568E-2</v>
      </c>
      <c r="L111" s="356">
        <f t="shared" si="14"/>
        <v>0</v>
      </c>
      <c r="M111" s="356">
        <f t="shared" si="14"/>
        <v>0</v>
      </c>
      <c r="N111" s="356">
        <f t="shared" si="14"/>
        <v>0</v>
      </c>
      <c r="O111" s="356">
        <f t="shared" si="14"/>
        <v>0</v>
      </c>
      <c r="P111" s="356">
        <f t="shared" si="14"/>
        <v>0</v>
      </c>
      <c r="Q111" s="356">
        <f t="shared" si="14"/>
        <v>0</v>
      </c>
      <c r="R111" s="354"/>
      <c r="S111" s="315"/>
      <c r="T111" s="149"/>
      <c r="U111" s="149"/>
      <c r="V111" s="149"/>
      <c r="W111" s="149"/>
      <c r="X111" s="149"/>
      <c r="Y111" s="149"/>
      <c r="Z111" s="149"/>
      <c r="AA111" s="338" t="s">
        <v>217</v>
      </c>
      <c r="AB111" s="493"/>
      <c r="AC111" s="493"/>
      <c r="AD111" s="493"/>
      <c r="AE111" s="493"/>
      <c r="AF111" s="493"/>
      <c r="AG111" s="493">
        <v>5.3571428571428568E-2</v>
      </c>
      <c r="AH111" s="493"/>
      <c r="AI111" s="493"/>
      <c r="AJ111" s="493"/>
      <c r="AK111" s="493"/>
      <c r="AL111" s="493">
        <v>5.3571428571428568E-2</v>
      </c>
      <c r="AM111" s="493">
        <v>5.3571428571428568E-2</v>
      </c>
      <c r="AN111" s="493">
        <v>5.2734375E-2</v>
      </c>
      <c r="AO111" s="493"/>
      <c r="AP111" s="493"/>
      <c r="AQ111" s="493"/>
      <c r="AR111" s="493"/>
      <c r="AS111" s="493"/>
      <c r="AT111" s="493"/>
      <c r="AU111" s="493"/>
      <c r="AV111" s="493"/>
      <c r="AW111" s="493"/>
      <c r="AX111" s="493"/>
      <c r="AY111" s="493"/>
      <c r="AZ111" s="493"/>
      <c r="BA111" s="493"/>
      <c r="BB111" s="493"/>
      <c r="BC111" s="493"/>
      <c r="BD111" s="493"/>
      <c r="BE111" s="493"/>
    </row>
    <row r="112" spans="2:59" s="132" customFormat="1" ht="15" customHeight="1" outlineLevel="1">
      <c r="B112" s="11"/>
      <c r="D112" s="185" t="s">
        <v>218</v>
      </c>
      <c r="E112" s="385">
        <f>INDEX(G112:Q112,Model!$E$1279)</f>
        <v>0</v>
      </c>
      <c r="G112" s="356">
        <f t="shared" si="13"/>
        <v>0</v>
      </c>
      <c r="H112" s="356">
        <f t="shared" si="14"/>
        <v>0</v>
      </c>
      <c r="I112" s="356">
        <f t="shared" si="14"/>
        <v>0</v>
      </c>
      <c r="J112" s="356">
        <f t="shared" si="14"/>
        <v>0</v>
      </c>
      <c r="K112" s="356">
        <f t="shared" si="14"/>
        <v>5.3571428571428568E-2</v>
      </c>
      <c r="L112" s="356">
        <f t="shared" si="14"/>
        <v>0</v>
      </c>
      <c r="M112" s="356">
        <f t="shared" si="14"/>
        <v>0</v>
      </c>
      <c r="N112" s="356">
        <f t="shared" si="14"/>
        <v>0</v>
      </c>
      <c r="O112" s="356">
        <f t="shared" si="14"/>
        <v>0</v>
      </c>
      <c r="P112" s="356">
        <f t="shared" si="14"/>
        <v>0</v>
      </c>
      <c r="Q112" s="356">
        <f t="shared" si="14"/>
        <v>0</v>
      </c>
      <c r="R112" s="354"/>
      <c r="S112" s="315"/>
      <c r="T112" s="149"/>
      <c r="U112" s="149"/>
      <c r="V112" s="149"/>
      <c r="W112" s="149"/>
      <c r="X112" s="149"/>
      <c r="Y112" s="149"/>
      <c r="Z112" s="149"/>
      <c r="AA112" s="338" t="s">
        <v>218</v>
      </c>
      <c r="AB112" s="493"/>
      <c r="AC112" s="493"/>
      <c r="AD112" s="493"/>
      <c r="AE112" s="493"/>
      <c r="AF112" s="493"/>
      <c r="AG112" s="493">
        <v>5.3571428571428568E-2</v>
      </c>
      <c r="AH112" s="493"/>
      <c r="AI112" s="493"/>
      <c r="AJ112" s="493"/>
      <c r="AK112" s="493"/>
      <c r="AL112" s="493">
        <v>5.3571428571428568E-2</v>
      </c>
      <c r="AM112" s="493">
        <v>5.3571428571428568E-2</v>
      </c>
      <c r="AN112" s="493">
        <v>5.2734375E-2</v>
      </c>
      <c r="AO112" s="493"/>
      <c r="AP112" s="493"/>
      <c r="AQ112" s="493"/>
      <c r="AR112" s="493"/>
      <c r="AS112" s="493"/>
      <c r="AT112" s="493"/>
      <c r="AU112" s="493"/>
      <c r="AV112" s="493"/>
      <c r="AW112" s="493"/>
      <c r="AX112" s="493"/>
      <c r="AY112" s="493"/>
      <c r="AZ112" s="493"/>
      <c r="BA112" s="493"/>
      <c r="BB112" s="493"/>
      <c r="BC112" s="493"/>
      <c r="BD112" s="493"/>
      <c r="BE112" s="493"/>
    </row>
    <row r="113" spans="2:58" s="132" customFormat="1" ht="15" customHeight="1" outlineLevel="1">
      <c r="B113" s="11"/>
      <c r="D113" s="185" t="s">
        <v>219</v>
      </c>
      <c r="E113" s="385">
        <f>INDEX(G113:Q113,Model!$E$1279)</f>
        <v>0</v>
      </c>
      <c r="G113" s="356">
        <f t="shared" si="13"/>
        <v>0</v>
      </c>
      <c r="H113" s="356">
        <f t="shared" si="14"/>
        <v>0</v>
      </c>
      <c r="I113" s="356">
        <f t="shared" si="14"/>
        <v>0</v>
      </c>
      <c r="J113" s="356">
        <f t="shared" si="14"/>
        <v>0</v>
      </c>
      <c r="K113" s="356">
        <f t="shared" si="14"/>
        <v>5.3571428571428568E-2</v>
      </c>
      <c r="L113" s="356">
        <f t="shared" si="14"/>
        <v>0</v>
      </c>
      <c r="M113" s="356">
        <f t="shared" si="14"/>
        <v>0</v>
      </c>
      <c r="N113" s="356">
        <f t="shared" si="14"/>
        <v>0</v>
      </c>
      <c r="O113" s="356">
        <f t="shared" si="14"/>
        <v>0</v>
      </c>
      <c r="P113" s="356">
        <f t="shared" si="14"/>
        <v>0</v>
      </c>
      <c r="Q113" s="356">
        <f t="shared" si="14"/>
        <v>0</v>
      </c>
      <c r="R113" s="354"/>
      <c r="S113" s="315"/>
      <c r="T113" s="149"/>
      <c r="U113" s="149"/>
      <c r="V113" s="149"/>
      <c r="W113" s="149"/>
      <c r="X113" s="149"/>
      <c r="Y113" s="149"/>
      <c r="Z113" s="149"/>
      <c r="AA113" s="338" t="s">
        <v>219</v>
      </c>
      <c r="AB113" s="493"/>
      <c r="AC113" s="493"/>
      <c r="AD113" s="493"/>
      <c r="AE113" s="493"/>
      <c r="AF113" s="493"/>
      <c r="AG113" s="493">
        <v>5.3571428571428568E-2</v>
      </c>
      <c r="AH113" s="493"/>
      <c r="AI113" s="493"/>
      <c r="AJ113" s="493"/>
      <c r="AK113" s="493"/>
      <c r="AL113" s="493">
        <v>5.3571428571428568E-2</v>
      </c>
      <c r="AM113" s="493">
        <v>5.3571428571428568E-2</v>
      </c>
      <c r="AN113" s="493">
        <v>5.2734375E-2</v>
      </c>
      <c r="AO113" s="493"/>
      <c r="AP113" s="493"/>
      <c r="AQ113" s="493"/>
      <c r="AR113" s="493"/>
      <c r="AS113" s="493"/>
      <c r="AT113" s="493"/>
      <c r="AU113" s="493"/>
      <c r="AV113" s="493"/>
      <c r="AW113" s="493"/>
      <c r="AX113" s="493"/>
      <c r="AY113" s="493"/>
      <c r="AZ113" s="493"/>
      <c r="BA113" s="493"/>
      <c r="BB113" s="493"/>
      <c r="BC113" s="493"/>
      <c r="BD113" s="493"/>
      <c r="BE113" s="493"/>
    </row>
    <row r="114" spans="2:58" s="132" customFormat="1" ht="15" customHeight="1" outlineLevel="1">
      <c r="B114" s="11"/>
      <c r="D114" s="185" t="s">
        <v>220</v>
      </c>
      <c r="E114" s="385">
        <f>INDEX(G114:Q114,Model!$E$1279)</f>
        <v>0</v>
      </c>
      <c r="G114" s="356">
        <f t="shared" si="13"/>
        <v>0</v>
      </c>
      <c r="H114" s="356">
        <f t="shared" si="14"/>
        <v>0</v>
      </c>
      <c r="I114" s="356">
        <f t="shared" si="14"/>
        <v>0</v>
      </c>
      <c r="J114" s="356">
        <f t="shared" si="14"/>
        <v>0</v>
      </c>
      <c r="K114" s="356">
        <f t="shared" si="14"/>
        <v>5.3571428571428568E-2</v>
      </c>
      <c r="L114" s="356">
        <f t="shared" si="14"/>
        <v>0</v>
      </c>
      <c r="M114" s="356">
        <f t="shared" si="14"/>
        <v>0</v>
      </c>
      <c r="N114" s="356">
        <f t="shared" si="14"/>
        <v>0</v>
      </c>
      <c r="O114" s="356">
        <f t="shared" si="14"/>
        <v>0</v>
      </c>
      <c r="P114" s="356">
        <f t="shared" si="14"/>
        <v>0</v>
      </c>
      <c r="Q114" s="356">
        <f t="shared" si="14"/>
        <v>0</v>
      </c>
      <c r="R114" s="354"/>
      <c r="S114" s="315"/>
      <c r="T114" s="149"/>
      <c r="U114" s="149"/>
      <c r="V114" s="149"/>
      <c r="W114" s="149"/>
      <c r="X114" s="149"/>
      <c r="Y114" s="149"/>
      <c r="Z114" s="149"/>
      <c r="AA114" s="338" t="s">
        <v>220</v>
      </c>
      <c r="AB114" s="493"/>
      <c r="AC114" s="493"/>
      <c r="AD114" s="493"/>
      <c r="AE114" s="493"/>
      <c r="AF114" s="493"/>
      <c r="AG114" s="493">
        <v>5.3571428571428568E-2</v>
      </c>
      <c r="AH114" s="493"/>
      <c r="AI114" s="493"/>
      <c r="AJ114" s="493"/>
      <c r="AK114" s="493"/>
      <c r="AL114" s="493">
        <v>5.3571428571428568E-2</v>
      </c>
      <c r="AM114" s="493">
        <v>5.3571428571428568E-2</v>
      </c>
      <c r="AN114" s="493">
        <v>5.2734375E-2</v>
      </c>
      <c r="AO114" s="493"/>
      <c r="AP114" s="493"/>
      <c r="AQ114" s="493"/>
      <c r="AR114" s="493"/>
      <c r="AS114" s="493"/>
      <c r="AT114" s="493"/>
      <c r="AU114" s="493"/>
      <c r="AV114" s="493"/>
      <c r="AW114" s="493"/>
      <c r="AX114" s="493"/>
      <c r="AY114" s="493"/>
      <c r="AZ114" s="493"/>
      <c r="BA114" s="493"/>
      <c r="BB114" s="493"/>
      <c r="BC114" s="493"/>
      <c r="BD114" s="493"/>
      <c r="BE114" s="493"/>
    </row>
    <row r="115" spans="2:58" s="132" customFormat="1" ht="15" customHeight="1" outlineLevel="1">
      <c r="B115" s="11"/>
      <c r="D115" s="185" t="s">
        <v>221</v>
      </c>
      <c r="E115" s="385">
        <f>INDEX(G115:Q115,Model!$E$1279)</f>
        <v>0</v>
      </c>
      <c r="G115" s="356">
        <f t="shared" si="13"/>
        <v>0</v>
      </c>
      <c r="H115" s="356">
        <f t="shared" si="14"/>
        <v>0</v>
      </c>
      <c r="I115" s="356">
        <f t="shared" si="14"/>
        <v>0</v>
      </c>
      <c r="J115" s="356">
        <f t="shared" si="14"/>
        <v>0</v>
      </c>
      <c r="K115" s="356">
        <f t="shared" si="14"/>
        <v>0</v>
      </c>
      <c r="L115" s="356">
        <f t="shared" si="14"/>
        <v>0</v>
      </c>
      <c r="M115" s="356">
        <f t="shared" si="14"/>
        <v>0</v>
      </c>
      <c r="N115" s="356">
        <f t="shared" si="14"/>
        <v>0</v>
      </c>
      <c r="O115" s="356">
        <f t="shared" si="14"/>
        <v>0</v>
      </c>
      <c r="P115" s="356">
        <f t="shared" si="14"/>
        <v>0</v>
      </c>
      <c r="Q115" s="356">
        <f t="shared" si="14"/>
        <v>0</v>
      </c>
      <c r="R115" s="354"/>
      <c r="S115" s="315"/>
      <c r="T115" s="149"/>
      <c r="U115" s="149"/>
      <c r="V115" s="149"/>
      <c r="W115" s="149"/>
      <c r="X115" s="149"/>
      <c r="Y115" s="149"/>
      <c r="Z115" s="149"/>
      <c r="AA115" s="338" t="s">
        <v>221</v>
      </c>
      <c r="AB115" s="493"/>
      <c r="AC115" s="493"/>
      <c r="AD115" s="493"/>
      <c r="AE115" s="493"/>
      <c r="AF115" s="493"/>
      <c r="AG115" s="493">
        <v>0</v>
      </c>
      <c r="AH115" s="493"/>
      <c r="AI115" s="493"/>
      <c r="AJ115" s="493"/>
      <c r="AK115" s="493"/>
      <c r="AL115" s="493">
        <v>0</v>
      </c>
      <c r="AM115" s="493">
        <v>0</v>
      </c>
      <c r="AN115" s="493">
        <v>5.2734375E-2</v>
      </c>
      <c r="AO115" s="493"/>
      <c r="AP115" s="493"/>
      <c r="AQ115" s="493"/>
      <c r="AR115" s="493"/>
      <c r="AS115" s="493"/>
      <c r="AT115" s="493"/>
      <c r="AU115" s="493"/>
      <c r="AV115" s="493"/>
      <c r="AW115" s="493"/>
      <c r="AX115" s="493"/>
      <c r="AY115" s="493"/>
      <c r="AZ115" s="493"/>
      <c r="BA115" s="493"/>
      <c r="BB115" s="493"/>
      <c r="BC115" s="493"/>
      <c r="BD115" s="493"/>
      <c r="BE115" s="493"/>
    </row>
    <row r="116" spans="2:58" s="132" customFormat="1" ht="15" customHeight="1" outlineLevel="1">
      <c r="B116" s="11"/>
      <c r="D116" s="185" t="s">
        <v>222</v>
      </c>
      <c r="E116" s="385">
        <f>INDEX(G116:Q116,Model!$E$1279)</f>
        <v>0</v>
      </c>
      <c r="G116" s="356">
        <f t="shared" si="13"/>
        <v>0</v>
      </c>
      <c r="H116" s="356">
        <f t="shared" si="14"/>
        <v>0</v>
      </c>
      <c r="I116" s="356">
        <f t="shared" si="14"/>
        <v>0</v>
      </c>
      <c r="J116" s="356">
        <f t="shared" si="14"/>
        <v>0</v>
      </c>
      <c r="K116" s="356">
        <f t="shared" si="14"/>
        <v>0</v>
      </c>
      <c r="L116" s="356">
        <f t="shared" si="14"/>
        <v>0</v>
      </c>
      <c r="M116" s="356">
        <f t="shared" si="14"/>
        <v>0</v>
      </c>
      <c r="N116" s="356">
        <f t="shared" si="14"/>
        <v>0</v>
      </c>
      <c r="O116" s="356">
        <f t="shared" si="14"/>
        <v>0</v>
      </c>
      <c r="P116" s="356">
        <f t="shared" si="14"/>
        <v>0</v>
      </c>
      <c r="Q116" s="356">
        <f t="shared" si="14"/>
        <v>0</v>
      </c>
      <c r="R116" s="354"/>
      <c r="S116" s="315"/>
      <c r="T116" s="149"/>
      <c r="U116" s="149"/>
      <c r="V116" s="149"/>
      <c r="W116" s="149"/>
      <c r="X116" s="149"/>
      <c r="Y116" s="149"/>
      <c r="Z116" s="149"/>
      <c r="AA116" s="338" t="s">
        <v>222</v>
      </c>
      <c r="AB116" s="493"/>
      <c r="AC116" s="493"/>
      <c r="AD116" s="493"/>
      <c r="AE116" s="493"/>
      <c r="AF116" s="493"/>
      <c r="AG116" s="493">
        <v>0</v>
      </c>
      <c r="AH116" s="493"/>
      <c r="AI116" s="493"/>
      <c r="AJ116" s="493"/>
      <c r="AK116" s="493"/>
      <c r="AL116" s="493">
        <v>0</v>
      </c>
      <c r="AM116" s="493">
        <v>0</v>
      </c>
      <c r="AN116" s="493">
        <v>0</v>
      </c>
      <c r="AO116" s="493"/>
      <c r="AP116" s="493"/>
      <c r="AQ116" s="493"/>
      <c r="AR116" s="493"/>
      <c r="AS116" s="493"/>
      <c r="AT116" s="493"/>
      <c r="AU116" s="493"/>
      <c r="AV116" s="493"/>
      <c r="AW116" s="493"/>
      <c r="AX116" s="493"/>
      <c r="AY116" s="493"/>
      <c r="AZ116" s="493"/>
      <c r="BA116" s="493"/>
      <c r="BB116" s="493"/>
      <c r="BC116" s="493"/>
      <c r="BD116" s="493"/>
      <c r="BE116" s="493"/>
    </row>
    <row r="117" spans="2:58" s="132" customFormat="1" ht="15" customHeight="1" outlineLevel="1">
      <c r="B117" s="11"/>
      <c r="D117" s="185" t="s">
        <v>223</v>
      </c>
      <c r="E117" s="385">
        <f>INDEX(G117:Q117,Model!$E$1279)</f>
        <v>0</v>
      </c>
      <c r="G117" s="356">
        <f t="shared" si="13"/>
        <v>0</v>
      </c>
      <c r="H117" s="356">
        <f t="shared" si="14"/>
        <v>0</v>
      </c>
      <c r="I117" s="356">
        <f t="shared" si="14"/>
        <v>0</v>
      </c>
      <c r="J117" s="356">
        <f t="shared" si="14"/>
        <v>0</v>
      </c>
      <c r="K117" s="356">
        <f t="shared" si="14"/>
        <v>0</v>
      </c>
      <c r="L117" s="356">
        <f t="shared" si="14"/>
        <v>0</v>
      </c>
      <c r="M117" s="356">
        <f t="shared" si="14"/>
        <v>0</v>
      </c>
      <c r="N117" s="356">
        <f t="shared" si="14"/>
        <v>0</v>
      </c>
      <c r="O117" s="356">
        <f t="shared" si="14"/>
        <v>0</v>
      </c>
      <c r="P117" s="356">
        <f t="shared" si="14"/>
        <v>0</v>
      </c>
      <c r="Q117" s="356">
        <f t="shared" si="14"/>
        <v>0</v>
      </c>
      <c r="R117" s="354"/>
      <c r="S117" s="315"/>
      <c r="T117" s="149"/>
      <c r="U117" s="149"/>
      <c r="V117" s="149"/>
      <c r="W117" s="149"/>
      <c r="X117" s="149"/>
      <c r="Y117" s="149"/>
      <c r="Z117" s="149"/>
      <c r="AA117" s="338" t="s">
        <v>223</v>
      </c>
      <c r="AB117" s="493"/>
      <c r="AC117" s="493"/>
      <c r="AD117" s="493"/>
      <c r="AE117" s="493"/>
      <c r="AF117" s="493"/>
      <c r="AG117" s="493">
        <v>0</v>
      </c>
      <c r="AH117" s="493"/>
      <c r="AI117" s="493"/>
      <c r="AJ117" s="493"/>
      <c r="AK117" s="493"/>
      <c r="AL117" s="493">
        <v>0</v>
      </c>
      <c r="AM117" s="493">
        <v>0</v>
      </c>
      <c r="AN117" s="493">
        <v>0</v>
      </c>
      <c r="AO117" s="493"/>
      <c r="AP117" s="493"/>
      <c r="AQ117" s="493"/>
      <c r="AR117" s="493"/>
      <c r="AS117" s="493"/>
      <c r="AT117" s="493"/>
      <c r="AU117" s="493"/>
      <c r="AV117" s="493"/>
      <c r="AW117" s="493"/>
      <c r="AX117" s="493"/>
      <c r="AY117" s="493"/>
      <c r="AZ117" s="493"/>
      <c r="BA117" s="493"/>
      <c r="BB117" s="493"/>
      <c r="BC117" s="493"/>
      <c r="BD117" s="493"/>
      <c r="BE117" s="493"/>
    </row>
    <row r="118" spans="2:58" s="132" customFormat="1" ht="15" customHeight="1" outlineLevel="1">
      <c r="B118" s="11"/>
      <c r="D118" s="185" t="s">
        <v>224</v>
      </c>
      <c r="E118" s="385">
        <f>INDEX(G118:Q118,Model!$E$1279)</f>
        <v>0</v>
      </c>
      <c r="G118" s="356">
        <f t="shared" si="13"/>
        <v>0</v>
      </c>
      <c r="H118" s="356">
        <f t="shared" si="14"/>
        <v>0</v>
      </c>
      <c r="I118" s="356">
        <f t="shared" si="14"/>
        <v>0</v>
      </c>
      <c r="J118" s="356">
        <f t="shared" si="14"/>
        <v>0</v>
      </c>
      <c r="K118" s="356">
        <f t="shared" si="14"/>
        <v>0</v>
      </c>
      <c r="L118" s="356">
        <f t="shared" si="14"/>
        <v>0</v>
      </c>
      <c r="M118" s="356">
        <f t="shared" si="14"/>
        <v>0</v>
      </c>
      <c r="N118" s="356">
        <f t="shared" si="14"/>
        <v>0</v>
      </c>
      <c r="O118" s="356">
        <f t="shared" si="14"/>
        <v>0</v>
      </c>
      <c r="P118" s="356">
        <f t="shared" si="14"/>
        <v>0</v>
      </c>
      <c r="Q118" s="356">
        <f t="shared" si="14"/>
        <v>0</v>
      </c>
      <c r="R118" s="354"/>
      <c r="S118" s="315"/>
      <c r="T118" s="149"/>
      <c r="U118" s="149"/>
      <c r="V118" s="149"/>
      <c r="W118" s="149"/>
      <c r="X118" s="149"/>
      <c r="Y118" s="149"/>
      <c r="Z118" s="149"/>
      <c r="AA118" s="338" t="s">
        <v>224</v>
      </c>
      <c r="AB118" s="493"/>
      <c r="AC118" s="493"/>
      <c r="AD118" s="493"/>
      <c r="AE118" s="493"/>
      <c r="AF118" s="493"/>
      <c r="AG118" s="493">
        <v>0</v>
      </c>
      <c r="AH118" s="493"/>
      <c r="AI118" s="493"/>
      <c r="AJ118" s="493"/>
      <c r="AK118" s="493"/>
      <c r="AL118" s="493">
        <v>0</v>
      </c>
      <c r="AM118" s="493">
        <v>0</v>
      </c>
      <c r="AN118" s="493">
        <v>0</v>
      </c>
      <c r="AO118" s="493"/>
      <c r="AP118" s="493"/>
      <c r="AQ118" s="493"/>
      <c r="AR118" s="493"/>
      <c r="AS118" s="493"/>
      <c r="AT118" s="493"/>
      <c r="AU118" s="493"/>
      <c r="AV118" s="493"/>
      <c r="AW118" s="493"/>
      <c r="AX118" s="493"/>
      <c r="AY118" s="493"/>
      <c r="AZ118" s="493"/>
      <c r="BA118" s="493"/>
      <c r="BB118" s="493"/>
      <c r="BC118" s="493"/>
      <c r="BD118" s="493"/>
      <c r="BE118" s="493"/>
    </row>
    <row r="119" spans="2:58" s="132" customFormat="1" ht="15" customHeight="1" outlineLevel="1">
      <c r="B119" s="11"/>
      <c r="D119" s="185" t="s">
        <v>225</v>
      </c>
      <c r="E119" s="385">
        <f>INDEX(G119:Q119,Model!$E$1279)</f>
        <v>0</v>
      </c>
      <c r="G119" s="356">
        <f t="shared" si="13"/>
        <v>0</v>
      </c>
      <c r="H119" s="356">
        <f t="shared" si="14"/>
        <v>0</v>
      </c>
      <c r="I119" s="356">
        <f t="shared" si="14"/>
        <v>0</v>
      </c>
      <c r="J119" s="356">
        <f t="shared" si="14"/>
        <v>0</v>
      </c>
      <c r="K119" s="356">
        <f t="shared" si="14"/>
        <v>0</v>
      </c>
      <c r="L119" s="356">
        <f t="shared" si="14"/>
        <v>0</v>
      </c>
      <c r="M119" s="356">
        <f t="shared" si="14"/>
        <v>0</v>
      </c>
      <c r="N119" s="356">
        <f t="shared" si="14"/>
        <v>0</v>
      </c>
      <c r="O119" s="356">
        <f t="shared" si="14"/>
        <v>0</v>
      </c>
      <c r="P119" s="356">
        <f t="shared" si="14"/>
        <v>0</v>
      </c>
      <c r="Q119" s="356">
        <f t="shared" si="14"/>
        <v>0</v>
      </c>
      <c r="R119" s="354"/>
      <c r="S119" s="315"/>
      <c r="T119" s="149"/>
      <c r="U119" s="149"/>
      <c r="V119" s="149"/>
      <c r="W119" s="149"/>
      <c r="X119" s="149"/>
      <c r="Y119" s="149"/>
      <c r="Z119" s="149"/>
      <c r="AA119" s="338" t="s">
        <v>225</v>
      </c>
      <c r="AB119" s="493"/>
      <c r="AC119" s="493"/>
      <c r="AD119" s="493"/>
      <c r="AE119" s="493"/>
      <c r="AF119" s="493"/>
      <c r="AG119" s="493">
        <v>0</v>
      </c>
      <c r="AH119" s="493"/>
      <c r="AI119" s="493"/>
      <c r="AJ119" s="493"/>
      <c r="AK119" s="493"/>
      <c r="AL119" s="493">
        <v>0</v>
      </c>
      <c r="AM119" s="493">
        <v>0</v>
      </c>
      <c r="AN119" s="493">
        <v>0</v>
      </c>
      <c r="AO119" s="493"/>
      <c r="AP119" s="493"/>
      <c r="AQ119" s="493"/>
      <c r="AR119" s="493"/>
      <c r="AS119" s="493"/>
      <c r="AT119" s="493"/>
      <c r="AU119" s="493"/>
      <c r="AV119" s="493"/>
      <c r="AW119" s="493"/>
      <c r="AX119" s="493"/>
      <c r="AY119" s="493"/>
      <c r="AZ119" s="493"/>
      <c r="BA119" s="493"/>
      <c r="BB119" s="493"/>
      <c r="BC119" s="493"/>
      <c r="BD119" s="493"/>
      <c r="BE119" s="493"/>
    </row>
    <row r="120" spans="2:58" s="132" customFormat="1" ht="15" customHeight="1" outlineLevel="1">
      <c r="B120" s="11"/>
      <c r="D120" s="185" t="s">
        <v>226</v>
      </c>
      <c r="E120" s="385">
        <f>INDEX(G120:Q120,Model!$E$1279)</f>
        <v>0</v>
      </c>
      <c r="G120" s="356">
        <f t="shared" si="13"/>
        <v>0</v>
      </c>
      <c r="H120" s="356">
        <f t="shared" si="14"/>
        <v>0</v>
      </c>
      <c r="I120" s="356">
        <f t="shared" si="14"/>
        <v>0</v>
      </c>
      <c r="J120" s="356">
        <f t="shared" si="14"/>
        <v>0</v>
      </c>
      <c r="K120" s="356">
        <f t="shared" si="14"/>
        <v>0</v>
      </c>
      <c r="L120" s="356">
        <f t="shared" si="14"/>
        <v>0</v>
      </c>
      <c r="M120" s="356">
        <f t="shared" si="14"/>
        <v>0</v>
      </c>
      <c r="N120" s="356">
        <f t="shared" si="14"/>
        <v>0</v>
      </c>
      <c r="O120" s="356">
        <f t="shared" si="14"/>
        <v>0</v>
      </c>
      <c r="P120" s="356">
        <f t="shared" si="14"/>
        <v>0</v>
      </c>
      <c r="Q120" s="356">
        <f t="shared" si="14"/>
        <v>0</v>
      </c>
      <c r="R120" s="354"/>
      <c r="S120" s="315"/>
      <c r="T120" s="149"/>
      <c r="U120" s="149"/>
      <c r="V120" s="149"/>
      <c r="W120" s="149"/>
      <c r="X120" s="149"/>
      <c r="Y120" s="149"/>
      <c r="Z120" s="149"/>
      <c r="AA120" s="338" t="s">
        <v>226</v>
      </c>
      <c r="AB120" s="493"/>
      <c r="AC120" s="493"/>
      <c r="AD120" s="493"/>
      <c r="AE120" s="493"/>
      <c r="AF120" s="493"/>
      <c r="AG120" s="493">
        <v>0</v>
      </c>
      <c r="AH120" s="493"/>
      <c r="AI120" s="493"/>
      <c r="AJ120" s="493"/>
      <c r="AK120" s="493"/>
      <c r="AL120" s="493">
        <v>0</v>
      </c>
      <c r="AM120" s="493">
        <v>0</v>
      </c>
      <c r="AN120" s="493">
        <v>0</v>
      </c>
      <c r="AO120" s="493"/>
      <c r="AP120" s="493"/>
      <c r="AQ120" s="493"/>
      <c r="AR120" s="493"/>
      <c r="AS120" s="493"/>
      <c r="AT120" s="493"/>
      <c r="AU120" s="493"/>
      <c r="AV120" s="493"/>
      <c r="AW120" s="493"/>
      <c r="AX120" s="493"/>
      <c r="AY120" s="493"/>
      <c r="AZ120" s="493"/>
      <c r="BA120" s="493"/>
      <c r="BB120" s="493"/>
      <c r="BC120" s="493"/>
      <c r="BD120" s="493"/>
      <c r="BE120" s="493"/>
    </row>
    <row r="121" spans="2:58" s="132" customFormat="1" ht="15" customHeight="1" outlineLevel="1">
      <c r="B121" s="11"/>
      <c r="D121" s="185" t="s">
        <v>227</v>
      </c>
      <c r="E121" s="385">
        <f>INDEX(G121:Q121,Model!$E$1279)</f>
        <v>0</v>
      </c>
      <c r="G121" s="356">
        <f t="shared" si="13"/>
        <v>0</v>
      </c>
      <c r="H121" s="356">
        <f t="shared" si="14"/>
        <v>0</v>
      </c>
      <c r="I121" s="356">
        <f t="shared" si="14"/>
        <v>0</v>
      </c>
      <c r="J121" s="356">
        <f t="shared" si="14"/>
        <v>0</v>
      </c>
      <c r="K121" s="356">
        <f t="shared" si="14"/>
        <v>0</v>
      </c>
      <c r="L121" s="356">
        <f t="shared" si="14"/>
        <v>0</v>
      </c>
      <c r="M121" s="356">
        <f t="shared" si="14"/>
        <v>0</v>
      </c>
      <c r="N121" s="356">
        <f t="shared" si="14"/>
        <v>0</v>
      </c>
      <c r="O121" s="356">
        <f t="shared" si="14"/>
        <v>0</v>
      </c>
      <c r="P121" s="356">
        <f t="shared" si="14"/>
        <v>0</v>
      </c>
      <c r="Q121" s="356">
        <f t="shared" si="14"/>
        <v>0</v>
      </c>
      <c r="R121" s="354"/>
      <c r="S121" s="315"/>
      <c r="T121" s="149"/>
      <c r="U121" s="149"/>
      <c r="V121" s="149"/>
      <c r="W121" s="149"/>
      <c r="X121" s="149"/>
      <c r="Y121" s="149"/>
      <c r="Z121" s="149"/>
      <c r="AA121" s="338" t="s">
        <v>227</v>
      </c>
      <c r="AB121" s="493"/>
      <c r="AC121" s="493"/>
      <c r="AD121" s="493"/>
      <c r="AE121" s="493"/>
      <c r="AF121" s="493"/>
      <c r="AG121" s="493">
        <v>0</v>
      </c>
      <c r="AH121" s="493"/>
      <c r="AI121" s="493"/>
      <c r="AJ121" s="493"/>
      <c r="AK121" s="493"/>
      <c r="AL121" s="493">
        <v>0</v>
      </c>
      <c r="AM121" s="493">
        <v>0</v>
      </c>
      <c r="AN121" s="493">
        <v>0</v>
      </c>
      <c r="AO121" s="493"/>
      <c r="AP121" s="493"/>
      <c r="AQ121" s="493"/>
      <c r="AR121" s="493"/>
      <c r="AS121" s="493"/>
      <c r="AT121" s="493"/>
      <c r="AU121" s="493"/>
      <c r="AV121" s="493"/>
      <c r="AW121" s="493"/>
      <c r="AX121" s="493"/>
      <c r="AY121" s="493"/>
      <c r="AZ121" s="493"/>
      <c r="BA121" s="493"/>
      <c r="BB121" s="493"/>
      <c r="BC121" s="493"/>
      <c r="BD121" s="493"/>
      <c r="BE121" s="493"/>
    </row>
    <row r="122" spans="2:58" s="132" customFormat="1" ht="15" customHeight="1" outlineLevel="1">
      <c r="B122" s="11"/>
      <c r="D122" s="185" t="s">
        <v>228</v>
      </c>
      <c r="E122" s="385">
        <f>INDEX(G122:Q122,Model!$E$1279)</f>
        <v>0</v>
      </c>
      <c r="G122" s="356">
        <f t="shared" si="13"/>
        <v>0</v>
      </c>
      <c r="H122" s="356">
        <f t="shared" ref="H122:Q125" si="15">INDEX($AB122:$BE122,H$16)</f>
        <v>0</v>
      </c>
      <c r="I122" s="356">
        <f t="shared" si="15"/>
        <v>0</v>
      </c>
      <c r="J122" s="356">
        <f t="shared" si="15"/>
        <v>0</v>
      </c>
      <c r="K122" s="356">
        <f t="shared" si="15"/>
        <v>0</v>
      </c>
      <c r="L122" s="356">
        <f t="shared" si="15"/>
        <v>0</v>
      </c>
      <c r="M122" s="356">
        <f t="shared" si="15"/>
        <v>0</v>
      </c>
      <c r="N122" s="356">
        <f t="shared" si="15"/>
        <v>0</v>
      </c>
      <c r="O122" s="356">
        <f t="shared" si="15"/>
        <v>0</v>
      </c>
      <c r="P122" s="356">
        <f t="shared" si="15"/>
        <v>0</v>
      </c>
      <c r="Q122" s="356">
        <f t="shared" si="15"/>
        <v>0</v>
      </c>
      <c r="R122" s="354"/>
      <c r="S122" s="315"/>
      <c r="T122" s="149"/>
      <c r="U122" s="149"/>
      <c r="V122" s="149"/>
      <c r="W122" s="149"/>
      <c r="X122" s="149"/>
      <c r="Y122" s="149"/>
      <c r="Z122" s="149"/>
      <c r="AA122" s="338" t="s">
        <v>228</v>
      </c>
      <c r="AB122" s="493"/>
      <c r="AC122" s="493"/>
      <c r="AD122" s="493"/>
      <c r="AE122" s="493"/>
      <c r="AF122" s="493"/>
      <c r="AG122" s="493">
        <v>0</v>
      </c>
      <c r="AH122" s="493"/>
      <c r="AI122" s="493"/>
      <c r="AJ122" s="493"/>
      <c r="AK122" s="493"/>
      <c r="AL122" s="493">
        <v>0</v>
      </c>
      <c r="AM122" s="493">
        <v>0</v>
      </c>
      <c r="AN122" s="493">
        <v>0</v>
      </c>
      <c r="AO122" s="493"/>
      <c r="AP122" s="493"/>
      <c r="AQ122" s="493"/>
      <c r="AR122" s="493"/>
      <c r="AS122" s="493"/>
      <c r="AT122" s="493"/>
      <c r="AU122" s="493"/>
      <c r="AV122" s="493"/>
      <c r="AW122" s="493"/>
      <c r="AX122" s="493"/>
      <c r="AY122" s="493"/>
      <c r="AZ122" s="493"/>
      <c r="BA122" s="493"/>
      <c r="BB122" s="493"/>
      <c r="BC122" s="493"/>
      <c r="BD122" s="493"/>
      <c r="BE122" s="493"/>
    </row>
    <row r="123" spans="2:58" s="132" customFormat="1" ht="15" customHeight="1" outlineLevel="1">
      <c r="B123" s="11"/>
      <c r="D123" s="185" t="s">
        <v>229</v>
      </c>
      <c r="E123" s="385">
        <f>INDEX(G123:Q123,Model!$E$1279)</f>
        <v>0</v>
      </c>
      <c r="G123" s="356">
        <f t="shared" si="13"/>
        <v>0</v>
      </c>
      <c r="H123" s="356">
        <f t="shared" si="15"/>
        <v>0</v>
      </c>
      <c r="I123" s="356">
        <f t="shared" si="15"/>
        <v>0</v>
      </c>
      <c r="J123" s="356">
        <f t="shared" si="15"/>
        <v>0</v>
      </c>
      <c r="K123" s="356">
        <f t="shared" si="15"/>
        <v>0</v>
      </c>
      <c r="L123" s="356">
        <f t="shared" si="15"/>
        <v>0</v>
      </c>
      <c r="M123" s="356">
        <f t="shared" si="15"/>
        <v>0</v>
      </c>
      <c r="N123" s="356">
        <f t="shared" si="15"/>
        <v>0</v>
      </c>
      <c r="O123" s="356">
        <f t="shared" si="15"/>
        <v>0</v>
      </c>
      <c r="P123" s="356">
        <f t="shared" si="15"/>
        <v>0</v>
      </c>
      <c r="Q123" s="356">
        <f t="shared" si="15"/>
        <v>0</v>
      </c>
      <c r="R123" s="354"/>
      <c r="S123" s="315"/>
      <c r="T123" s="149"/>
      <c r="U123" s="149"/>
      <c r="V123" s="149"/>
      <c r="W123" s="149"/>
      <c r="X123" s="149"/>
      <c r="Y123" s="149"/>
      <c r="Z123" s="149"/>
      <c r="AA123" s="338" t="s">
        <v>229</v>
      </c>
      <c r="AB123" s="493"/>
      <c r="AC123" s="493"/>
      <c r="AD123" s="493"/>
      <c r="AE123" s="493"/>
      <c r="AF123" s="493"/>
      <c r="AG123" s="493">
        <v>0</v>
      </c>
      <c r="AH123" s="493"/>
      <c r="AI123" s="493"/>
      <c r="AJ123" s="493"/>
      <c r="AK123" s="493"/>
      <c r="AL123" s="493">
        <v>0</v>
      </c>
      <c r="AM123" s="493">
        <v>0</v>
      </c>
      <c r="AN123" s="493">
        <v>0</v>
      </c>
      <c r="AO123" s="493"/>
      <c r="AP123" s="493"/>
      <c r="AQ123" s="493"/>
      <c r="AR123" s="493"/>
      <c r="AS123" s="493"/>
      <c r="AT123" s="493"/>
      <c r="AU123" s="493"/>
      <c r="AV123" s="493"/>
      <c r="AW123" s="493"/>
      <c r="AX123" s="493"/>
      <c r="AY123" s="493"/>
      <c r="AZ123" s="493"/>
      <c r="BA123" s="493"/>
      <c r="BB123" s="493"/>
      <c r="BC123" s="493"/>
      <c r="BD123" s="493"/>
      <c r="BE123" s="493"/>
    </row>
    <row r="124" spans="2:58" s="132" customFormat="1" ht="15" customHeight="1" outlineLevel="1">
      <c r="B124" s="11"/>
      <c r="D124" s="185" t="s">
        <v>230</v>
      </c>
      <c r="E124" s="385">
        <f>INDEX(G124:Q124,Model!$E$1279)</f>
        <v>0</v>
      </c>
      <c r="G124" s="356">
        <f t="shared" si="13"/>
        <v>0</v>
      </c>
      <c r="H124" s="356">
        <f t="shared" si="15"/>
        <v>0</v>
      </c>
      <c r="I124" s="356">
        <f t="shared" si="15"/>
        <v>0</v>
      </c>
      <c r="J124" s="356">
        <f t="shared" si="15"/>
        <v>0</v>
      </c>
      <c r="K124" s="356">
        <f t="shared" si="15"/>
        <v>0</v>
      </c>
      <c r="L124" s="356">
        <f t="shared" si="15"/>
        <v>0</v>
      </c>
      <c r="M124" s="356">
        <f t="shared" si="15"/>
        <v>0</v>
      </c>
      <c r="N124" s="356">
        <f t="shared" si="15"/>
        <v>0</v>
      </c>
      <c r="O124" s="356">
        <f t="shared" si="15"/>
        <v>0</v>
      </c>
      <c r="P124" s="356">
        <f t="shared" si="15"/>
        <v>0</v>
      </c>
      <c r="Q124" s="356">
        <f t="shared" si="15"/>
        <v>0</v>
      </c>
      <c r="R124" s="354"/>
      <c r="S124" s="315"/>
      <c r="T124" s="149"/>
      <c r="U124" s="149"/>
      <c r="V124" s="149"/>
      <c r="W124" s="149"/>
      <c r="X124" s="149"/>
      <c r="Y124" s="149"/>
      <c r="Z124" s="149"/>
      <c r="AA124" s="338" t="s">
        <v>230</v>
      </c>
      <c r="AB124" s="493"/>
      <c r="AC124" s="493"/>
      <c r="AD124" s="493"/>
      <c r="AE124" s="493"/>
      <c r="AF124" s="493"/>
      <c r="AG124" s="493">
        <v>0</v>
      </c>
      <c r="AH124" s="493"/>
      <c r="AI124" s="493"/>
      <c r="AJ124" s="493"/>
      <c r="AK124" s="493"/>
      <c r="AL124" s="493">
        <v>0</v>
      </c>
      <c r="AM124" s="493">
        <v>0</v>
      </c>
      <c r="AN124" s="493">
        <v>0</v>
      </c>
      <c r="AO124" s="493"/>
      <c r="AP124" s="493"/>
      <c r="AQ124" s="493"/>
      <c r="AR124" s="493"/>
      <c r="AS124" s="493"/>
      <c r="AT124" s="493"/>
      <c r="AU124" s="493"/>
      <c r="AV124" s="493"/>
      <c r="AW124" s="493"/>
      <c r="AX124" s="493"/>
      <c r="AY124" s="493"/>
      <c r="AZ124" s="493"/>
      <c r="BA124" s="493"/>
      <c r="BB124" s="493"/>
      <c r="BC124" s="493"/>
      <c r="BD124" s="493"/>
      <c r="BE124" s="493"/>
    </row>
    <row r="125" spans="2:58" s="132" customFormat="1" ht="15" customHeight="1" outlineLevel="1">
      <c r="B125" s="11"/>
      <c r="D125" s="185" t="s">
        <v>231</v>
      </c>
      <c r="E125" s="385">
        <f>INDEX(G125:Q125,Model!$E$1279)</f>
        <v>0</v>
      </c>
      <c r="G125" s="356">
        <f t="shared" si="13"/>
        <v>0</v>
      </c>
      <c r="H125" s="356">
        <f t="shared" si="15"/>
        <v>0</v>
      </c>
      <c r="I125" s="356">
        <f t="shared" si="15"/>
        <v>0</v>
      </c>
      <c r="J125" s="356">
        <f t="shared" si="15"/>
        <v>0</v>
      </c>
      <c r="K125" s="356">
        <f t="shared" si="15"/>
        <v>0</v>
      </c>
      <c r="L125" s="356">
        <f t="shared" si="15"/>
        <v>0</v>
      </c>
      <c r="M125" s="356">
        <f t="shared" si="15"/>
        <v>0</v>
      </c>
      <c r="N125" s="356">
        <f t="shared" si="15"/>
        <v>0</v>
      </c>
      <c r="O125" s="356">
        <f t="shared" si="15"/>
        <v>0</v>
      </c>
      <c r="P125" s="356">
        <f t="shared" si="15"/>
        <v>0</v>
      </c>
      <c r="Q125" s="356">
        <f t="shared" si="15"/>
        <v>0</v>
      </c>
      <c r="R125" s="354"/>
      <c r="S125" s="315"/>
      <c r="T125" s="149"/>
      <c r="U125" s="149"/>
      <c r="V125" s="149"/>
      <c r="W125" s="149"/>
      <c r="X125" s="149"/>
      <c r="Y125" s="149"/>
      <c r="Z125" s="149"/>
      <c r="AA125" s="338" t="s">
        <v>231</v>
      </c>
      <c r="AB125" s="493"/>
      <c r="AC125" s="493"/>
      <c r="AD125" s="493"/>
      <c r="AE125" s="493"/>
      <c r="AF125" s="493"/>
      <c r="AG125" s="493">
        <v>0</v>
      </c>
      <c r="AH125" s="493"/>
      <c r="AI125" s="493"/>
      <c r="AJ125" s="493"/>
      <c r="AK125" s="493"/>
      <c r="AL125" s="493">
        <v>0</v>
      </c>
      <c r="AM125" s="493">
        <v>0</v>
      </c>
      <c r="AN125" s="493">
        <v>0</v>
      </c>
      <c r="AO125" s="493"/>
      <c r="AP125" s="493"/>
      <c r="AQ125" s="493"/>
      <c r="AR125" s="493"/>
      <c r="AS125" s="493"/>
      <c r="AT125" s="493"/>
      <c r="AU125" s="493"/>
      <c r="AV125" s="493"/>
      <c r="AW125" s="493"/>
      <c r="AX125" s="493"/>
      <c r="AY125" s="493"/>
      <c r="AZ125" s="493"/>
      <c r="BA125" s="493"/>
      <c r="BB125" s="493"/>
      <c r="BC125" s="493"/>
      <c r="BD125" s="493"/>
      <c r="BE125" s="493"/>
    </row>
    <row r="126" spans="2:58" s="132" customFormat="1" ht="15" customHeight="1" outlineLevel="1">
      <c r="B126" s="11"/>
      <c r="D126" s="176"/>
      <c r="E126" s="148"/>
      <c r="G126" s="354"/>
      <c r="H126" s="354"/>
      <c r="I126" s="354"/>
      <c r="J126" s="354"/>
      <c r="K126" s="354"/>
      <c r="L126" s="354"/>
      <c r="M126" s="354"/>
      <c r="N126" s="354"/>
      <c r="O126" s="354"/>
      <c r="P126" s="354"/>
      <c r="Q126" s="354"/>
      <c r="R126" s="354"/>
      <c r="S126" s="149"/>
      <c r="T126" s="149"/>
      <c r="U126" s="149"/>
      <c r="V126" s="149"/>
      <c r="W126" s="149"/>
      <c r="X126" s="149"/>
      <c r="Y126" s="149"/>
      <c r="Z126" s="149"/>
      <c r="AA126" s="149"/>
      <c r="AB126" s="149"/>
      <c r="AC126" s="149"/>
      <c r="AS126" s="11"/>
      <c r="AT126" s="11"/>
      <c r="AU126" s="11"/>
      <c r="AV126" s="11"/>
      <c r="AW126" s="11"/>
    </row>
    <row r="127" spans="2:58" s="11" customFormat="1" ht="23" customHeight="1">
      <c r="C127" s="547" t="s">
        <v>232</v>
      </c>
      <c r="D127" s="490"/>
      <c r="E127" s="490"/>
      <c r="F127" s="490"/>
      <c r="G127" s="527"/>
      <c r="H127" s="527"/>
      <c r="I127" s="527"/>
      <c r="J127" s="527"/>
      <c r="K127" s="527"/>
      <c r="L127" s="527"/>
      <c r="M127" s="527"/>
      <c r="N127" s="527"/>
      <c r="O127" s="527"/>
      <c r="P127" s="527"/>
      <c r="Q127" s="527"/>
      <c r="R127" s="527"/>
      <c r="S127" s="490"/>
      <c r="T127" s="490"/>
      <c r="U127" s="490"/>
      <c r="V127" s="490"/>
      <c r="W127" s="490"/>
      <c r="X127" s="490"/>
      <c r="Y127" s="490"/>
      <c r="Z127" s="490"/>
      <c r="AA127" s="490"/>
      <c r="AB127" s="490"/>
      <c r="AC127" s="490"/>
      <c r="AD127" s="490"/>
      <c r="AE127" s="490"/>
      <c r="AF127" s="490"/>
      <c r="AG127" s="490"/>
      <c r="AH127" s="490"/>
      <c r="AI127" s="490"/>
      <c r="AJ127" s="490"/>
      <c r="AK127" s="490"/>
      <c r="AL127" s="490"/>
      <c r="AM127" s="490"/>
      <c r="AN127" s="490"/>
      <c r="AO127" s="490"/>
      <c r="AP127" s="490"/>
      <c r="AQ127" s="490"/>
      <c r="AR127" s="490"/>
      <c r="AS127" s="490"/>
      <c r="AT127" s="490"/>
      <c r="AU127" s="490"/>
      <c r="AV127" s="490"/>
      <c r="AW127" s="490"/>
      <c r="AX127" s="490"/>
      <c r="AY127" s="490"/>
      <c r="AZ127" s="490"/>
      <c r="BA127" s="490"/>
      <c r="BB127" s="490"/>
      <c r="BC127" s="490"/>
      <c r="BD127" s="490"/>
      <c r="BE127" s="490"/>
      <c r="BF127" s="490"/>
    </row>
    <row r="128" spans="2:58" s="11" customFormat="1" ht="15" customHeight="1" outlineLevel="1">
      <c r="C128" s="103" t="s">
        <v>233</v>
      </c>
      <c r="G128" s="46"/>
      <c r="H128" s="46"/>
      <c r="I128" s="46"/>
      <c r="J128" s="357"/>
      <c r="K128" s="358"/>
      <c r="L128" s="357"/>
      <c r="M128" s="358"/>
      <c r="N128" s="357"/>
      <c r="O128" s="357"/>
      <c r="P128" s="358"/>
      <c r="Q128" s="46"/>
      <c r="R128" s="358"/>
    </row>
    <row r="129" spans="3:49" s="11" customFormat="1" ht="15" customHeight="1" outlineLevel="1">
      <c r="C129" s="103"/>
      <c r="G129" s="46"/>
      <c r="H129" s="46"/>
      <c r="I129" s="46"/>
      <c r="J129" s="357"/>
      <c r="K129" s="358"/>
      <c r="L129" s="357"/>
      <c r="M129" s="358"/>
      <c r="N129" s="357"/>
      <c r="O129" s="357"/>
      <c r="P129" s="358"/>
      <c r="Q129" s="46"/>
      <c r="R129" s="358"/>
    </row>
    <row r="130" spans="3:49" s="11" customFormat="1" ht="15" customHeight="1" outlineLevel="1">
      <c r="D130" s="111" t="s">
        <v>234</v>
      </c>
      <c r="E130" s="16"/>
      <c r="G130" s="275"/>
      <c r="H130" s="359"/>
      <c r="I130" s="44"/>
      <c r="J130" s="359"/>
      <c r="K130" s="46"/>
      <c r="L130" s="46"/>
      <c r="M130" s="46"/>
      <c r="N130" s="359"/>
      <c r="O130" s="46"/>
      <c r="P130" s="46"/>
      <c r="Q130" s="46"/>
      <c r="R130" s="46"/>
      <c r="W130" s="120"/>
      <c r="Y130" s="275" t="s">
        <v>234</v>
      </c>
      <c r="Z130" s="276"/>
      <c r="AA130" s="276"/>
      <c r="AC130" s="243"/>
      <c r="AD130" s="243"/>
      <c r="AE130" s="243"/>
      <c r="AF130" s="243"/>
      <c r="AG130" s="243"/>
      <c r="AH130" s="243"/>
      <c r="AI130" s="243"/>
      <c r="AJ130" s="243"/>
      <c r="AK130" s="243"/>
      <c r="AL130" s="243"/>
      <c r="AQ130" s="243"/>
      <c r="AR130" s="243"/>
      <c r="AS130" s="243"/>
      <c r="AV130" s="243"/>
      <c r="AW130" s="243"/>
    </row>
    <row r="131" spans="3:49" s="11" customFormat="1" ht="15" customHeight="1" outlineLevel="1">
      <c r="E131" s="276"/>
      <c r="G131" s="565" t="str">
        <f>Y131</f>
        <v>1 - No VRR</v>
      </c>
      <c r="H131" s="566"/>
      <c r="I131" s="565" t="str">
        <f>AA131</f>
        <v>2 - Chile: gold</v>
      </c>
      <c r="J131" s="566"/>
      <c r="K131" s="565" t="str">
        <f>AC131</f>
        <v>3 - Custom</v>
      </c>
      <c r="L131" s="566"/>
      <c r="M131" s="565" t="str">
        <f>AE131</f>
        <v>4 - Custom</v>
      </c>
      <c r="N131" s="566"/>
      <c r="O131" s="565" t="str">
        <f>AG131</f>
        <v>5 - Custom</v>
      </c>
      <c r="P131" s="566"/>
      <c r="Q131" s="565" t="str">
        <f>AI131</f>
        <v>6 - Custom</v>
      </c>
      <c r="R131" s="566"/>
      <c r="S131" s="565" t="str">
        <f>AK131</f>
        <v>7 - Custom</v>
      </c>
      <c r="T131" s="566"/>
      <c r="U131" s="565" t="str">
        <f>AM131</f>
        <v>8 - Custom</v>
      </c>
      <c r="V131" s="566"/>
      <c r="W131" s="316"/>
      <c r="X131" s="102"/>
      <c r="Y131" s="383" t="s">
        <v>235</v>
      </c>
      <c r="Z131" s="383"/>
      <c r="AA131" s="311" t="s">
        <v>236</v>
      </c>
      <c r="AB131" s="311"/>
      <c r="AC131" s="382" t="s">
        <v>237</v>
      </c>
      <c r="AD131" s="382"/>
      <c r="AE131" s="382" t="s">
        <v>238</v>
      </c>
      <c r="AF131" s="382"/>
      <c r="AG131" s="382" t="s">
        <v>239</v>
      </c>
      <c r="AH131" s="382"/>
      <c r="AI131" s="382" t="s">
        <v>240</v>
      </c>
      <c r="AJ131" s="382"/>
      <c r="AK131" s="382" t="s">
        <v>241</v>
      </c>
      <c r="AL131" s="41"/>
      <c r="AM131" s="382" t="s">
        <v>242</v>
      </c>
      <c r="AN131" s="41"/>
      <c r="AO131" s="293"/>
      <c r="AP131" s="243"/>
      <c r="AQ131" s="243"/>
      <c r="AR131" s="243"/>
      <c r="AS131" s="243"/>
      <c r="AV131" s="243"/>
      <c r="AW131" s="243"/>
    </row>
    <row r="132" spans="3:49" s="11" customFormat="1" ht="15" customHeight="1" outlineLevel="1">
      <c r="C132" s="183" t="s">
        <v>243</v>
      </c>
      <c r="D132" s="308" t="s">
        <v>244</v>
      </c>
      <c r="E132" s="308" t="s">
        <v>245</v>
      </c>
      <c r="G132" s="360" t="s">
        <v>244</v>
      </c>
      <c r="H132" s="360" t="s">
        <v>245</v>
      </c>
      <c r="I132" s="360" t="s">
        <v>244</v>
      </c>
      <c r="J132" s="360" t="s">
        <v>245</v>
      </c>
      <c r="K132" s="360" t="s">
        <v>244</v>
      </c>
      <c r="L132" s="360" t="s">
        <v>245</v>
      </c>
      <c r="M132" s="360" t="s">
        <v>244</v>
      </c>
      <c r="N132" s="360" t="s">
        <v>245</v>
      </c>
      <c r="O132" s="360" t="s">
        <v>244</v>
      </c>
      <c r="P132" s="360" t="s">
        <v>245</v>
      </c>
      <c r="Q132" s="360" t="s">
        <v>244</v>
      </c>
      <c r="R132" s="360" t="s">
        <v>245</v>
      </c>
      <c r="S132" s="360" t="s">
        <v>244</v>
      </c>
      <c r="T132" s="360" t="s">
        <v>245</v>
      </c>
      <c r="U132" s="360" t="s">
        <v>244</v>
      </c>
      <c r="V132" s="360" t="s">
        <v>245</v>
      </c>
      <c r="W132" s="317"/>
      <c r="X132" s="103"/>
      <c r="Y132" s="308" t="s">
        <v>244</v>
      </c>
      <c r="Z132" s="308" t="s">
        <v>245</v>
      </c>
      <c r="AA132" s="308" t="s">
        <v>244</v>
      </c>
      <c r="AB132" s="308" t="s">
        <v>245</v>
      </c>
      <c r="AC132" s="308" t="s">
        <v>244</v>
      </c>
      <c r="AD132" s="308" t="s">
        <v>245</v>
      </c>
      <c r="AE132" s="308" t="s">
        <v>244</v>
      </c>
      <c r="AF132" s="308" t="s">
        <v>245</v>
      </c>
      <c r="AG132" s="308" t="s">
        <v>244</v>
      </c>
      <c r="AH132" s="308" t="s">
        <v>245</v>
      </c>
      <c r="AI132" s="308" t="s">
        <v>244</v>
      </c>
      <c r="AJ132" s="308" t="s">
        <v>245</v>
      </c>
      <c r="AK132" s="308" t="s">
        <v>244</v>
      </c>
      <c r="AL132" s="308" t="s">
        <v>245</v>
      </c>
      <c r="AM132" s="308" t="s">
        <v>244</v>
      </c>
      <c r="AN132" s="308" t="s">
        <v>245</v>
      </c>
      <c r="AO132" s="308"/>
      <c r="AP132" s="243"/>
      <c r="AQ132" s="243"/>
      <c r="AR132" s="243"/>
      <c r="AS132" s="243"/>
      <c r="AV132" s="243"/>
      <c r="AW132" s="243"/>
    </row>
    <row r="133" spans="3:49" s="11" customFormat="1" ht="15" customHeight="1" outlineLevel="1">
      <c r="C133" s="184">
        <v>1</v>
      </c>
      <c r="D133" s="309">
        <f>CHOOSE($E$31,G133,I133,K133,M133,O133,Q133,S133,U133)</f>
        <v>0</v>
      </c>
      <c r="E133" s="63">
        <f>CHOOSE($E$31,H133,J133,L133,N133,P133,R133,T133,V133)</f>
        <v>0</v>
      </c>
      <c r="G133" s="361">
        <f t="shared" ref="G133:G142" si="16">Y133</f>
        <v>0</v>
      </c>
      <c r="H133" s="186">
        <f t="shared" ref="H133:H142" si="17">Z133</f>
        <v>0</v>
      </c>
      <c r="I133" s="361">
        <f t="shared" ref="I133:I142" si="18">AA133</f>
        <v>72</v>
      </c>
      <c r="J133" s="186">
        <f t="shared" ref="J133:J142" si="19">AB133</f>
        <v>0</v>
      </c>
      <c r="K133" s="361">
        <f t="shared" ref="K133:K142" si="20">AC133</f>
        <v>0</v>
      </c>
      <c r="L133" s="186">
        <f t="shared" ref="L133:L142" si="21">AD133</f>
        <v>0</v>
      </c>
      <c r="M133" s="361">
        <f t="shared" ref="M133:M142" si="22">AE133</f>
        <v>0</v>
      </c>
      <c r="N133" s="186">
        <f t="shared" ref="N133:N142" si="23">AF133</f>
        <v>0</v>
      </c>
      <c r="O133" s="361">
        <f t="shared" ref="O133:O142" si="24">AG133</f>
        <v>0</v>
      </c>
      <c r="P133" s="186">
        <f t="shared" ref="P133:P142" si="25">AH133</f>
        <v>0</v>
      </c>
      <c r="Q133" s="361">
        <f t="shared" ref="Q133:Q142" si="26">AI133</f>
        <v>0</v>
      </c>
      <c r="R133" s="186">
        <f t="shared" ref="R133:R142" si="27">AJ133</f>
        <v>0</v>
      </c>
      <c r="S133" s="361">
        <f t="shared" ref="S133:S142" si="28">AK133</f>
        <v>0</v>
      </c>
      <c r="T133" s="186">
        <f t="shared" ref="T133:T142" si="29">AL133</f>
        <v>0</v>
      </c>
      <c r="U133" s="361">
        <f t="shared" ref="U133:U142" si="30">AM133</f>
        <v>0</v>
      </c>
      <c r="V133" s="186">
        <f t="shared" ref="V133:V142" si="31">AN133</f>
        <v>0</v>
      </c>
      <c r="W133" s="318"/>
      <c r="X133" s="242"/>
      <c r="Y133" s="486"/>
      <c r="Z133" s="497"/>
      <c r="AA133" s="486">
        <f>6000*12000/1000000</f>
        <v>72</v>
      </c>
      <c r="AB133" s="493">
        <v>0</v>
      </c>
      <c r="AC133" s="486"/>
      <c r="AD133" s="493"/>
      <c r="AE133" s="486"/>
      <c r="AF133" s="493"/>
      <c r="AG133" s="486"/>
      <c r="AH133" s="493"/>
      <c r="AI133" s="497"/>
      <c r="AJ133" s="497"/>
      <c r="AK133" s="493"/>
      <c r="AL133" s="486"/>
      <c r="AM133" s="493"/>
      <c r="AN133" s="497"/>
      <c r="AO133" s="294"/>
      <c r="AP133" s="243"/>
      <c r="AQ133" s="243"/>
      <c r="AR133" s="243"/>
      <c r="AS133" s="243"/>
      <c r="AV133" s="243"/>
      <c r="AW133" s="243"/>
    </row>
    <row r="134" spans="3:49" s="11" customFormat="1" ht="15" customHeight="1" outlineLevel="1">
      <c r="C134" s="184">
        <v>2</v>
      </c>
      <c r="D134" s="309">
        <f t="shared" ref="D134:D141" si="32">CHOOSE($E$31,G134,I134,K134,M134,O134,Q134,S134,U134)</f>
        <v>0</v>
      </c>
      <c r="E134" s="63">
        <f t="shared" ref="E134:E141" si="33">CHOOSE($E$31,H134,J134,L134,N134,P134,R134,T134,V134)</f>
        <v>0</v>
      </c>
      <c r="G134" s="361">
        <f t="shared" si="16"/>
        <v>0</v>
      </c>
      <c r="H134" s="186">
        <f t="shared" si="17"/>
        <v>0</v>
      </c>
      <c r="I134" s="361">
        <f t="shared" si="18"/>
        <v>90</v>
      </c>
      <c r="J134" s="186">
        <f t="shared" si="19"/>
        <v>5.0000000000000001E-3</v>
      </c>
      <c r="K134" s="361">
        <f t="shared" si="20"/>
        <v>0</v>
      </c>
      <c r="L134" s="186">
        <f t="shared" si="21"/>
        <v>0</v>
      </c>
      <c r="M134" s="361">
        <f t="shared" si="22"/>
        <v>0</v>
      </c>
      <c r="N134" s="186">
        <f t="shared" si="23"/>
        <v>0</v>
      </c>
      <c r="O134" s="361">
        <f t="shared" si="24"/>
        <v>0</v>
      </c>
      <c r="P134" s="186">
        <f t="shared" si="25"/>
        <v>0</v>
      </c>
      <c r="Q134" s="361">
        <f t="shared" si="26"/>
        <v>0</v>
      </c>
      <c r="R134" s="186">
        <f t="shared" si="27"/>
        <v>0</v>
      </c>
      <c r="S134" s="361">
        <f t="shared" si="28"/>
        <v>0</v>
      </c>
      <c r="T134" s="186">
        <f t="shared" si="29"/>
        <v>0</v>
      </c>
      <c r="U134" s="361">
        <f t="shared" si="30"/>
        <v>0</v>
      </c>
      <c r="V134" s="186">
        <f t="shared" si="31"/>
        <v>0</v>
      </c>
      <c r="W134" s="318"/>
      <c r="X134" s="242"/>
      <c r="Y134" s="486"/>
      <c r="Z134" s="497"/>
      <c r="AA134" s="486">
        <f>6000*15000/1000000</f>
        <v>90</v>
      </c>
      <c r="AB134" s="493">
        <v>5.0000000000000001E-3</v>
      </c>
      <c r="AC134" s="486"/>
      <c r="AD134" s="493"/>
      <c r="AE134" s="486"/>
      <c r="AF134" s="493"/>
      <c r="AG134" s="486"/>
      <c r="AH134" s="493"/>
      <c r="AI134" s="497"/>
      <c r="AJ134" s="497"/>
      <c r="AK134" s="493"/>
      <c r="AL134" s="486"/>
      <c r="AM134" s="493"/>
      <c r="AN134" s="497"/>
      <c r="AO134" s="294"/>
      <c r="AP134" s="243"/>
      <c r="AQ134" s="243"/>
      <c r="AR134" s="243"/>
      <c r="AS134" s="243"/>
      <c r="AV134" s="243"/>
      <c r="AW134" s="243"/>
    </row>
    <row r="135" spans="3:49" s="11" customFormat="1" ht="15" customHeight="1" outlineLevel="1">
      <c r="C135" s="184">
        <v>3</v>
      </c>
      <c r="D135" s="309">
        <f t="shared" si="32"/>
        <v>0</v>
      </c>
      <c r="E135" s="63">
        <f t="shared" si="33"/>
        <v>0</v>
      </c>
      <c r="G135" s="361">
        <f t="shared" si="16"/>
        <v>0</v>
      </c>
      <c r="H135" s="186">
        <f t="shared" si="17"/>
        <v>0</v>
      </c>
      <c r="I135" s="361">
        <f t="shared" si="18"/>
        <v>120</v>
      </c>
      <c r="J135" s="186">
        <f t="shared" si="19"/>
        <v>0.01</v>
      </c>
      <c r="K135" s="361">
        <f t="shared" si="20"/>
        <v>0</v>
      </c>
      <c r="L135" s="186">
        <f t="shared" si="21"/>
        <v>0</v>
      </c>
      <c r="M135" s="361">
        <f t="shared" si="22"/>
        <v>0</v>
      </c>
      <c r="N135" s="186">
        <f t="shared" si="23"/>
        <v>0</v>
      </c>
      <c r="O135" s="361">
        <f t="shared" si="24"/>
        <v>0</v>
      </c>
      <c r="P135" s="186">
        <f t="shared" si="25"/>
        <v>0</v>
      </c>
      <c r="Q135" s="361">
        <f t="shared" si="26"/>
        <v>0</v>
      </c>
      <c r="R135" s="186">
        <f t="shared" si="27"/>
        <v>0</v>
      </c>
      <c r="S135" s="361">
        <f t="shared" si="28"/>
        <v>0</v>
      </c>
      <c r="T135" s="186">
        <f t="shared" si="29"/>
        <v>0</v>
      </c>
      <c r="U135" s="361">
        <f t="shared" si="30"/>
        <v>0</v>
      </c>
      <c r="V135" s="186">
        <f t="shared" si="31"/>
        <v>0</v>
      </c>
      <c r="W135" s="318"/>
      <c r="X135" s="242"/>
      <c r="Y135" s="486"/>
      <c r="Z135" s="497"/>
      <c r="AA135" s="486">
        <f>6000*20000/1000000</f>
        <v>120</v>
      </c>
      <c r="AB135" s="493">
        <v>0.01</v>
      </c>
      <c r="AC135" s="486"/>
      <c r="AD135" s="493"/>
      <c r="AE135" s="486"/>
      <c r="AF135" s="493"/>
      <c r="AG135" s="486"/>
      <c r="AH135" s="493"/>
      <c r="AI135" s="497"/>
      <c r="AJ135" s="497"/>
      <c r="AK135" s="493"/>
      <c r="AL135" s="486"/>
      <c r="AM135" s="493"/>
      <c r="AN135" s="497"/>
      <c r="AO135" s="294"/>
      <c r="AP135" s="243"/>
      <c r="AQ135" s="243"/>
      <c r="AR135" s="243"/>
      <c r="AS135" s="243"/>
      <c r="AV135" s="243"/>
      <c r="AW135" s="243"/>
    </row>
    <row r="136" spans="3:49" s="11" customFormat="1" ht="15" customHeight="1" outlineLevel="1">
      <c r="C136" s="184">
        <v>4</v>
      </c>
      <c r="D136" s="309">
        <f t="shared" si="32"/>
        <v>0</v>
      </c>
      <c r="E136" s="63">
        <f t="shared" si="33"/>
        <v>0</v>
      </c>
      <c r="G136" s="361">
        <f t="shared" si="16"/>
        <v>0</v>
      </c>
      <c r="H136" s="186">
        <f t="shared" si="17"/>
        <v>0</v>
      </c>
      <c r="I136" s="361">
        <f t="shared" si="18"/>
        <v>150</v>
      </c>
      <c r="J136" s="186">
        <f t="shared" si="19"/>
        <v>1.4999999999999999E-2</v>
      </c>
      <c r="K136" s="361">
        <f t="shared" si="20"/>
        <v>0</v>
      </c>
      <c r="L136" s="186">
        <f t="shared" si="21"/>
        <v>0</v>
      </c>
      <c r="M136" s="361">
        <f t="shared" si="22"/>
        <v>0</v>
      </c>
      <c r="N136" s="186">
        <f t="shared" si="23"/>
        <v>0</v>
      </c>
      <c r="O136" s="361">
        <f t="shared" si="24"/>
        <v>0</v>
      </c>
      <c r="P136" s="186">
        <f t="shared" si="25"/>
        <v>0</v>
      </c>
      <c r="Q136" s="361">
        <f t="shared" si="26"/>
        <v>0</v>
      </c>
      <c r="R136" s="186">
        <f t="shared" si="27"/>
        <v>0</v>
      </c>
      <c r="S136" s="361">
        <f t="shared" si="28"/>
        <v>0</v>
      </c>
      <c r="T136" s="186">
        <f t="shared" si="29"/>
        <v>0</v>
      </c>
      <c r="U136" s="361">
        <f t="shared" si="30"/>
        <v>0</v>
      </c>
      <c r="V136" s="186">
        <f t="shared" si="31"/>
        <v>0</v>
      </c>
      <c r="W136" s="318"/>
      <c r="X136" s="242"/>
      <c r="Y136" s="486"/>
      <c r="Z136" s="497"/>
      <c r="AA136" s="486">
        <f>6000*25000/1000000</f>
        <v>150</v>
      </c>
      <c r="AB136" s="493">
        <v>1.4999999999999999E-2</v>
      </c>
      <c r="AC136" s="486"/>
      <c r="AD136" s="493"/>
      <c r="AE136" s="486"/>
      <c r="AF136" s="493"/>
      <c r="AG136" s="486"/>
      <c r="AH136" s="493"/>
      <c r="AI136" s="497"/>
      <c r="AJ136" s="497"/>
      <c r="AK136" s="493"/>
      <c r="AL136" s="486"/>
      <c r="AM136" s="493"/>
      <c r="AN136" s="497"/>
      <c r="AO136" s="294"/>
      <c r="AP136" s="243"/>
      <c r="AQ136" s="243"/>
      <c r="AR136" s="243"/>
      <c r="AS136" s="243"/>
      <c r="AV136" s="243"/>
      <c r="AW136" s="243"/>
    </row>
    <row r="137" spans="3:49" s="11" customFormat="1" ht="15" customHeight="1" outlineLevel="1">
      <c r="C137" s="184">
        <v>5</v>
      </c>
      <c r="D137" s="309">
        <f t="shared" si="32"/>
        <v>0</v>
      </c>
      <c r="E137" s="63">
        <f t="shared" si="33"/>
        <v>0</v>
      </c>
      <c r="G137" s="361">
        <f t="shared" si="16"/>
        <v>0</v>
      </c>
      <c r="H137" s="186">
        <f t="shared" si="17"/>
        <v>0</v>
      </c>
      <c r="I137" s="361">
        <f t="shared" si="18"/>
        <v>180</v>
      </c>
      <c r="J137" s="186">
        <f t="shared" si="19"/>
        <v>0.02</v>
      </c>
      <c r="K137" s="361">
        <f t="shared" si="20"/>
        <v>0</v>
      </c>
      <c r="L137" s="186">
        <f t="shared" si="21"/>
        <v>0</v>
      </c>
      <c r="M137" s="361">
        <f t="shared" si="22"/>
        <v>0</v>
      </c>
      <c r="N137" s="186">
        <f t="shared" si="23"/>
        <v>0</v>
      </c>
      <c r="O137" s="361">
        <f t="shared" si="24"/>
        <v>0</v>
      </c>
      <c r="P137" s="186">
        <f t="shared" si="25"/>
        <v>0</v>
      </c>
      <c r="Q137" s="361">
        <f t="shared" si="26"/>
        <v>0</v>
      </c>
      <c r="R137" s="186">
        <f t="shared" si="27"/>
        <v>0</v>
      </c>
      <c r="S137" s="361">
        <f t="shared" si="28"/>
        <v>0</v>
      </c>
      <c r="T137" s="186">
        <f t="shared" si="29"/>
        <v>0</v>
      </c>
      <c r="U137" s="361">
        <f t="shared" si="30"/>
        <v>0</v>
      </c>
      <c r="V137" s="186">
        <f t="shared" si="31"/>
        <v>0</v>
      </c>
      <c r="W137" s="318"/>
      <c r="X137" s="242"/>
      <c r="Y137" s="486"/>
      <c r="Z137" s="497"/>
      <c r="AA137" s="486">
        <f>6000*30000/1000000</f>
        <v>180</v>
      </c>
      <c r="AB137" s="493">
        <v>0.02</v>
      </c>
      <c r="AC137" s="486"/>
      <c r="AD137" s="493"/>
      <c r="AE137" s="486"/>
      <c r="AF137" s="493"/>
      <c r="AG137" s="486"/>
      <c r="AH137" s="493"/>
      <c r="AI137" s="497"/>
      <c r="AJ137" s="497"/>
      <c r="AK137" s="493"/>
      <c r="AL137" s="486"/>
      <c r="AM137" s="493"/>
      <c r="AN137" s="497"/>
      <c r="AO137" s="294"/>
      <c r="AP137" s="243"/>
      <c r="AQ137" s="243"/>
      <c r="AR137" s="243"/>
      <c r="AS137" s="243"/>
      <c r="AV137" s="243"/>
      <c r="AW137" s="243"/>
    </row>
    <row r="138" spans="3:49" s="11" customFormat="1" ht="15" customHeight="1" outlineLevel="1">
      <c r="C138" s="184">
        <v>6</v>
      </c>
      <c r="D138" s="309">
        <f t="shared" si="32"/>
        <v>0</v>
      </c>
      <c r="E138" s="63">
        <f t="shared" si="33"/>
        <v>0</v>
      </c>
      <c r="G138" s="361">
        <f t="shared" si="16"/>
        <v>0</v>
      </c>
      <c r="H138" s="186">
        <f t="shared" si="17"/>
        <v>0</v>
      </c>
      <c r="I138" s="361">
        <f t="shared" si="18"/>
        <v>210</v>
      </c>
      <c r="J138" s="186">
        <f t="shared" si="19"/>
        <v>2.5000000000000001E-2</v>
      </c>
      <c r="K138" s="361">
        <f t="shared" si="20"/>
        <v>0</v>
      </c>
      <c r="L138" s="186">
        <f t="shared" si="21"/>
        <v>0</v>
      </c>
      <c r="M138" s="361">
        <f t="shared" si="22"/>
        <v>0</v>
      </c>
      <c r="N138" s="186">
        <f t="shared" si="23"/>
        <v>0</v>
      </c>
      <c r="O138" s="361">
        <f t="shared" si="24"/>
        <v>0</v>
      </c>
      <c r="P138" s="186">
        <f t="shared" si="25"/>
        <v>0</v>
      </c>
      <c r="Q138" s="361">
        <f t="shared" si="26"/>
        <v>0</v>
      </c>
      <c r="R138" s="186">
        <f t="shared" si="27"/>
        <v>0</v>
      </c>
      <c r="S138" s="361">
        <f t="shared" si="28"/>
        <v>0</v>
      </c>
      <c r="T138" s="186">
        <f t="shared" si="29"/>
        <v>0</v>
      </c>
      <c r="U138" s="361">
        <f t="shared" si="30"/>
        <v>0</v>
      </c>
      <c r="V138" s="186">
        <f t="shared" si="31"/>
        <v>0</v>
      </c>
      <c r="W138" s="318"/>
      <c r="X138" s="242"/>
      <c r="Y138" s="486"/>
      <c r="Z138" s="497"/>
      <c r="AA138" s="486">
        <f>6000*35000/1000000</f>
        <v>210</v>
      </c>
      <c r="AB138" s="493">
        <v>2.5000000000000001E-2</v>
      </c>
      <c r="AC138" s="486"/>
      <c r="AD138" s="493"/>
      <c r="AE138" s="486"/>
      <c r="AF138" s="493"/>
      <c r="AG138" s="486"/>
      <c r="AH138" s="493"/>
      <c r="AI138" s="497"/>
      <c r="AJ138" s="497"/>
      <c r="AK138" s="493"/>
      <c r="AL138" s="486"/>
      <c r="AM138" s="493"/>
      <c r="AN138" s="497"/>
      <c r="AO138" s="294"/>
      <c r="AP138" s="243"/>
      <c r="AQ138" s="243"/>
      <c r="AR138" s="243"/>
      <c r="AS138" s="243"/>
      <c r="AV138" s="243"/>
      <c r="AW138" s="243"/>
    </row>
    <row r="139" spans="3:49" s="11" customFormat="1" ht="15" customHeight="1" outlineLevel="1">
      <c r="C139" s="184">
        <v>7</v>
      </c>
      <c r="D139" s="309">
        <f t="shared" si="32"/>
        <v>0</v>
      </c>
      <c r="E139" s="63">
        <f t="shared" si="33"/>
        <v>0</v>
      </c>
      <c r="G139" s="361">
        <f t="shared" si="16"/>
        <v>0</v>
      </c>
      <c r="H139" s="186">
        <f t="shared" si="17"/>
        <v>0</v>
      </c>
      <c r="I139" s="361">
        <f t="shared" si="18"/>
        <v>240</v>
      </c>
      <c r="J139" s="186">
        <f t="shared" si="19"/>
        <v>0.03</v>
      </c>
      <c r="K139" s="361">
        <f t="shared" si="20"/>
        <v>0</v>
      </c>
      <c r="L139" s="186">
        <f t="shared" si="21"/>
        <v>0</v>
      </c>
      <c r="M139" s="361">
        <f t="shared" si="22"/>
        <v>0</v>
      </c>
      <c r="N139" s="186">
        <f t="shared" si="23"/>
        <v>0</v>
      </c>
      <c r="O139" s="361">
        <f t="shared" si="24"/>
        <v>0</v>
      </c>
      <c r="P139" s="186">
        <f t="shared" si="25"/>
        <v>0</v>
      </c>
      <c r="Q139" s="361">
        <f t="shared" si="26"/>
        <v>0</v>
      </c>
      <c r="R139" s="186">
        <f t="shared" si="27"/>
        <v>0</v>
      </c>
      <c r="S139" s="361">
        <f t="shared" si="28"/>
        <v>0</v>
      </c>
      <c r="T139" s="186">
        <f t="shared" si="29"/>
        <v>0</v>
      </c>
      <c r="U139" s="361">
        <f t="shared" si="30"/>
        <v>0</v>
      </c>
      <c r="V139" s="186">
        <f t="shared" si="31"/>
        <v>0</v>
      </c>
      <c r="W139" s="318"/>
      <c r="X139" s="242"/>
      <c r="Y139" s="486"/>
      <c r="Z139" s="497"/>
      <c r="AA139" s="486">
        <f>6000*40000/1000000</f>
        <v>240</v>
      </c>
      <c r="AB139" s="493">
        <v>0.03</v>
      </c>
      <c r="AC139" s="486"/>
      <c r="AD139" s="493"/>
      <c r="AE139" s="486"/>
      <c r="AF139" s="493"/>
      <c r="AG139" s="486"/>
      <c r="AH139" s="493"/>
      <c r="AI139" s="497"/>
      <c r="AJ139" s="497"/>
      <c r="AK139" s="493"/>
      <c r="AL139" s="486"/>
      <c r="AM139" s="493"/>
      <c r="AN139" s="497"/>
      <c r="AO139" s="294"/>
      <c r="AP139" s="243"/>
      <c r="AQ139" s="243"/>
      <c r="AR139" s="243"/>
      <c r="AS139" s="243"/>
      <c r="AV139" s="243"/>
      <c r="AW139" s="243"/>
    </row>
    <row r="140" spans="3:49" s="11" customFormat="1" ht="15" customHeight="1" outlineLevel="1">
      <c r="C140" s="184">
        <v>8</v>
      </c>
      <c r="D140" s="309">
        <f t="shared" si="32"/>
        <v>0</v>
      </c>
      <c r="E140" s="63">
        <f t="shared" si="33"/>
        <v>0</v>
      </c>
      <c r="G140" s="361">
        <f t="shared" si="16"/>
        <v>0</v>
      </c>
      <c r="H140" s="186">
        <f t="shared" si="17"/>
        <v>0</v>
      </c>
      <c r="I140" s="361">
        <f t="shared" si="18"/>
        <v>350</v>
      </c>
      <c r="J140" s="186">
        <f t="shared" si="19"/>
        <v>4.4999999999999998E-2</v>
      </c>
      <c r="K140" s="361">
        <f t="shared" si="20"/>
        <v>0</v>
      </c>
      <c r="L140" s="186">
        <f t="shared" si="21"/>
        <v>0</v>
      </c>
      <c r="M140" s="361">
        <f t="shared" si="22"/>
        <v>0</v>
      </c>
      <c r="N140" s="186">
        <f t="shared" si="23"/>
        <v>0</v>
      </c>
      <c r="O140" s="361">
        <f t="shared" si="24"/>
        <v>0</v>
      </c>
      <c r="P140" s="186">
        <f t="shared" si="25"/>
        <v>0</v>
      </c>
      <c r="Q140" s="361">
        <f t="shared" si="26"/>
        <v>0</v>
      </c>
      <c r="R140" s="186">
        <f t="shared" si="27"/>
        <v>0</v>
      </c>
      <c r="S140" s="361">
        <f t="shared" si="28"/>
        <v>0</v>
      </c>
      <c r="T140" s="186">
        <f t="shared" si="29"/>
        <v>0</v>
      </c>
      <c r="U140" s="361">
        <f t="shared" si="30"/>
        <v>0</v>
      </c>
      <c r="V140" s="186">
        <f t="shared" si="31"/>
        <v>0</v>
      </c>
      <c r="W140" s="318"/>
      <c r="X140" s="242"/>
      <c r="Y140" s="486"/>
      <c r="Z140" s="497"/>
      <c r="AA140" s="486">
        <v>350</v>
      </c>
      <c r="AB140" s="493">
        <v>4.4999999999999998E-2</v>
      </c>
      <c r="AC140" s="486"/>
      <c r="AD140" s="493"/>
      <c r="AE140" s="486"/>
      <c r="AF140" s="493"/>
      <c r="AG140" s="486"/>
      <c r="AH140" s="493"/>
      <c r="AI140" s="497"/>
      <c r="AJ140" s="497"/>
      <c r="AK140" s="493"/>
      <c r="AL140" s="486"/>
      <c r="AM140" s="493"/>
      <c r="AN140" s="497"/>
      <c r="AO140" s="294"/>
      <c r="AP140" s="243"/>
      <c r="AQ140" s="243"/>
      <c r="AR140" s="243"/>
      <c r="AS140" s="243"/>
      <c r="AV140" s="243"/>
      <c r="AW140" s="243"/>
    </row>
    <row r="141" spans="3:49" s="11" customFormat="1" ht="15" customHeight="1" outlineLevel="1">
      <c r="C141" s="184">
        <v>9</v>
      </c>
      <c r="D141" s="309">
        <f t="shared" si="32"/>
        <v>0</v>
      </c>
      <c r="E141" s="63">
        <f t="shared" si="33"/>
        <v>0</v>
      </c>
      <c r="G141" s="361">
        <f t="shared" si="16"/>
        <v>0</v>
      </c>
      <c r="H141" s="186">
        <f t="shared" si="17"/>
        <v>0</v>
      </c>
      <c r="I141" s="361">
        <f t="shared" si="18"/>
        <v>350</v>
      </c>
      <c r="J141" s="186">
        <f t="shared" si="19"/>
        <v>4.4999999999999998E-2</v>
      </c>
      <c r="K141" s="361">
        <f t="shared" si="20"/>
        <v>0</v>
      </c>
      <c r="L141" s="186">
        <f t="shared" si="21"/>
        <v>0</v>
      </c>
      <c r="M141" s="361">
        <f t="shared" si="22"/>
        <v>0</v>
      </c>
      <c r="N141" s="186">
        <f t="shared" si="23"/>
        <v>0</v>
      </c>
      <c r="O141" s="361">
        <f t="shared" si="24"/>
        <v>0</v>
      </c>
      <c r="P141" s="186">
        <f t="shared" si="25"/>
        <v>0</v>
      </c>
      <c r="Q141" s="361">
        <f t="shared" si="26"/>
        <v>0</v>
      </c>
      <c r="R141" s="186">
        <f t="shared" si="27"/>
        <v>0</v>
      </c>
      <c r="S141" s="361">
        <f t="shared" si="28"/>
        <v>0</v>
      </c>
      <c r="T141" s="186">
        <f t="shared" si="29"/>
        <v>0</v>
      </c>
      <c r="U141" s="361">
        <f t="shared" si="30"/>
        <v>0</v>
      </c>
      <c r="V141" s="186">
        <f t="shared" si="31"/>
        <v>0</v>
      </c>
      <c r="W141" s="318"/>
      <c r="X141" s="242"/>
      <c r="Y141" s="486"/>
      <c r="Z141" s="497"/>
      <c r="AA141" s="486">
        <v>350</v>
      </c>
      <c r="AB141" s="493">
        <v>4.4999999999999998E-2</v>
      </c>
      <c r="AC141" s="486"/>
      <c r="AD141" s="493"/>
      <c r="AE141" s="486"/>
      <c r="AF141" s="493"/>
      <c r="AG141" s="486"/>
      <c r="AH141" s="493"/>
      <c r="AI141" s="497"/>
      <c r="AJ141" s="497"/>
      <c r="AK141" s="493"/>
      <c r="AL141" s="486"/>
      <c r="AM141" s="493"/>
      <c r="AN141" s="497"/>
      <c r="AO141" s="294"/>
      <c r="AP141" s="243"/>
      <c r="AQ141" s="243"/>
      <c r="AR141" s="243"/>
      <c r="AS141" s="243"/>
      <c r="AV141" s="243"/>
      <c r="AW141" s="243"/>
    </row>
    <row r="142" spans="3:49" s="11" customFormat="1" ht="15" customHeight="1" outlineLevel="1">
      <c r="C142" s="184">
        <v>10</v>
      </c>
      <c r="D142" s="309">
        <f>CHOOSE($E$31,G142,I142,K142,M142,O142,Q142,S142,U142)</f>
        <v>0</v>
      </c>
      <c r="E142" s="63">
        <f>CHOOSE($E$31,H142,J142,L142,N142,P142,R142,T142,V142)</f>
        <v>0</v>
      </c>
      <c r="G142" s="361">
        <f t="shared" si="16"/>
        <v>0</v>
      </c>
      <c r="H142" s="186">
        <f t="shared" si="17"/>
        <v>0</v>
      </c>
      <c r="I142" s="361">
        <f t="shared" si="18"/>
        <v>350</v>
      </c>
      <c r="J142" s="186">
        <f t="shared" si="19"/>
        <v>4.4999999999999998E-2</v>
      </c>
      <c r="K142" s="361">
        <f t="shared" si="20"/>
        <v>0</v>
      </c>
      <c r="L142" s="186">
        <f t="shared" si="21"/>
        <v>0</v>
      </c>
      <c r="M142" s="361">
        <f t="shared" si="22"/>
        <v>0</v>
      </c>
      <c r="N142" s="186">
        <f t="shared" si="23"/>
        <v>0</v>
      </c>
      <c r="O142" s="361">
        <f t="shared" si="24"/>
        <v>0</v>
      </c>
      <c r="P142" s="186">
        <f t="shared" si="25"/>
        <v>0</v>
      </c>
      <c r="Q142" s="361">
        <f t="shared" si="26"/>
        <v>0</v>
      </c>
      <c r="R142" s="186">
        <f t="shared" si="27"/>
        <v>0</v>
      </c>
      <c r="S142" s="361">
        <f t="shared" si="28"/>
        <v>0</v>
      </c>
      <c r="T142" s="186">
        <f t="shared" si="29"/>
        <v>0</v>
      </c>
      <c r="U142" s="361">
        <f t="shared" si="30"/>
        <v>0</v>
      </c>
      <c r="V142" s="186">
        <f t="shared" si="31"/>
        <v>0</v>
      </c>
      <c r="W142" s="318"/>
      <c r="X142" s="242"/>
      <c r="Y142" s="486"/>
      <c r="Z142" s="497"/>
      <c r="AA142" s="486">
        <v>350</v>
      </c>
      <c r="AB142" s="493">
        <v>4.4999999999999998E-2</v>
      </c>
      <c r="AC142" s="486"/>
      <c r="AD142" s="493"/>
      <c r="AE142" s="486"/>
      <c r="AF142" s="493"/>
      <c r="AG142" s="486"/>
      <c r="AH142" s="493"/>
      <c r="AI142" s="497"/>
      <c r="AJ142" s="497"/>
      <c r="AK142" s="493"/>
      <c r="AL142" s="486"/>
      <c r="AM142" s="493"/>
      <c r="AN142" s="497"/>
      <c r="AO142" s="294"/>
      <c r="AP142" s="243"/>
      <c r="AQ142" s="243"/>
      <c r="AR142" s="243"/>
      <c r="AS142" s="243"/>
      <c r="AV142" s="243"/>
      <c r="AW142" s="243"/>
    </row>
    <row r="143" spans="3:49" s="11" customFormat="1" ht="15" customHeight="1" outlineLevel="1">
      <c r="C143" s="184"/>
      <c r="D143" s="309"/>
      <c r="E143" s="63"/>
      <c r="G143" s="362"/>
      <c r="H143" s="363"/>
      <c r="I143" s="362"/>
      <c r="J143" s="363"/>
      <c r="K143" s="362"/>
      <c r="L143" s="363"/>
      <c r="M143" s="362"/>
      <c r="N143" s="363"/>
      <c r="O143" s="362"/>
      <c r="P143" s="363"/>
      <c r="Q143" s="362"/>
      <c r="R143" s="363"/>
      <c r="W143" s="318"/>
      <c r="X143" s="242"/>
      <c r="Y143" s="280"/>
      <c r="Z143" s="242"/>
      <c r="AA143" s="280"/>
      <c r="AB143" s="241"/>
      <c r="AC143" s="280"/>
      <c r="AD143" s="241"/>
      <c r="AE143" s="280"/>
      <c r="AF143" s="241"/>
      <c r="AG143" s="280"/>
      <c r="AH143" s="241"/>
      <c r="AI143" s="242"/>
      <c r="AJ143" s="242"/>
      <c r="AK143" s="242"/>
      <c r="AL143" s="242"/>
      <c r="AM143" s="243"/>
      <c r="AN143" s="243"/>
      <c r="AO143" s="243"/>
      <c r="AP143" s="243"/>
      <c r="AQ143" s="244"/>
      <c r="AR143" s="244"/>
      <c r="AS143" s="244"/>
      <c r="AV143" s="244"/>
      <c r="AW143" s="244"/>
    </row>
    <row r="144" spans="3:49" s="11" customFormat="1" ht="15" customHeight="1" outlineLevel="1">
      <c r="C144" s="12"/>
      <c r="D144" s="111" t="s">
        <v>246</v>
      </c>
      <c r="E144" s="16"/>
      <c r="G144" s="384"/>
      <c r="H144" s="359"/>
      <c r="I144" s="44"/>
      <c r="J144" s="359"/>
      <c r="K144" s="44"/>
      <c r="L144" s="359"/>
      <c r="M144" s="44"/>
      <c r="N144" s="359"/>
      <c r="O144" s="46"/>
      <c r="P144" s="46"/>
      <c r="Q144" s="46"/>
      <c r="R144" s="46"/>
      <c r="W144" s="120"/>
      <c r="Y144" s="275" t="s">
        <v>246</v>
      </c>
      <c r="AA144" s="140"/>
      <c r="AC144" s="243"/>
      <c r="AD144" s="243"/>
      <c r="AE144" s="243"/>
      <c r="AF144" s="243"/>
      <c r="AG144" s="243"/>
      <c r="AH144" s="243"/>
      <c r="AI144" s="243"/>
      <c r="AJ144" s="243"/>
      <c r="AK144" s="244"/>
      <c r="AL144" s="244"/>
      <c r="AM144" s="244"/>
      <c r="AN144" s="244"/>
      <c r="AO144" s="244"/>
      <c r="AP144" s="244"/>
      <c r="AQ144" s="243"/>
      <c r="AR144" s="243"/>
      <c r="AS144" s="243"/>
      <c r="AV144" s="243"/>
      <c r="AW144" s="243"/>
    </row>
    <row r="145" spans="3:49" s="11" customFormat="1" ht="15" customHeight="1" outlineLevel="1">
      <c r="E145" s="140"/>
      <c r="G145" s="568" t="str">
        <f>Y145</f>
        <v>1 - No VRR</v>
      </c>
      <c r="H145" s="568"/>
      <c r="I145" s="568" t="str">
        <f>AA145</f>
        <v>2 - Burkina Faso: gold</v>
      </c>
      <c r="J145" s="568"/>
      <c r="K145" s="568" t="str">
        <f>AC145</f>
        <v>3 - Cote d'Ivoire: gold</v>
      </c>
      <c r="L145" s="568"/>
      <c r="M145" s="568" t="str">
        <f>AE145</f>
        <v>4 - Zambia: copper</v>
      </c>
      <c r="N145" s="568"/>
      <c r="O145" s="568" t="str">
        <f>AG145</f>
        <v>5 - Zimbabwe: gold</v>
      </c>
      <c r="P145" s="568"/>
      <c r="Q145" s="568" t="str">
        <f>AI145</f>
        <v>6 - Kyrgyz Republic: gold</v>
      </c>
      <c r="R145" s="568"/>
      <c r="S145" s="565" t="str">
        <f>AK145</f>
        <v>7 - Custom</v>
      </c>
      <c r="T145" s="566"/>
      <c r="U145" s="565" t="str">
        <f>AM145</f>
        <v>8 - Custom</v>
      </c>
      <c r="V145" s="566"/>
      <c r="W145" s="319"/>
      <c r="X145" s="293"/>
      <c r="Y145" s="567" t="s">
        <v>235</v>
      </c>
      <c r="Z145" s="567"/>
      <c r="AA145" s="567" t="s">
        <v>247</v>
      </c>
      <c r="AB145" s="567"/>
      <c r="AC145" s="567" t="s">
        <v>248</v>
      </c>
      <c r="AD145" s="567"/>
      <c r="AE145" s="567" t="s">
        <v>249</v>
      </c>
      <c r="AF145" s="567"/>
      <c r="AG145" s="567" t="s">
        <v>250</v>
      </c>
      <c r="AH145" s="567"/>
      <c r="AI145" s="567" t="s">
        <v>251</v>
      </c>
      <c r="AJ145" s="567"/>
      <c r="AK145" s="567" t="s">
        <v>241</v>
      </c>
      <c r="AL145" s="567"/>
      <c r="AM145" s="567" t="s">
        <v>242</v>
      </c>
      <c r="AN145" s="567"/>
      <c r="AO145" s="243"/>
      <c r="AP145" s="243"/>
      <c r="AQ145" s="243"/>
      <c r="AR145" s="243"/>
      <c r="AS145" s="243"/>
      <c r="AV145" s="243"/>
      <c r="AW145" s="243"/>
    </row>
    <row r="146" spans="3:49" s="11" customFormat="1" ht="15" customHeight="1" outlineLevel="1">
      <c r="C146" s="183" t="s">
        <v>243</v>
      </c>
      <c r="D146" s="308" t="str">
        <f>CHOOSE($E$32,G146,I146,K146,M146,O146,Q146)</f>
        <v>Lower limit ($/oz)</v>
      </c>
      <c r="E146" s="308" t="s">
        <v>245</v>
      </c>
      <c r="G146" s="364" t="s">
        <v>252</v>
      </c>
      <c r="H146" s="360" t="s">
        <v>245</v>
      </c>
      <c r="I146" s="364" t="s">
        <v>252</v>
      </c>
      <c r="J146" s="360" t="s">
        <v>245</v>
      </c>
      <c r="K146" s="364" t="s">
        <v>252</v>
      </c>
      <c r="L146" s="360" t="s">
        <v>245</v>
      </c>
      <c r="M146" s="364" t="s">
        <v>252</v>
      </c>
      <c r="N146" s="360" t="s">
        <v>245</v>
      </c>
      <c r="O146" s="364" t="s">
        <v>252</v>
      </c>
      <c r="P146" s="360" t="s">
        <v>245</v>
      </c>
      <c r="Q146" s="364" t="s">
        <v>252</v>
      </c>
      <c r="R146" s="360" t="s">
        <v>245</v>
      </c>
      <c r="S146" s="364" t="s">
        <v>252</v>
      </c>
      <c r="T146" s="360" t="s">
        <v>245</v>
      </c>
      <c r="U146" s="364" t="s">
        <v>252</v>
      </c>
      <c r="V146" s="360" t="s">
        <v>245</v>
      </c>
      <c r="W146" s="320"/>
      <c r="X146" s="103"/>
      <c r="Y146" s="339" t="s">
        <v>252</v>
      </c>
      <c r="Z146" s="308" t="s">
        <v>245</v>
      </c>
      <c r="AA146" s="339" t="s">
        <v>252</v>
      </c>
      <c r="AB146" s="308" t="s">
        <v>245</v>
      </c>
      <c r="AC146" s="339" t="s">
        <v>252</v>
      </c>
      <c r="AD146" s="308" t="s">
        <v>245</v>
      </c>
      <c r="AE146" s="339" t="s">
        <v>252</v>
      </c>
      <c r="AF146" s="308" t="s">
        <v>245</v>
      </c>
      <c r="AG146" s="339" t="s">
        <v>252</v>
      </c>
      <c r="AH146" s="308" t="s">
        <v>245</v>
      </c>
      <c r="AI146" s="339" t="s">
        <v>252</v>
      </c>
      <c r="AJ146" s="308" t="s">
        <v>245</v>
      </c>
      <c r="AK146" s="339" t="s">
        <v>252</v>
      </c>
      <c r="AL146" s="308" t="s">
        <v>245</v>
      </c>
      <c r="AM146" s="339" t="s">
        <v>252</v>
      </c>
      <c r="AN146" s="308" t="s">
        <v>245</v>
      </c>
      <c r="AO146" s="243"/>
      <c r="AP146" s="243"/>
      <c r="AQ146" s="243"/>
      <c r="AR146" s="243"/>
      <c r="AS146" s="243"/>
      <c r="AV146" s="243"/>
      <c r="AW146" s="243"/>
    </row>
    <row r="147" spans="3:49" s="11" customFormat="1" ht="15" customHeight="1" outlineLevel="1">
      <c r="C147" s="184">
        <v>1</v>
      </c>
      <c r="D147" s="309">
        <f>CHOOSE($E$32,G147,I147,K147,M147,O147,Q147,S147,U147)</f>
        <v>0</v>
      </c>
      <c r="E147" s="63">
        <f>CHOOSE($E$32,H147,J147,L147,N147,P147,R147,T147,V147)</f>
        <v>0</v>
      </c>
      <c r="G147" s="361">
        <f t="shared" ref="G147:G160" si="34">Y147</f>
        <v>0</v>
      </c>
      <c r="H147" s="186">
        <f t="shared" ref="H147:H160" si="35">Z147</f>
        <v>0</v>
      </c>
      <c r="I147" s="361">
        <f t="shared" ref="I147:I160" si="36">AA147</f>
        <v>0</v>
      </c>
      <c r="J147" s="186">
        <f t="shared" ref="J147:J160" si="37">AB147</f>
        <v>0.03</v>
      </c>
      <c r="K147" s="361">
        <f t="shared" ref="K147:K160" si="38">AC147</f>
        <v>0</v>
      </c>
      <c r="L147" s="186">
        <f t="shared" ref="L147:L160" si="39">AD147</f>
        <v>0.03</v>
      </c>
      <c r="M147" s="361">
        <f t="shared" ref="M147:M160" si="40">AE147</f>
        <v>0</v>
      </c>
      <c r="N147" s="186">
        <f t="shared" ref="N147:N160" si="41">AF147</f>
        <v>5.5E-2</v>
      </c>
      <c r="O147" s="361">
        <f t="shared" ref="O147:O160" si="42">AG147</f>
        <v>0</v>
      </c>
      <c r="P147" s="186">
        <f t="shared" ref="P147:P160" si="43">AH147</f>
        <v>0.03</v>
      </c>
      <c r="Q147" s="361">
        <f t="shared" ref="Q147:Q160" si="44">AI147</f>
        <v>0</v>
      </c>
      <c r="R147" s="186">
        <f t="shared" ref="R147:R160" si="45">AJ147</f>
        <v>0.01</v>
      </c>
      <c r="S147" s="361">
        <f t="shared" ref="S147:S160" si="46">AK147</f>
        <v>0</v>
      </c>
      <c r="T147" s="186">
        <f t="shared" ref="T147:T160" si="47">AL147</f>
        <v>0</v>
      </c>
      <c r="U147" s="361">
        <f t="shared" ref="U147:U160" si="48">AM147</f>
        <v>0</v>
      </c>
      <c r="V147" s="186">
        <f t="shared" ref="V147:V160" si="49">AN147</f>
        <v>0</v>
      </c>
      <c r="W147" s="318"/>
      <c r="X147" s="242"/>
      <c r="Y147" s="486"/>
      <c r="Z147" s="497"/>
      <c r="AA147" s="486">
        <v>0</v>
      </c>
      <c r="AB147" s="497">
        <v>0.03</v>
      </c>
      <c r="AC147" s="486">
        <v>0</v>
      </c>
      <c r="AD147" s="493">
        <v>0.03</v>
      </c>
      <c r="AE147" s="486">
        <v>0</v>
      </c>
      <c r="AF147" s="493">
        <v>5.5E-2</v>
      </c>
      <c r="AG147" s="486">
        <v>0</v>
      </c>
      <c r="AH147" s="493">
        <v>0.03</v>
      </c>
      <c r="AI147" s="486">
        <v>0</v>
      </c>
      <c r="AJ147" s="497">
        <v>0.01</v>
      </c>
      <c r="AK147" s="486"/>
      <c r="AL147" s="497"/>
      <c r="AM147" s="486"/>
      <c r="AN147" s="497"/>
      <c r="AO147" s="243"/>
      <c r="AP147" s="243"/>
      <c r="AQ147" s="243"/>
      <c r="AR147" s="243"/>
      <c r="AS147" s="243"/>
      <c r="AV147" s="243"/>
      <c r="AW147" s="243"/>
    </row>
    <row r="148" spans="3:49" s="11" customFormat="1" ht="15" customHeight="1" outlineLevel="1">
      <c r="C148" s="184">
        <v>2</v>
      </c>
      <c r="D148" s="309">
        <f t="shared" ref="D148:D159" si="50">CHOOSE($E$32,G148,I148,K148,M148,O148,Q148,S148,U148)</f>
        <v>0</v>
      </c>
      <c r="E148" s="63">
        <f t="shared" ref="E148:E159" si="51">CHOOSE($E$32,H148,J148,L148,N148,P148,R148,T148,V148)</f>
        <v>0</v>
      </c>
      <c r="G148" s="361">
        <f t="shared" si="34"/>
        <v>0</v>
      </c>
      <c r="H148" s="186">
        <f t="shared" si="35"/>
        <v>0</v>
      </c>
      <c r="I148" s="361">
        <f t="shared" si="36"/>
        <v>1000</v>
      </c>
      <c r="J148" s="186">
        <f t="shared" si="37"/>
        <v>0.04</v>
      </c>
      <c r="K148" s="361">
        <f t="shared" si="38"/>
        <v>1000</v>
      </c>
      <c r="L148" s="186">
        <f t="shared" si="39"/>
        <v>3.5000000000000003E-2</v>
      </c>
      <c r="M148" s="361">
        <f t="shared" si="40"/>
        <v>4500</v>
      </c>
      <c r="N148" s="186">
        <f t="shared" si="41"/>
        <v>6.5000000000000002E-2</v>
      </c>
      <c r="O148" s="361">
        <f t="shared" si="42"/>
        <v>1200</v>
      </c>
      <c r="P148" s="186">
        <f t="shared" si="43"/>
        <v>0.05</v>
      </c>
      <c r="Q148" s="361">
        <f t="shared" si="44"/>
        <v>1300</v>
      </c>
      <c r="R148" s="186">
        <f t="shared" si="45"/>
        <v>0.03</v>
      </c>
      <c r="S148" s="361">
        <f t="shared" si="46"/>
        <v>0</v>
      </c>
      <c r="T148" s="186">
        <f t="shared" si="47"/>
        <v>0</v>
      </c>
      <c r="U148" s="361">
        <f t="shared" si="48"/>
        <v>0</v>
      </c>
      <c r="V148" s="186">
        <f t="shared" si="49"/>
        <v>0</v>
      </c>
      <c r="W148" s="318"/>
      <c r="X148" s="242"/>
      <c r="Y148" s="486"/>
      <c r="Z148" s="497"/>
      <c r="AA148" s="486">
        <v>1000</v>
      </c>
      <c r="AB148" s="497">
        <v>0.04</v>
      </c>
      <c r="AC148" s="486">
        <v>1000</v>
      </c>
      <c r="AD148" s="493">
        <v>3.5000000000000003E-2</v>
      </c>
      <c r="AE148" s="486">
        <v>4500</v>
      </c>
      <c r="AF148" s="493">
        <v>6.5000000000000002E-2</v>
      </c>
      <c r="AG148" s="486">
        <v>1200</v>
      </c>
      <c r="AH148" s="493">
        <v>0.05</v>
      </c>
      <c r="AI148" s="486">
        <v>1300</v>
      </c>
      <c r="AJ148" s="497">
        <v>0.03</v>
      </c>
      <c r="AK148" s="486"/>
      <c r="AL148" s="497"/>
      <c r="AM148" s="486"/>
      <c r="AN148" s="497"/>
      <c r="AO148" s="243"/>
      <c r="AP148" s="243"/>
      <c r="AQ148" s="243"/>
      <c r="AR148" s="243"/>
      <c r="AS148" s="243"/>
      <c r="AV148" s="243"/>
      <c r="AW148" s="243"/>
    </row>
    <row r="149" spans="3:49" s="11" customFormat="1" ht="15" customHeight="1" outlineLevel="1">
      <c r="C149" s="184">
        <v>3</v>
      </c>
      <c r="D149" s="309">
        <f t="shared" si="50"/>
        <v>0</v>
      </c>
      <c r="E149" s="63">
        <f t="shared" si="51"/>
        <v>0</v>
      </c>
      <c r="G149" s="361">
        <f t="shared" si="34"/>
        <v>0</v>
      </c>
      <c r="H149" s="186">
        <f t="shared" si="35"/>
        <v>0</v>
      </c>
      <c r="I149" s="361">
        <f t="shared" si="36"/>
        <v>1300</v>
      </c>
      <c r="J149" s="186">
        <f t="shared" si="37"/>
        <v>0.05</v>
      </c>
      <c r="K149" s="361">
        <f t="shared" si="38"/>
        <v>1300</v>
      </c>
      <c r="L149" s="186">
        <f t="shared" si="39"/>
        <v>0.04</v>
      </c>
      <c r="M149" s="361">
        <f t="shared" si="40"/>
        <v>6000</v>
      </c>
      <c r="N149" s="186">
        <f t="shared" si="41"/>
        <v>7.4999999999999997E-2</v>
      </c>
      <c r="O149" s="361">
        <f t="shared" si="42"/>
        <v>1200</v>
      </c>
      <c r="P149" s="186">
        <f t="shared" si="43"/>
        <v>0.05</v>
      </c>
      <c r="Q149" s="361">
        <f t="shared" si="44"/>
        <v>1400</v>
      </c>
      <c r="R149" s="186">
        <f t="shared" si="45"/>
        <v>0.05</v>
      </c>
      <c r="S149" s="361">
        <f t="shared" si="46"/>
        <v>0</v>
      </c>
      <c r="T149" s="186">
        <f t="shared" si="47"/>
        <v>0</v>
      </c>
      <c r="U149" s="361">
        <f t="shared" si="48"/>
        <v>0</v>
      </c>
      <c r="V149" s="186">
        <f t="shared" si="49"/>
        <v>0</v>
      </c>
      <c r="W149" s="318"/>
      <c r="X149" s="242"/>
      <c r="Y149" s="486"/>
      <c r="Z149" s="497"/>
      <c r="AA149" s="486">
        <v>1300</v>
      </c>
      <c r="AB149" s="497">
        <v>0.05</v>
      </c>
      <c r="AC149" s="486">
        <v>1300</v>
      </c>
      <c r="AD149" s="493">
        <v>0.04</v>
      </c>
      <c r="AE149" s="486">
        <v>6000</v>
      </c>
      <c r="AF149" s="493">
        <v>7.4999999999999997E-2</v>
      </c>
      <c r="AG149" s="486">
        <v>1200</v>
      </c>
      <c r="AH149" s="493">
        <v>0.05</v>
      </c>
      <c r="AI149" s="486">
        <v>1400</v>
      </c>
      <c r="AJ149" s="497">
        <v>0.05</v>
      </c>
      <c r="AK149" s="486"/>
      <c r="AL149" s="497"/>
      <c r="AM149" s="486"/>
      <c r="AN149" s="497"/>
      <c r="AO149" s="243"/>
      <c r="AP149" s="243"/>
      <c r="AQ149" s="243"/>
      <c r="AR149" s="243"/>
      <c r="AS149" s="243"/>
      <c r="AV149" s="243"/>
      <c r="AW149" s="243"/>
    </row>
    <row r="150" spans="3:49" s="11" customFormat="1" ht="15" customHeight="1" outlineLevel="1">
      <c r="C150" s="184">
        <v>4</v>
      </c>
      <c r="D150" s="309">
        <f t="shared" si="50"/>
        <v>0</v>
      </c>
      <c r="E150" s="63">
        <f t="shared" si="51"/>
        <v>0</v>
      </c>
      <c r="G150" s="361">
        <f t="shared" si="34"/>
        <v>0</v>
      </c>
      <c r="H150" s="186">
        <f t="shared" si="35"/>
        <v>0</v>
      </c>
      <c r="I150" s="361">
        <f t="shared" si="36"/>
        <v>1300</v>
      </c>
      <c r="J150" s="186">
        <f t="shared" si="37"/>
        <v>0.05</v>
      </c>
      <c r="K150" s="361">
        <f t="shared" si="38"/>
        <v>1600</v>
      </c>
      <c r="L150" s="186">
        <f t="shared" si="39"/>
        <v>0.05</v>
      </c>
      <c r="M150" s="361">
        <f t="shared" si="40"/>
        <v>7500</v>
      </c>
      <c r="N150" s="186">
        <f t="shared" si="41"/>
        <v>0.1</v>
      </c>
      <c r="O150" s="361">
        <f t="shared" si="42"/>
        <v>1200</v>
      </c>
      <c r="P150" s="186">
        <f t="shared" si="43"/>
        <v>0.05</v>
      </c>
      <c r="Q150" s="361">
        <f t="shared" si="44"/>
        <v>1500</v>
      </c>
      <c r="R150" s="186">
        <f t="shared" si="45"/>
        <v>7.0000000000000007E-2</v>
      </c>
      <c r="S150" s="361">
        <f t="shared" si="46"/>
        <v>0</v>
      </c>
      <c r="T150" s="186">
        <f t="shared" si="47"/>
        <v>0</v>
      </c>
      <c r="U150" s="361">
        <f t="shared" si="48"/>
        <v>0</v>
      </c>
      <c r="V150" s="186">
        <f t="shared" si="49"/>
        <v>0</v>
      </c>
      <c r="W150" s="318"/>
      <c r="X150" s="242"/>
      <c r="Y150" s="486"/>
      <c r="Z150" s="497"/>
      <c r="AA150" s="486">
        <v>1300</v>
      </c>
      <c r="AB150" s="497">
        <v>0.05</v>
      </c>
      <c r="AC150" s="486">
        <v>1600</v>
      </c>
      <c r="AD150" s="493">
        <v>0.05</v>
      </c>
      <c r="AE150" s="486">
        <v>7500</v>
      </c>
      <c r="AF150" s="493">
        <v>0.1</v>
      </c>
      <c r="AG150" s="486">
        <v>1200</v>
      </c>
      <c r="AH150" s="493">
        <v>0.05</v>
      </c>
      <c r="AI150" s="486">
        <v>1500</v>
      </c>
      <c r="AJ150" s="497">
        <v>7.0000000000000007E-2</v>
      </c>
      <c r="AK150" s="486"/>
      <c r="AL150" s="497"/>
      <c r="AM150" s="486"/>
      <c r="AN150" s="497"/>
      <c r="AO150" s="243"/>
      <c r="AP150" s="243"/>
      <c r="AQ150" s="243"/>
      <c r="AR150" s="243"/>
      <c r="AS150" s="243"/>
      <c r="AV150" s="243"/>
      <c r="AW150" s="243"/>
    </row>
    <row r="151" spans="3:49" s="11" customFormat="1" ht="15" customHeight="1" outlineLevel="1">
      <c r="C151" s="184">
        <v>5</v>
      </c>
      <c r="D151" s="309">
        <f t="shared" si="50"/>
        <v>0</v>
      </c>
      <c r="E151" s="63">
        <f t="shared" si="51"/>
        <v>0</v>
      </c>
      <c r="G151" s="361">
        <f t="shared" si="34"/>
        <v>0</v>
      </c>
      <c r="H151" s="186">
        <f t="shared" si="35"/>
        <v>0</v>
      </c>
      <c r="I151" s="361">
        <f t="shared" si="36"/>
        <v>1300</v>
      </c>
      <c r="J151" s="186">
        <f t="shared" si="37"/>
        <v>0.05</v>
      </c>
      <c r="K151" s="361">
        <f t="shared" si="38"/>
        <v>2000</v>
      </c>
      <c r="L151" s="186">
        <f t="shared" si="39"/>
        <v>0.06</v>
      </c>
      <c r="M151" s="361">
        <f t="shared" si="40"/>
        <v>7500</v>
      </c>
      <c r="N151" s="186">
        <f t="shared" si="41"/>
        <v>0.1</v>
      </c>
      <c r="O151" s="361">
        <f t="shared" si="42"/>
        <v>1200</v>
      </c>
      <c r="P151" s="186">
        <f t="shared" si="43"/>
        <v>0.05</v>
      </c>
      <c r="Q151" s="361">
        <f t="shared" si="44"/>
        <v>1600</v>
      </c>
      <c r="R151" s="186">
        <f t="shared" si="45"/>
        <v>0.1</v>
      </c>
      <c r="S151" s="361">
        <f t="shared" si="46"/>
        <v>0</v>
      </c>
      <c r="T151" s="186">
        <f t="shared" si="47"/>
        <v>0</v>
      </c>
      <c r="U151" s="361">
        <f t="shared" si="48"/>
        <v>0</v>
      </c>
      <c r="V151" s="186">
        <f t="shared" si="49"/>
        <v>0</v>
      </c>
      <c r="W151" s="318"/>
      <c r="X151" s="242"/>
      <c r="Y151" s="486"/>
      <c r="Z151" s="497"/>
      <c r="AA151" s="486">
        <v>1300</v>
      </c>
      <c r="AB151" s="497">
        <v>0.05</v>
      </c>
      <c r="AC151" s="486">
        <v>2000</v>
      </c>
      <c r="AD151" s="493">
        <v>0.06</v>
      </c>
      <c r="AE151" s="486">
        <v>7500</v>
      </c>
      <c r="AF151" s="493">
        <v>0.1</v>
      </c>
      <c r="AG151" s="486">
        <v>1200</v>
      </c>
      <c r="AH151" s="493">
        <v>0.05</v>
      </c>
      <c r="AI151" s="486">
        <v>1600</v>
      </c>
      <c r="AJ151" s="497">
        <v>0.1</v>
      </c>
      <c r="AK151" s="486"/>
      <c r="AL151" s="497"/>
      <c r="AM151" s="486"/>
      <c r="AN151" s="497"/>
      <c r="AO151" s="243"/>
      <c r="AP151" s="243"/>
      <c r="AQ151" s="243"/>
      <c r="AR151" s="243"/>
      <c r="AS151" s="243"/>
      <c r="AV151" s="243"/>
      <c r="AW151" s="243"/>
    </row>
    <row r="152" spans="3:49" s="11" customFormat="1" ht="15" customHeight="1" outlineLevel="1">
      <c r="C152" s="184">
        <v>6</v>
      </c>
      <c r="D152" s="309">
        <f t="shared" si="50"/>
        <v>0</v>
      </c>
      <c r="E152" s="63">
        <f t="shared" si="51"/>
        <v>0</v>
      </c>
      <c r="G152" s="361">
        <f t="shared" si="34"/>
        <v>0</v>
      </c>
      <c r="H152" s="186">
        <f t="shared" si="35"/>
        <v>0</v>
      </c>
      <c r="I152" s="361">
        <f t="shared" si="36"/>
        <v>1300</v>
      </c>
      <c r="J152" s="186">
        <f t="shared" si="37"/>
        <v>0.05</v>
      </c>
      <c r="K152" s="361">
        <f t="shared" si="38"/>
        <v>2000</v>
      </c>
      <c r="L152" s="186">
        <f t="shared" si="39"/>
        <v>0.06</v>
      </c>
      <c r="M152" s="361">
        <f t="shared" si="40"/>
        <v>7500</v>
      </c>
      <c r="N152" s="186">
        <f t="shared" si="41"/>
        <v>0.1</v>
      </c>
      <c r="O152" s="361">
        <f t="shared" si="42"/>
        <v>1200</v>
      </c>
      <c r="P152" s="186">
        <f t="shared" si="43"/>
        <v>0.05</v>
      </c>
      <c r="Q152" s="361">
        <f t="shared" si="44"/>
        <v>1700</v>
      </c>
      <c r="R152" s="186">
        <f t="shared" si="45"/>
        <v>0.13</v>
      </c>
      <c r="S152" s="361">
        <f t="shared" si="46"/>
        <v>0</v>
      </c>
      <c r="T152" s="186">
        <f t="shared" si="47"/>
        <v>0</v>
      </c>
      <c r="U152" s="361">
        <f t="shared" si="48"/>
        <v>0</v>
      </c>
      <c r="V152" s="186">
        <f t="shared" si="49"/>
        <v>0</v>
      </c>
      <c r="W152" s="318"/>
      <c r="X152" s="242"/>
      <c r="Y152" s="486"/>
      <c r="Z152" s="497"/>
      <c r="AA152" s="486">
        <v>1300</v>
      </c>
      <c r="AB152" s="497">
        <v>0.05</v>
      </c>
      <c r="AC152" s="486">
        <v>2000</v>
      </c>
      <c r="AD152" s="493">
        <v>0.06</v>
      </c>
      <c r="AE152" s="486">
        <v>7500</v>
      </c>
      <c r="AF152" s="493">
        <v>0.1</v>
      </c>
      <c r="AG152" s="486">
        <v>1200</v>
      </c>
      <c r="AH152" s="493">
        <v>0.05</v>
      </c>
      <c r="AI152" s="486">
        <v>1700</v>
      </c>
      <c r="AJ152" s="497">
        <v>0.13</v>
      </c>
      <c r="AK152" s="486"/>
      <c r="AL152" s="497"/>
      <c r="AM152" s="486"/>
      <c r="AN152" s="497"/>
      <c r="AO152" s="243"/>
      <c r="AP152" s="243"/>
      <c r="AQ152" s="243"/>
      <c r="AR152" s="243"/>
      <c r="AS152" s="243"/>
      <c r="AV152" s="243"/>
      <c r="AW152" s="243"/>
    </row>
    <row r="153" spans="3:49" s="11" customFormat="1" ht="15" customHeight="1" outlineLevel="1">
      <c r="C153" s="184">
        <v>7</v>
      </c>
      <c r="D153" s="309">
        <f t="shared" si="50"/>
        <v>0</v>
      </c>
      <c r="E153" s="63">
        <f t="shared" si="51"/>
        <v>0</v>
      </c>
      <c r="G153" s="361">
        <f t="shared" si="34"/>
        <v>0</v>
      </c>
      <c r="H153" s="186">
        <f t="shared" si="35"/>
        <v>0</v>
      </c>
      <c r="I153" s="361">
        <f t="shared" si="36"/>
        <v>1300</v>
      </c>
      <c r="J153" s="186">
        <f t="shared" si="37"/>
        <v>0.05</v>
      </c>
      <c r="K153" s="361">
        <f t="shared" si="38"/>
        <v>2000</v>
      </c>
      <c r="L153" s="186">
        <f t="shared" si="39"/>
        <v>0.06</v>
      </c>
      <c r="M153" s="361">
        <f t="shared" si="40"/>
        <v>7500</v>
      </c>
      <c r="N153" s="186">
        <f t="shared" si="41"/>
        <v>0.1</v>
      </c>
      <c r="O153" s="361">
        <f t="shared" si="42"/>
        <v>1200</v>
      </c>
      <c r="P153" s="186">
        <f t="shared" si="43"/>
        <v>0.05</v>
      </c>
      <c r="Q153" s="361">
        <f t="shared" si="44"/>
        <v>1800</v>
      </c>
      <c r="R153" s="186">
        <f t="shared" si="45"/>
        <v>0.14000000000000001</v>
      </c>
      <c r="S153" s="361">
        <f t="shared" si="46"/>
        <v>0</v>
      </c>
      <c r="T153" s="186">
        <f t="shared" si="47"/>
        <v>0</v>
      </c>
      <c r="U153" s="361">
        <f t="shared" si="48"/>
        <v>0</v>
      </c>
      <c r="V153" s="186">
        <f t="shared" si="49"/>
        <v>0</v>
      </c>
      <c r="W153" s="318"/>
      <c r="X153" s="242"/>
      <c r="Y153" s="486"/>
      <c r="Z153" s="497"/>
      <c r="AA153" s="486">
        <v>1300</v>
      </c>
      <c r="AB153" s="497">
        <v>0.05</v>
      </c>
      <c r="AC153" s="486">
        <v>2000</v>
      </c>
      <c r="AD153" s="493">
        <v>0.06</v>
      </c>
      <c r="AE153" s="486">
        <v>7500</v>
      </c>
      <c r="AF153" s="493">
        <v>0.1</v>
      </c>
      <c r="AG153" s="486">
        <v>1200</v>
      </c>
      <c r="AH153" s="493">
        <v>0.05</v>
      </c>
      <c r="AI153" s="486">
        <v>1800</v>
      </c>
      <c r="AJ153" s="497">
        <v>0.14000000000000001</v>
      </c>
      <c r="AK153" s="486"/>
      <c r="AL153" s="497"/>
      <c r="AM153" s="486"/>
      <c r="AN153" s="497"/>
      <c r="AO153" s="243"/>
      <c r="AP153" s="243"/>
      <c r="AQ153" s="243"/>
      <c r="AR153" s="243"/>
      <c r="AS153" s="243"/>
      <c r="AV153" s="243"/>
      <c r="AW153" s="243"/>
    </row>
    <row r="154" spans="3:49" s="11" customFormat="1" ht="15" customHeight="1" outlineLevel="1">
      <c r="C154" s="184">
        <v>8</v>
      </c>
      <c r="D154" s="309">
        <f t="shared" si="50"/>
        <v>0</v>
      </c>
      <c r="E154" s="63">
        <f t="shared" si="51"/>
        <v>0</v>
      </c>
      <c r="G154" s="361">
        <f t="shared" si="34"/>
        <v>0</v>
      </c>
      <c r="H154" s="186">
        <f t="shared" si="35"/>
        <v>0</v>
      </c>
      <c r="I154" s="361">
        <f t="shared" si="36"/>
        <v>1300</v>
      </c>
      <c r="J154" s="186">
        <f t="shared" si="37"/>
        <v>0.05</v>
      </c>
      <c r="K154" s="361">
        <f t="shared" si="38"/>
        <v>2000</v>
      </c>
      <c r="L154" s="186">
        <f t="shared" si="39"/>
        <v>0.06</v>
      </c>
      <c r="M154" s="361">
        <f t="shared" si="40"/>
        <v>7500</v>
      </c>
      <c r="N154" s="186">
        <f t="shared" si="41"/>
        <v>0.1</v>
      </c>
      <c r="O154" s="361">
        <f t="shared" si="42"/>
        <v>1200</v>
      </c>
      <c r="P154" s="186">
        <f t="shared" si="43"/>
        <v>0.05</v>
      </c>
      <c r="Q154" s="361">
        <f t="shared" si="44"/>
        <v>1900</v>
      </c>
      <c r="R154" s="186">
        <f t="shared" si="45"/>
        <v>0.15</v>
      </c>
      <c r="S154" s="361">
        <f t="shared" si="46"/>
        <v>0</v>
      </c>
      <c r="T154" s="186">
        <f t="shared" si="47"/>
        <v>0</v>
      </c>
      <c r="U154" s="361">
        <f t="shared" si="48"/>
        <v>0</v>
      </c>
      <c r="V154" s="186">
        <f t="shared" si="49"/>
        <v>0</v>
      </c>
      <c r="W154" s="318"/>
      <c r="X154" s="242"/>
      <c r="Y154" s="486"/>
      <c r="Z154" s="497"/>
      <c r="AA154" s="486">
        <v>1300</v>
      </c>
      <c r="AB154" s="497">
        <v>0.05</v>
      </c>
      <c r="AC154" s="486">
        <v>2000</v>
      </c>
      <c r="AD154" s="493">
        <v>0.06</v>
      </c>
      <c r="AE154" s="486">
        <v>7500</v>
      </c>
      <c r="AF154" s="493">
        <v>0.1</v>
      </c>
      <c r="AG154" s="486">
        <v>1200</v>
      </c>
      <c r="AH154" s="493">
        <v>0.05</v>
      </c>
      <c r="AI154" s="486">
        <v>1900</v>
      </c>
      <c r="AJ154" s="497">
        <v>0.15</v>
      </c>
      <c r="AK154" s="486"/>
      <c r="AL154" s="497"/>
      <c r="AM154" s="486"/>
      <c r="AN154" s="497"/>
      <c r="AO154" s="243"/>
      <c r="AP154" s="243"/>
      <c r="AQ154" s="243"/>
      <c r="AR154" s="243"/>
      <c r="AS154" s="243"/>
      <c r="AV154" s="243"/>
      <c r="AW154" s="243"/>
    </row>
    <row r="155" spans="3:49" s="11" customFormat="1" ht="15" customHeight="1" outlineLevel="1">
      <c r="C155" s="184">
        <v>9</v>
      </c>
      <c r="D155" s="309">
        <f t="shared" si="50"/>
        <v>0</v>
      </c>
      <c r="E155" s="63">
        <f t="shared" si="51"/>
        <v>0</v>
      </c>
      <c r="G155" s="361">
        <f t="shared" si="34"/>
        <v>0</v>
      </c>
      <c r="H155" s="186">
        <f t="shared" si="35"/>
        <v>0</v>
      </c>
      <c r="I155" s="361">
        <f t="shared" si="36"/>
        <v>1300</v>
      </c>
      <c r="J155" s="186">
        <f t="shared" si="37"/>
        <v>0.05</v>
      </c>
      <c r="K155" s="361">
        <f t="shared" si="38"/>
        <v>2000</v>
      </c>
      <c r="L155" s="186">
        <f t="shared" si="39"/>
        <v>0.06</v>
      </c>
      <c r="M155" s="361">
        <f t="shared" si="40"/>
        <v>7500</v>
      </c>
      <c r="N155" s="186">
        <f t="shared" si="41"/>
        <v>0.1</v>
      </c>
      <c r="O155" s="361">
        <f t="shared" si="42"/>
        <v>1200</v>
      </c>
      <c r="P155" s="186">
        <f t="shared" si="43"/>
        <v>0.05</v>
      </c>
      <c r="Q155" s="361">
        <f t="shared" si="44"/>
        <v>2000</v>
      </c>
      <c r="R155" s="186">
        <f t="shared" si="45"/>
        <v>0.16</v>
      </c>
      <c r="S155" s="361">
        <f t="shared" si="46"/>
        <v>0</v>
      </c>
      <c r="T155" s="186">
        <f t="shared" si="47"/>
        <v>0</v>
      </c>
      <c r="U155" s="361">
        <f t="shared" si="48"/>
        <v>0</v>
      </c>
      <c r="V155" s="186">
        <f t="shared" si="49"/>
        <v>0</v>
      </c>
      <c r="W155" s="318"/>
      <c r="X155" s="242"/>
      <c r="Y155" s="486"/>
      <c r="Z155" s="497"/>
      <c r="AA155" s="486">
        <v>1300</v>
      </c>
      <c r="AB155" s="497">
        <v>0.05</v>
      </c>
      <c r="AC155" s="486">
        <v>2000</v>
      </c>
      <c r="AD155" s="493">
        <v>0.06</v>
      </c>
      <c r="AE155" s="486">
        <v>7500</v>
      </c>
      <c r="AF155" s="493">
        <v>0.1</v>
      </c>
      <c r="AG155" s="486">
        <v>1200</v>
      </c>
      <c r="AH155" s="493">
        <v>0.05</v>
      </c>
      <c r="AI155" s="486">
        <v>2000</v>
      </c>
      <c r="AJ155" s="497">
        <v>0.16</v>
      </c>
      <c r="AK155" s="486"/>
      <c r="AL155" s="497"/>
      <c r="AM155" s="486"/>
      <c r="AN155" s="497"/>
      <c r="AO155" s="243"/>
      <c r="AP155" s="243"/>
      <c r="AQ155" s="243"/>
      <c r="AR155" s="243"/>
      <c r="AS155" s="243"/>
      <c r="AV155" s="243"/>
      <c r="AW155" s="243"/>
    </row>
    <row r="156" spans="3:49" s="11" customFormat="1" ht="15" customHeight="1" outlineLevel="1">
      <c r="C156" s="184">
        <v>10</v>
      </c>
      <c r="D156" s="309">
        <f t="shared" si="50"/>
        <v>0</v>
      </c>
      <c r="E156" s="63">
        <f t="shared" si="51"/>
        <v>0</v>
      </c>
      <c r="G156" s="361">
        <f t="shared" si="34"/>
        <v>0</v>
      </c>
      <c r="H156" s="186">
        <f t="shared" si="35"/>
        <v>0</v>
      </c>
      <c r="I156" s="361">
        <f t="shared" si="36"/>
        <v>1300</v>
      </c>
      <c r="J156" s="186">
        <f t="shared" si="37"/>
        <v>0.05</v>
      </c>
      <c r="K156" s="361">
        <f t="shared" si="38"/>
        <v>2000</v>
      </c>
      <c r="L156" s="186">
        <f t="shared" si="39"/>
        <v>0.06</v>
      </c>
      <c r="M156" s="361">
        <f t="shared" si="40"/>
        <v>7500</v>
      </c>
      <c r="N156" s="186">
        <f t="shared" si="41"/>
        <v>0.1</v>
      </c>
      <c r="O156" s="361">
        <f t="shared" si="42"/>
        <v>1200</v>
      </c>
      <c r="P156" s="186">
        <f t="shared" si="43"/>
        <v>0.05</v>
      </c>
      <c r="Q156" s="361">
        <f t="shared" si="44"/>
        <v>2100</v>
      </c>
      <c r="R156" s="186">
        <f t="shared" si="45"/>
        <v>0.17</v>
      </c>
      <c r="S156" s="361">
        <f t="shared" si="46"/>
        <v>0</v>
      </c>
      <c r="T156" s="186">
        <f t="shared" si="47"/>
        <v>0</v>
      </c>
      <c r="U156" s="361">
        <f t="shared" si="48"/>
        <v>0</v>
      </c>
      <c r="V156" s="186">
        <f t="shared" si="49"/>
        <v>0</v>
      </c>
      <c r="W156" s="318"/>
      <c r="X156" s="242"/>
      <c r="Y156" s="486"/>
      <c r="Z156" s="497"/>
      <c r="AA156" s="486">
        <v>1300</v>
      </c>
      <c r="AB156" s="497">
        <v>0.05</v>
      </c>
      <c r="AC156" s="486">
        <v>2000</v>
      </c>
      <c r="AD156" s="493">
        <v>0.06</v>
      </c>
      <c r="AE156" s="486">
        <v>7500</v>
      </c>
      <c r="AF156" s="493">
        <v>0.1</v>
      </c>
      <c r="AG156" s="486">
        <v>1200</v>
      </c>
      <c r="AH156" s="493">
        <v>0.05</v>
      </c>
      <c r="AI156" s="486">
        <v>2100</v>
      </c>
      <c r="AJ156" s="497">
        <v>0.17</v>
      </c>
      <c r="AK156" s="486"/>
      <c r="AL156" s="497"/>
      <c r="AM156" s="486"/>
      <c r="AN156" s="497"/>
      <c r="AO156" s="243"/>
      <c r="AP156" s="243"/>
      <c r="AQ156" s="243"/>
      <c r="AR156" s="243"/>
      <c r="AS156" s="243"/>
      <c r="AV156" s="243"/>
      <c r="AW156" s="243"/>
    </row>
    <row r="157" spans="3:49" s="11" customFormat="1" ht="15" customHeight="1" outlineLevel="1">
      <c r="C157" s="184">
        <v>11</v>
      </c>
      <c r="D157" s="309">
        <f t="shared" si="50"/>
        <v>0</v>
      </c>
      <c r="E157" s="63">
        <f t="shared" si="51"/>
        <v>0</v>
      </c>
      <c r="G157" s="361">
        <f t="shared" si="34"/>
        <v>0</v>
      </c>
      <c r="H157" s="186">
        <f t="shared" si="35"/>
        <v>0</v>
      </c>
      <c r="I157" s="361">
        <f t="shared" si="36"/>
        <v>1300</v>
      </c>
      <c r="J157" s="186">
        <f t="shared" si="37"/>
        <v>0.05</v>
      </c>
      <c r="K157" s="361">
        <f t="shared" si="38"/>
        <v>2000</v>
      </c>
      <c r="L157" s="186">
        <f t="shared" si="39"/>
        <v>0.06</v>
      </c>
      <c r="M157" s="361">
        <f t="shared" si="40"/>
        <v>7500</v>
      </c>
      <c r="N157" s="186">
        <f t="shared" si="41"/>
        <v>0.1</v>
      </c>
      <c r="O157" s="361">
        <f t="shared" si="42"/>
        <v>1200</v>
      </c>
      <c r="P157" s="186">
        <f t="shared" si="43"/>
        <v>0.05</v>
      </c>
      <c r="Q157" s="361">
        <f t="shared" si="44"/>
        <v>2200</v>
      </c>
      <c r="R157" s="186">
        <f t="shared" si="45"/>
        <v>0.18</v>
      </c>
      <c r="S157" s="361">
        <f t="shared" si="46"/>
        <v>0</v>
      </c>
      <c r="T157" s="186">
        <f t="shared" si="47"/>
        <v>0</v>
      </c>
      <c r="U157" s="361">
        <f t="shared" si="48"/>
        <v>0</v>
      </c>
      <c r="V157" s="186">
        <f t="shared" si="49"/>
        <v>0</v>
      </c>
      <c r="W157" s="318"/>
      <c r="X157" s="242"/>
      <c r="Y157" s="486"/>
      <c r="Z157" s="497"/>
      <c r="AA157" s="486">
        <v>1300</v>
      </c>
      <c r="AB157" s="497">
        <v>0.05</v>
      </c>
      <c r="AC157" s="486">
        <v>2000</v>
      </c>
      <c r="AD157" s="493">
        <v>0.06</v>
      </c>
      <c r="AE157" s="486">
        <v>7500</v>
      </c>
      <c r="AF157" s="493">
        <v>0.1</v>
      </c>
      <c r="AG157" s="486">
        <v>1200</v>
      </c>
      <c r="AH157" s="493">
        <v>0.05</v>
      </c>
      <c r="AI157" s="486">
        <v>2200</v>
      </c>
      <c r="AJ157" s="497">
        <v>0.18</v>
      </c>
      <c r="AK157" s="486"/>
      <c r="AL157" s="497"/>
      <c r="AM157" s="486"/>
      <c r="AN157" s="497"/>
      <c r="AO157" s="243"/>
      <c r="AP157" s="243"/>
      <c r="AQ157" s="243"/>
      <c r="AR157" s="243"/>
      <c r="AS157" s="243"/>
      <c r="AV157" s="243"/>
      <c r="AW157" s="243"/>
    </row>
    <row r="158" spans="3:49" s="11" customFormat="1" ht="15" customHeight="1" outlineLevel="1">
      <c r="C158" s="184">
        <v>12</v>
      </c>
      <c r="D158" s="309">
        <f t="shared" si="50"/>
        <v>0</v>
      </c>
      <c r="E158" s="63">
        <f t="shared" si="51"/>
        <v>0</v>
      </c>
      <c r="G158" s="361">
        <f t="shared" si="34"/>
        <v>0</v>
      </c>
      <c r="H158" s="186">
        <f t="shared" si="35"/>
        <v>0</v>
      </c>
      <c r="I158" s="361">
        <f t="shared" si="36"/>
        <v>1300</v>
      </c>
      <c r="J158" s="186">
        <f t="shared" si="37"/>
        <v>0.05</v>
      </c>
      <c r="K158" s="361">
        <f t="shared" si="38"/>
        <v>2000</v>
      </c>
      <c r="L158" s="186">
        <f t="shared" si="39"/>
        <v>0.06</v>
      </c>
      <c r="M158" s="361">
        <f t="shared" si="40"/>
        <v>7500</v>
      </c>
      <c r="N158" s="186">
        <f t="shared" si="41"/>
        <v>0.1</v>
      </c>
      <c r="O158" s="361">
        <f t="shared" si="42"/>
        <v>1200</v>
      </c>
      <c r="P158" s="186">
        <f t="shared" si="43"/>
        <v>0.05</v>
      </c>
      <c r="Q158" s="361">
        <f t="shared" si="44"/>
        <v>2300</v>
      </c>
      <c r="R158" s="186">
        <f t="shared" si="45"/>
        <v>0.19</v>
      </c>
      <c r="S158" s="361">
        <f t="shared" si="46"/>
        <v>0</v>
      </c>
      <c r="T158" s="186">
        <f t="shared" si="47"/>
        <v>0</v>
      </c>
      <c r="U158" s="361">
        <f t="shared" si="48"/>
        <v>0</v>
      </c>
      <c r="V158" s="186">
        <f t="shared" si="49"/>
        <v>0</v>
      </c>
      <c r="W158" s="318"/>
      <c r="X158" s="242"/>
      <c r="Y158" s="486"/>
      <c r="Z158" s="497"/>
      <c r="AA158" s="486">
        <v>1300</v>
      </c>
      <c r="AB158" s="497">
        <v>0.05</v>
      </c>
      <c r="AC158" s="486">
        <v>2000</v>
      </c>
      <c r="AD158" s="493">
        <v>0.06</v>
      </c>
      <c r="AE158" s="486">
        <v>7500</v>
      </c>
      <c r="AF158" s="493">
        <v>0.1</v>
      </c>
      <c r="AG158" s="486">
        <v>1200</v>
      </c>
      <c r="AH158" s="493">
        <v>0.05</v>
      </c>
      <c r="AI158" s="486">
        <v>2300</v>
      </c>
      <c r="AJ158" s="497">
        <v>0.19</v>
      </c>
      <c r="AK158" s="486"/>
      <c r="AL158" s="497"/>
      <c r="AM158" s="486"/>
      <c r="AN158" s="497"/>
      <c r="AO158" s="243"/>
      <c r="AP158" s="243"/>
      <c r="AQ158" s="243"/>
      <c r="AR158" s="243"/>
      <c r="AS158" s="243"/>
      <c r="AV158" s="243"/>
      <c r="AW158" s="243"/>
    </row>
    <row r="159" spans="3:49" s="11" customFormat="1" ht="15" customHeight="1" outlineLevel="1">
      <c r="C159" s="184">
        <v>13</v>
      </c>
      <c r="D159" s="309">
        <f t="shared" si="50"/>
        <v>0</v>
      </c>
      <c r="E159" s="63">
        <f t="shared" si="51"/>
        <v>0</v>
      </c>
      <c r="G159" s="361">
        <f t="shared" si="34"/>
        <v>0</v>
      </c>
      <c r="H159" s="186">
        <f t="shared" si="35"/>
        <v>0</v>
      </c>
      <c r="I159" s="361">
        <f t="shared" si="36"/>
        <v>1300</v>
      </c>
      <c r="J159" s="186">
        <f t="shared" si="37"/>
        <v>0.05</v>
      </c>
      <c r="K159" s="361">
        <f t="shared" si="38"/>
        <v>2000</v>
      </c>
      <c r="L159" s="186">
        <f t="shared" si="39"/>
        <v>0.06</v>
      </c>
      <c r="M159" s="361">
        <f t="shared" si="40"/>
        <v>7500</v>
      </c>
      <c r="N159" s="186">
        <f t="shared" si="41"/>
        <v>0.1</v>
      </c>
      <c r="O159" s="361">
        <f t="shared" si="42"/>
        <v>1200</v>
      </c>
      <c r="P159" s="186">
        <f t="shared" si="43"/>
        <v>0.05</v>
      </c>
      <c r="Q159" s="361">
        <f t="shared" si="44"/>
        <v>2400</v>
      </c>
      <c r="R159" s="186">
        <f t="shared" si="45"/>
        <v>0.2</v>
      </c>
      <c r="S159" s="361">
        <f t="shared" si="46"/>
        <v>0</v>
      </c>
      <c r="T159" s="186">
        <f t="shared" si="47"/>
        <v>0</v>
      </c>
      <c r="U159" s="361">
        <f t="shared" si="48"/>
        <v>0</v>
      </c>
      <c r="V159" s="186">
        <f t="shared" si="49"/>
        <v>0</v>
      </c>
      <c r="W159" s="318"/>
      <c r="X159" s="242"/>
      <c r="Y159" s="486"/>
      <c r="Z159" s="497"/>
      <c r="AA159" s="486">
        <v>1300</v>
      </c>
      <c r="AB159" s="497">
        <v>0.05</v>
      </c>
      <c r="AC159" s="486">
        <v>2000</v>
      </c>
      <c r="AD159" s="493">
        <v>0.06</v>
      </c>
      <c r="AE159" s="486">
        <v>7500</v>
      </c>
      <c r="AF159" s="493">
        <v>0.1</v>
      </c>
      <c r="AG159" s="486">
        <v>1200</v>
      </c>
      <c r="AH159" s="493">
        <v>0.05</v>
      </c>
      <c r="AI159" s="486">
        <v>2400</v>
      </c>
      <c r="AJ159" s="497">
        <v>0.2</v>
      </c>
      <c r="AK159" s="486"/>
      <c r="AL159" s="497"/>
      <c r="AM159" s="486"/>
      <c r="AN159" s="497"/>
      <c r="AO159" s="243"/>
      <c r="AP159" s="243"/>
      <c r="AQ159" s="243"/>
      <c r="AR159" s="243"/>
      <c r="AS159" s="243"/>
      <c r="AV159" s="243"/>
      <c r="AW159" s="243"/>
    </row>
    <row r="160" spans="3:49" s="11" customFormat="1" ht="15" customHeight="1" outlineLevel="1">
      <c r="C160" s="184">
        <v>14</v>
      </c>
      <c r="D160" s="309">
        <f>CHOOSE($E$32,G160,I160,K160,M160,O160,Q160,S160,U160)</f>
        <v>0</v>
      </c>
      <c r="E160" s="63">
        <f>CHOOSE($E$32,H160,J160,L160,N160,P160,R160,T160,V160)</f>
        <v>0</v>
      </c>
      <c r="G160" s="361">
        <f t="shared" si="34"/>
        <v>0</v>
      </c>
      <c r="H160" s="186">
        <f t="shared" si="35"/>
        <v>0</v>
      </c>
      <c r="I160" s="361">
        <f t="shared" si="36"/>
        <v>1300</v>
      </c>
      <c r="J160" s="186">
        <f t="shared" si="37"/>
        <v>0.05</v>
      </c>
      <c r="K160" s="361">
        <f t="shared" si="38"/>
        <v>2000</v>
      </c>
      <c r="L160" s="186">
        <f t="shared" si="39"/>
        <v>0.06</v>
      </c>
      <c r="M160" s="361">
        <f t="shared" si="40"/>
        <v>7500</v>
      </c>
      <c r="N160" s="186">
        <f t="shared" si="41"/>
        <v>0.1</v>
      </c>
      <c r="O160" s="361">
        <f t="shared" si="42"/>
        <v>1200</v>
      </c>
      <c r="P160" s="186">
        <f t="shared" si="43"/>
        <v>0.05</v>
      </c>
      <c r="Q160" s="361">
        <f t="shared" si="44"/>
        <v>2400</v>
      </c>
      <c r="R160" s="186">
        <f t="shared" si="45"/>
        <v>0.2</v>
      </c>
      <c r="S160" s="361">
        <f t="shared" si="46"/>
        <v>0</v>
      </c>
      <c r="T160" s="186">
        <f t="shared" si="47"/>
        <v>0</v>
      </c>
      <c r="U160" s="361">
        <f t="shared" si="48"/>
        <v>0</v>
      </c>
      <c r="V160" s="186">
        <f t="shared" si="49"/>
        <v>0</v>
      </c>
      <c r="W160" s="318"/>
      <c r="X160" s="242"/>
      <c r="Y160" s="486"/>
      <c r="Z160" s="497"/>
      <c r="AA160" s="486">
        <v>1300</v>
      </c>
      <c r="AB160" s="497">
        <v>0.05</v>
      </c>
      <c r="AC160" s="486">
        <v>2000</v>
      </c>
      <c r="AD160" s="493">
        <v>0.06</v>
      </c>
      <c r="AE160" s="486">
        <v>7500</v>
      </c>
      <c r="AF160" s="493">
        <v>0.1</v>
      </c>
      <c r="AG160" s="486">
        <v>1200</v>
      </c>
      <c r="AH160" s="493">
        <v>0.05</v>
      </c>
      <c r="AI160" s="486">
        <v>2400</v>
      </c>
      <c r="AJ160" s="497">
        <v>0.2</v>
      </c>
      <c r="AK160" s="486"/>
      <c r="AL160" s="497"/>
      <c r="AM160" s="486"/>
      <c r="AN160" s="497"/>
      <c r="AO160" s="243"/>
      <c r="AP160" s="243"/>
      <c r="AQ160" s="243"/>
      <c r="AR160" s="243"/>
      <c r="AS160" s="243"/>
      <c r="AV160" s="243"/>
      <c r="AW160" s="243"/>
    </row>
    <row r="161" spans="3:49" s="11" customFormat="1" ht="15" customHeight="1" outlineLevel="1">
      <c r="C161" s="12"/>
      <c r="E161" s="16"/>
      <c r="G161" s="46"/>
      <c r="H161" s="46"/>
      <c r="I161" s="46"/>
      <c r="J161" s="46"/>
      <c r="K161" s="46"/>
      <c r="L161" s="46"/>
      <c r="M161" s="46"/>
      <c r="N161" s="46"/>
      <c r="O161" s="46"/>
      <c r="P161" s="46"/>
      <c r="Q161" s="46"/>
      <c r="R161" s="46"/>
      <c r="W161" s="120"/>
      <c r="AM161" s="243"/>
      <c r="AN161" s="243"/>
      <c r="AO161" s="243"/>
      <c r="AP161" s="243"/>
      <c r="AQ161" s="243"/>
      <c r="AR161" s="243"/>
      <c r="AS161" s="243"/>
      <c r="AV161" s="243"/>
      <c r="AW161" s="243"/>
    </row>
    <row r="162" spans="3:49" s="11" customFormat="1" ht="15" customHeight="1" outlineLevel="1">
      <c r="D162" s="111" t="s">
        <v>253</v>
      </c>
      <c r="E162" s="140"/>
      <c r="G162" s="343"/>
      <c r="H162" s="46"/>
      <c r="I162" s="46"/>
      <c r="J162" s="46"/>
      <c r="K162" s="46"/>
      <c r="L162" s="46"/>
      <c r="M162" s="46"/>
      <c r="N162" s="46"/>
      <c r="O162" s="46"/>
      <c r="P162" s="46"/>
      <c r="Q162" s="46"/>
      <c r="R162" s="46"/>
      <c r="W162" s="316"/>
      <c r="X162" s="102"/>
      <c r="Y162" s="275" t="s">
        <v>253</v>
      </c>
      <c r="AA162" s="140"/>
      <c r="AC162" s="243"/>
      <c r="AD162" s="243"/>
      <c r="AE162" s="243"/>
      <c r="AF162" s="243"/>
      <c r="AG162" s="243"/>
      <c r="AH162" s="243"/>
      <c r="AI162" s="243"/>
      <c r="AJ162" s="243"/>
      <c r="AK162" s="277"/>
      <c r="AL162" s="278"/>
      <c r="AM162" s="243"/>
      <c r="AN162" s="243"/>
      <c r="AO162" s="243"/>
      <c r="AP162" s="243"/>
      <c r="AQ162" s="244"/>
      <c r="AR162" s="244"/>
      <c r="AS162" s="244"/>
      <c r="AV162" s="244"/>
      <c r="AW162" s="244"/>
    </row>
    <row r="163" spans="3:49" s="11" customFormat="1" ht="15" customHeight="1" outlineLevel="1">
      <c r="C163" s="182"/>
      <c r="E163" s="140"/>
      <c r="G163" s="566" t="str">
        <f>Y163</f>
        <v>1 - No OPT</v>
      </c>
      <c r="H163" s="566"/>
      <c r="I163" s="566" t="str">
        <f>AA163</f>
        <v>2 - Chile</v>
      </c>
      <c r="J163" s="566"/>
      <c r="K163" s="566" t="str">
        <f>AC163</f>
        <v>3 - Peru</v>
      </c>
      <c r="L163" s="566"/>
      <c r="M163" s="566" t="str">
        <f>AE163</f>
        <v>4 - Custom</v>
      </c>
      <c r="N163" s="566"/>
      <c r="O163" s="566" t="str">
        <f>AG163</f>
        <v>5 - Custom</v>
      </c>
      <c r="P163" s="566"/>
      <c r="Q163" s="566" t="str">
        <f>AI163</f>
        <v>6 - Custom</v>
      </c>
      <c r="R163" s="566"/>
      <c r="S163" s="566" t="str">
        <f>AK163</f>
        <v>7 - Custom</v>
      </c>
      <c r="T163" s="566"/>
      <c r="U163" s="566" t="str">
        <f>AM163</f>
        <v>8 - Custom</v>
      </c>
      <c r="V163" s="566"/>
      <c r="W163" s="316"/>
      <c r="X163" s="102"/>
      <c r="Y163" s="569" t="s">
        <v>254</v>
      </c>
      <c r="Z163" s="569"/>
      <c r="AA163" s="569" t="s">
        <v>255</v>
      </c>
      <c r="AB163" s="569"/>
      <c r="AC163" s="569" t="s">
        <v>256</v>
      </c>
      <c r="AD163" s="569"/>
      <c r="AE163" s="569" t="s">
        <v>238</v>
      </c>
      <c r="AF163" s="569"/>
      <c r="AG163" s="569" t="s">
        <v>239</v>
      </c>
      <c r="AH163" s="569"/>
      <c r="AI163" s="569" t="s">
        <v>240</v>
      </c>
      <c r="AJ163" s="569"/>
      <c r="AK163" s="569" t="s">
        <v>241</v>
      </c>
      <c r="AL163" s="569"/>
      <c r="AM163" s="569" t="s">
        <v>242</v>
      </c>
      <c r="AN163" s="569"/>
      <c r="AO163" s="244"/>
      <c r="AP163" s="244"/>
      <c r="AQ163" s="243"/>
      <c r="AR163" s="243"/>
      <c r="AS163" s="243"/>
      <c r="AV163" s="243"/>
      <c r="AW163" s="243"/>
    </row>
    <row r="164" spans="3:49" s="11" customFormat="1" ht="15" customHeight="1" outlineLevel="1">
      <c r="C164" s="183" t="s">
        <v>243</v>
      </c>
      <c r="D164" s="308" t="s">
        <v>257</v>
      </c>
      <c r="E164" s="308" t="s">
        <v>245</v>
      </c>
      <c r="G164" s="360" t="s">
        <v>257</v>
      </c>
      <c r="H164" s="360" t="s">
        <v>245</v>
      </c>
      <c r="I164" s="360" t="s">
        <v>257</v>
      </c>
      <c r="J164" s="360" t="s">
        <v>245</v>
      </c>
      <c r="K164" s="360" t="s">
        <v>257</v>
      </c>
      <c r="L164" s="360" t="s">
        <v>245</v>
      </c>
      <c r="M164" s="360" t="s">
        <v>257</v>
      </c>
      <c r="N164" s="360" t="s">
        <v>245</v>
      </c>
      <c r="O164" s="360" t="s">
        <v>257</v>
      </c>
      <c r="P164" s="360" t="s">
        <v>245</v>
      </c>
      <c r="Q164" s="360" t="s">
        <v>257</v>
      </c>
      <c r="R164" s="360" t="s">
        <v>245</v>
      </c>
      <c r="S164" s="360" t="s">
        <v>257</v>
      </c>
      <c r="T164" s="360" t="s">
        <v>245</v>
      </c>
      <c r="U164" s="360" t="s">
        <v>257</v>
      </c>
      <c r="V164" s="360" t="s">
        <v>245</v>
      </c>
      <c r="W164" s="317"/>
      <c r="X164" s="103"/>
      <c r="Y164" s="308" t="s">
        <v>257</v>
      </c>
      <c r="Z164" s="308" t="s">
        <v>245</v>
      </c>
      <c r="AA164" s="308" t="s">
        <v>257</v>
      </c>
      <c r="AB164" s="308" t="s">
        <v>245</v>
      </c>
      <c r="AC164" s="308" t="s">
        <v>257</v>
      </c>
      <c r="AD164" s="308" t="s">
        <v>245</v>
      </c>
      <c r="AE164" s="308" t="s">
        <v>257</v>
      </c>
      <c r="AF164" s="308" t="s">
        <v>245</v>
      </c>
      <c r="AG164" s="308" t="s">
        <v>257</v>
      </c>
      <c r="AH164" s="308" t="s">
        <v>245</v>
      </c>
      <c r="AI164" s="308" t="s">
        <v>257</v>
      </c>
      <c r="AJ164" s="308" t="s">
        <v>245</v>
      </c>
      <c r="AK164" s="308" t="s">
        <v>257</v>
      </c>
      <c r="AL164" s="308" t="s">
        <v>245</v>
      </c>
      <c r="AM164" s="308" t="s">
        <v>257</v>
      </c>
      <c r="AN164" s="308" t="s">
        <v>245</v>
      </c>
      <c r="AO164" s="243"/>
      <c r="AP164" s="243"/>
      <c r="AQ164" s="243"/>
      <c r="AR164" s="243"/>
      <c r="AS164" s="243"/>
      <c r="AV164" s="243"/>
      <c r="AW164" s="243"/>
    </row>
    <row r="165" spans="3:49" s="11" customFormat="1" ht="15" customHeight="1" outlineLevel="1">
      <c r="C165" s="184">
        <v>1</v>
      </c>
      <c r="D165" s="84">
        <f>CHOOSE($E$39,G165,I165,K165,M165,O165,Q165,S165,U165)</f>
        <v>0</v>
      </c>
      <c r="E165" s="84">
        <f>CHOOSE($E$39,H165,J165,L165,N165,P165,R165,T165,V165)</f>
        <v>0</v>
      </c>
      <c r="G165" s="356">
        <f t="shared" ref="G165:G181" si="52">Y165</f>
        <v>0</v>
      </c>
      <c r="H165" s="356">
        <f t="shared" ref="H165:H181" si="53">Z165</f>
        <v>0</v>
      </c>
      <c r="I165" s="356">
        <f t="shared" ref="I165:I181" si="54">AA165</f>
        <v>0</v>
      </c>
      <c r="J165" s="356">
        <f t="shared" ref="J165:J181" si="55">AB165</f>
        <v>0.05</v>
      </c>
      <c r="K165" s="356">
        <f t="shared" ref="K165:K181" si="56">AC165</f>
        <v>0</v>
      </c>
      <c r="L165" s="356">
        <f t="shared" ref="L165:L181" si="57">AD165</f>
        <v>0.03</v>
      </c>
      <c r="M165" s="356">
        <f t="shared" ref="M165:M181" si="58">AE165</f>
        <v>0</v>
      </c>
      <c r="N165" s="356">
        <f t="shared" ref="N165:N181" si="59">AF165</f>
        <v>0</v>
      </c>
      <c r="O165" s="356">
        <f t="shared" ref="O165:O181" si="60">AG165</f>
        <v>0</v>
      </c>
      <c r="P165" s="356">
        <f t="shared" ref="P165:P181" si="61">AH165</f>
        <v>0</v>
      </c>
      <c r="Q165" s="356">
        <f t="shared" ref="Q165:Q181" si="62">AI165</f>
        <v>0</v>
      </c>
      <c r="R165" s="356">
        <f t="shared" ref="R165:R181" si="63">AJ165</f>
        <v>0</v>
      </c>
      <c r="S165" s="356">
        <f t="shared" ref="S165:S181" si="64">AK165</f>
        <v>0</v>
      </c>
      <c r="T165" s="356">
        <f t="shared" ref="T165:T181" si="65">AL165</f>
        <v>0</v>
      </c>
      <c r="U165" s="356">
        <f t="shared" ref="U165:U181" si="66">AM165</f>
        <v>0</v>
      </c>
      <c r="V165" s="356">
        <f t="shared" ref="V165:V181" si="67">AN165</f>
        <v>0</v>
      </c>
      <c r="W165" s="321"/>
      <c r="X165" s="241"/>
      <c r="Y165" s="497"/>
      <c r="Z165" s="497"/>
      <c r="AA165" s="497">
        <v>0</v>
      </c>
      <c r="AB165" s="493">
        <v>0.05</v>
      </c>
      <c r="AC165" s="497">
        <v>0</v>
      </c>
      <c r="AD165" s="528">
        <v>0.03</v>
      </c>
      <c r="AE165" s="497"/>
      <c r="AF165" s="493"/>
      <c r="AG165" s="497"/>
      <c r="AH165" s="497"/>
      <c r="AI165" s="497"/>
      <c r="AJ165" s="497"/>
      <c r="AK165" s="497"/>
      <c r="AL165" s="497"/>
      <c r="AM165" s="497"/>
      <c r="AN165" s="497"/>
      <c r="AO165" s="243"/>
      <c r="AP165" s="243"/>
      <c r="AQ165" s="243"/>
      <c r="AR165" s="243"/>
      <c r="AS165" s="243"/>
      <c r="AV165" s="243"/>
      <c r="AW165" s="243"/>
    </row>
    <row r="166" spans="3:49" s="11" customFormat="1" ht="15" customHeight="1" outlineLevel="1">
      <c r="C166" s="102">
        <v>2</v>
      </c>
      <c r="D166" s="84">
        <f t="shared" ref="D166:D180" si="68">CHOOSE($E$39,G166,I166,K166,M166,O166,Q166,S166,U166)</f>
        <v>0</v>
      </c>
      <c r="E166" s="84">
        <f t="shared" ref="E166:E181" si="69">CHOOSE($E$39,H166,J166,L166,N166,P166,R166,T166,V166)</f>
        <v>0</v>
      </c>
      <c r="G166" s="356">
        <f t="shared" si="52"/>
        <v>0</v>
      </c>
      <c r="H166" s="356">
        <f t="shared" si="53"/>
        <v>0</v>
      </c>
      <c r="I166" s="356">
        <f t="shared" si="54"/>
        <v>0.35</v>
      </c>
      <c r="J166" s="356">
        <f t="shared" si="55"/>
        <v>0.08</v>
      </c>
      <c r="K166" s="356">
        <f t="shared" si="56"/>
        <v>0.1</v>
      </c>
      <c r="L166" s="356">
        <f t="shared" si="57"/>
        <v>4.1500000000000002E-2</v>
      </c>
      <c r="M166" s="356">
        <f t="shared" si="58"/>
        <v>0</v>
      </c>
      <c r="N166" s="356">
        <f t="shared" si="59"/>
        <v>0</v>
      </c>
      <c r="O166" s="356">
        <f t="shared" si="60"/>
        <v>0</v>
      </c>
      <c r="P166" s="356">
        <f t="shared" si="61"/>
        <v>0</v>
      </c>
      <c r="Q166" s="356">
        <f t="shared" si="62"/>
        <v>0</v>
      </c>
      <c r="R166" s="356">
        <f t="shared" si="63"/>
        <v>0</v>
      </c>
      <c r="S166" s="356">
        <f t="shared" si="64"/>
        <v>0</v>
      </c>
      <c r="T166" s="356">
        <f t="shared" si="65"/>
        <v>0</v>
      </c>
      <c r="U166" s="356">
        <f t="shared" si="66"/>
        <v>0</v>
      </c>
      <c r="V166" s="356">
        <f t="shared" si="67"/>
        <v>0</v>
      </c>
      <c r="W166" s="321"/>
      <c r="X166" s="241"/>
      <c r="Y166" s="497"/>
      <c r="Z166" s="497"/>
      <c r="AA166" s="497">
        <v>0.35</v>
      </c>
      <c r="AB166" s="493">
        <v>0.08</v>
      </c>
      <c r="AC166" s="497">
        <v>0.1</v>
      </c>
      <c r="AD166" s="528">
        <v>4.1500000000000002E-2</v>
      </c>
      <c r="AE166" s="497"/>
      <c r="AF166" s="493"/>
      <c r="AG166" s="497"/>
      <c r="AH166" s="497"/>
      <c r="AI166" s="497"/>
      <c r="AJ166" s="497"/>
      <c r="AK166" s="497"/>
      <c r="AL166" s="497"/>
      <c r="AM166" s="497"/>
      <c r="AN166" s="497"/>
      <c r="AO166" s="243"/>
      <c r="AP166" s="243"/>
      <c r="AQ166" s="243"/>
      <c r="AR166" s="243"/>
      <c r="AS166" s="243"/>
      <c r="AV166" s="243"/>
      <c r="AW166" s="243"/>
    </row>
    <row r="167" spans="3:49" s="11" customFormat="1" ht="15" customHeight="1" outlineLevel="1">
      <c r="C167" s="102">
        <v>3</v>
      </c>
      <c r="D167" s="84">
        <f t="shared" si="68"/>
        <v>0</v>
      </c>
      <c r="E167" s="84">
        <f t="shared" si="69"/>
        <v>0</v>
      </c>
      <c r="G167" s="356">
        <f t="shared" si="52"/>
        <v>0</v>
      </c>
      <c r="H167" s="356">
        <f t="shared" si="53"/>
        <v>0</v>
      </c>
      <c r="I167" s="356">
        <f t="shared" si="54"/>
        <v>0.4</v>
      </c>
      <c r="J167" s="356">
        <f t="shared" si="55"/>
        <v>0.105</v>
      </c>
      <c r="K167" s="356">
        <f t="shared" si="56"/>
        <v>0.15</v>
      </c>
      <c r="L167" s="356">
        <f t="shared" si="57"/>
        <v>5.2999999999999999E-2</v>
      </c>
      <c r="M167" s="356">
        <f t="shared" si="58"/>
        <v>0</v>
      </c>
      <c r="N167" s="356">
        <f t="shared" si="59"/>
        <v>0</v>
      </c>
      <c r="O167" s="356">
        <f t="shared" si="60"/>
        <v>0</v>
      </c>
      <c r="P167" s="356">
        <f t="shared" si="61"/>
        <v>0</v>
      </c>
      <c r="Q167" s="356">
        <f t="shared" si="62"/>
        <v>0</v>
      </c>
      <c r="R167" s="356">
        <f t="shared" si="63"/>
        <v>0</v>
      </c>
      <c r="S167" s="356">
        <f t="shared" si="64"/>
        <v>0</v>
      </c>
      <c r="T167" s="356">
        <f t="shared" si="65"/>
        <v>0</v>
      </c>
      <c r="U167" s="356">
        <f t="shared" si="66"/>
        <v>0</v>
      </c>
      <c r="V167" s="356">
        <f t="shared" si="67"/>
        <v>0</v>
      </c>
      <c r="W167" s="321"/>
      <c r="X167" s="241"/>
      <c r="Y167" s="497"/>
      <c r="Z167" s="497"/>
      <c r="AA167" s="497">
        <v>0.4</v>
      </c>
      <c r="AB167" s="493">
        <v>0.105</v>
      </c>
      <c r="AC167" s="497">
        <v>0.15</v>
      </c>
      <c r="AD167" s="528">
        <v>5.2999999999999999E-2</v>
      </c>
      <c r="AE167" s="497"/>
      <c r="AF167" s="493"/>
      <c r="AG167" s="497"/>
      <c r="AH167" s="497"/>
      <c r="AI167" s="497"/>
      <c r="AJ167" s="497"/>
      <c r="AK167" s="497"/>
      <c r="AL167" s="497"/>
      <c r="AM167" s="497"/>
      <c r="AN167" s="497"/>
      <c r="AO167" s="243"/>
      <c r="AP167" s="243"/>
      <c r="AQ167" s="243"/>
      <c r="AR167" s="243"/>
      <c r="AS167" s="243"/>
      <c r="AV167" s="243"/>
      <c r="AW167" s="243"/>
    </row>
    <row r="168" spans="3:49" s="11" customFormat="1" ht="15" customHeight="1" outlineLevel="1">
      <c r="C168" s="102">
        <v>4</v>
      </c>
      <c r="D168" s="84">
        <f t="shared" si="68"/>
        <v>0</v>
      </c>
      <c r="E168" s="84">
        <f t="shared" si="69"/>
        <v>0</v>
      </c>
      <c r="G168" s="356">
        <f t="shared" si="52"/>
        <v>0</v>
      </c>
      <c r="H168" s="356">
        <f t="shared" si="53"/>
        <v>0</v>
      </c>
      <c r="I168" s="356">
        <f t="shared" si="54"/>
        <v>0.45</v>
      </c>
      <c r="J168" s="356">
        <f t="shared" si="55"/>
        <v>0.13</v>
      </c>
      <c r="K168" s="356">
        <f t="shared" si="56"/>
        <v>0.2</v>
      </c>
      <c r="L168" s="356">
        <f t="shared" si="57"/>
        <v>6.4500000000000002E-2</v>
      </c>
      <c r="M168" s="356">
        <f t="shared" si="58"/>
        <v>0</v>
      </c>
      <c r="N168" s="356">
        <f t="shared" si="59"/>
        <v>0</v>
      </c>
      <c r="O168" s="356">
        <f t="shared" si="60"/>
        <v>0</v>
      </c>
      <c r="P168" s="356">
        <f t="shared" si="61"/>
        <v>0</v>
      </c>
      <c r="Q168" s="356">
        <f t="shared" si="62"/>
        <v>0</v>
      </c>
      <c r="R168" s="356">
        <f t="shared" si="63"/>
        <v>0</v>
      </c>
      <c r="S168" s="356">
        <f t="shared" si="64"/>
        <v>0</v>
      </c>
      <c r="T168" s="356">
        <f t="shared" si="65"/>
        <v>0</v>
      </c>
      <c r="U168" s="356">
        <f t="shared" si="66"/>
        <v>0</v>
      </c>
      <c r="V168" s="356">
        <f t="shared" si="67"/>
        <v>0</v>
      </c>
      <c r="W168" s="321"/>
      <c r="X168" s="241"/>
      <c r="Y168" s="497"/>
      <c r="Z168" s="497"/>
      <c r="AA168" s="497">
        <v>0.45</v>
      </c>
      <c r="AB168" s="493">
        <v>0.13</v>
      </c>
      <c r="AC168" s="497">
        <v>0.2</v>
      </c>
      <c r="AD168" s="528">
        <v>6.4500000000000002E-2</v>
      </c>
      <c r="AE168" s="497"/>
      <c r="AF168" s="493"/>
      <c r="AG168" s="497"/>
      <c r="AH168" s="497"/>
      <c r="AI168" s="497"/>
      <c r="AJ168" s="497"/>
      <c r="AK168" s="497"/>
      <c r="AL168" s="497"/>
      <c r="AM168" s="497"/>
      <c r="AN168" s="497"/>
      <c r="AO168" s="243"/>
      <c r="AP168" s="243"/>
      <c r="AQ168" s="243"/>
      <c r="AR168" s="243"/>
      <c r="AS168" s="243"/>
      <c r="AV168" s="243"/>
      <c r="AW168" s="243"/>
    </row>
    <row r="169" spans="3:49" s="11" customFormat="1" ht="15" customHeight="1" outlineLevel="1">
      <c r="C169" s="102">
        <v>5</v>
      </c>
      <c r="D169" s="84">
        <f t="shared" si="68"/>
        <v>0</v>
      </c>
      <c r="E169" s="84">
        <f t="shared" si="69"/>
        <v>0</v>
      </c>
      <c r="G169" s="356">
        <f t="shared" si="52"/>
        <v>0</v>
      </c>
      <c r="H169" s="356">
        <f t="shared" si="53"/>
        <v>0</v>
      </c>
      <c r="I169" s="356">
        <f t="shared" si="54"/>
        <v>0.5</v>
      </c>
      <c r="J169" s="356">
        <f t="shared" si="55"/>
        <v>0.155</v>
      </c>
      <c r="K169" s="356">
        <f t="shared" si="56"/>
        <v>0.25</v>
      </c>
      <c r="L169" s="356">
        <f t="shared" si="57"/>
        <v>7.5999999999999998E-2</v>
      </c>
      <c r="M169" s="356">
        <f t="shared" si="58"/>
        <v>0</v>
      </c>
      <c r="N169" s="356">
        <f t="shared" si="59"/>
        <v>0</v>
      </c>
      <c r="O169" s="356">
        <f t="shared" si="60"/>
        <v>0</v>
      </c>
      <c r="P169" s="356">
        <f t="shared" si="61"/>
        <v>0</v>
      </c>
      <c r="Q169" s="356">
        <f t="shared" si="62"/>
        <v>0</v>
      </c>
      <c r="R169" s="356">
        <f t="shared" si="63"/>
        <v>0</v>
      </c>
      <c r="S169" s="356">
        <f t="shared" si="64"/>
        <v>0</v>
      </c>
      <c r="T169" s="356">
        <f t="shared" si="65"/>
        <v>0</v>
      </c>
      <c r="U169" s="356">
        <f t="shared" si="66"/>
        <v>0</v>
      </c>
      <c r="V169" s="356">
        <f t="shared" si="67"/>
        <v>0</v>
      </c>
      <c r="W169" s="321"/>
      <c r="X169" s="241"/>
      <c r="Y169" s="497"/>
      <c r="Z169" s="497"/>
      <c r="AA169" s="497">
        <v>0.5</v>
      </c>
      <c r="AB169" s="493">
        <v>0.155</v>
      </c>
      <c r="AC169" s="497">
        <v>0.25</v>
      </c>
      <c r="AD169" s="528">
        <v>7.5999999999999998E-2</v>
      </c>
      <c r="AE169" s="497"/>
      <c r="AF169" s="493"/>
      <c r="AG169" s="497"/>
      <c r="AH169" s="497"/>
      <c r="AI169" s="497"/>
      <c r="AJ169" s="497"/>
      <c r="AK169" s="497"/>
      <c r="AL169" s="497"/>
      <c r="AM169" s="497"/>
      <c r="AN169" s="497"/>
      <c r="AO169" s="243"/>
      <c r="AP169" s="243"/>
      <c r="AQ169" s="243"/>
      <c r="AR169" s="243"/>
      <c r="AS169" s="243"/>
      <c r="AV169" s="243"/>
      <c r="AW169" s="243"/>
    </row>
    <row r="170" spans="3:49" s="11" customFormat="1" ht="15" customHeight="1" outlineLevel="1">
      <c r="C170" s="102">
        <v>6</v>
      </c>
      <c r="D170" s="84">
        <f t="shared" si="68"/>
        <v>0</v>
      </c>
      <c r="E170" s="84">
        <f t="shared" si="69"/>
        <v>0</v>
      </c>
      <c r="G170" s="356">
        <f t="shared" si="52"/>
        <v>0</v>
      </c>
      <c r="H170" s="356">
        <f t="shared" si="53"/>
        <v>0</v>
      </c>
      <c r="I170" s="356">
        <f t="shared" si="54"/>
        <v>0.55000000000000004</v>
      </c>
      <c r="J170" s="356">
        <f t="shared" si="55"/>
        <v>0.18</v>
      </c>
      <c r="K170" s="356">
        <f t="shared" si="56"/>
        <v>0.3</v>
      </c>
      <c r="L170" s="356">
        <f t="shared" si="57"/>
        <v>8.7499999999999994E-2</v>
      </c>
      <c r="M170" s="356">
        <f t="shared" si="58"/>
        <v>0</v>
      </c>
      <c r="N170" s="356">
        <f t="shared" si="59"/>
        <v>0</v>
      </c>
      <c r="O170" s="356">
        <f t="shared" si="60"/>
        <v>0</v>
      </c>
      <c r="P170" s="356">
        <f t="shared" si="61"/>
        <v>0</v>
      </c>
      <c r="Q170" s="356">
        <f t="shared" si="62"/>
        <v>0</v>
      </c>
      <c r="R170" s="356">
        <f t="shared" si="63"/>
        <v>0</v>
      </c>
      <c r="S170" s="356">
        <f t="shared" si="64"/>
        <v>0</v>
      </c>
      <c r="T170" s="356">
        <f t="shared" si="65"/>
        <v>0</v>
      </c>
      <c r="U170" s="356">
        <f t="shared" si="66"/>
        <v>0</v>
      </c>
      <c r="V170" s="356">
        <f t="shared" si="67"/>
        <v>0</v>
      </c>
      <c r="W170" s="321"/>
      <c r="X170" s="241"/>
      <c r="Y170" s="497"/>
      <c r="Z170" s="497"/>
      <c r="AA170" s="497">
        <v>0.55000000000000004</v>
      </c>
      <c r="AB170" s="493">
        <v>0.18</v>
      </c>
      <c r="AC170" s="497">
        <v>0.3</v>
      </c>
      <c r="AD170" s="528">
        <v>8.7499999999999994E-2</v>
      </c>
      <c r="AE170" s="497"/>
      <c r="AF170" s="493"/>
      <c r="AG170" s="497"/>
      <c r="AH170" s="497"/>
      <c r="AI170" s="497"/>
      <c r="AJ170" s="497"/>
      <c r="AK170" s="497"/>
      <c r="AL170" s="497"/>
      <c r="AM170" s="497"/>
      <c r="AN170" s="497"/>
      <c r="AO170" s="243"/>
      <c r="AP170" s="243"/>
      <c r="AQ170" s="243"/>
      <c r="AR170" s="243"/>
      <c r="AS170" s="243"/>
      <c r="AV170" s="243"/>
      <c r="AW170" s="243"/>
    </row>
    <row r="171" spans="3:49" s="11" customFormat="1" ht="15" customHeight="1" outlineLevel="1">
      <c r="C171" s="102">
        <v>7</v>
      </c>
      <c r="D171" s="84">
        <f t="shared" si="68"/>
        <v>0</v>
      </c>
      <c r="E171" s="84">
        <f t="shared" si="69"/>
        <v>0</v>
      </c>
      <c r="G171" s="356">
        <f t="shared" si="52"/>
        <v>0</v>
      </c>
      <c r="H171" s="356">
        <f t="shared" si="53"/>
        <v>0</v>
      </c>
      <c r="I171" s="356">
        <f t="shared" si="54"/>
        <v>0.6</v>
      </c>
      <c r="J171" s="356">
        <f t="shared" si="55"/>
        <v>0.21</v>
      </c>
      <c r="K171" s="356">
        <f t="shared" si="56"/>
        <v>0.35</v>
      </c>
      <c r="L171" s="356">
        <f t="shared" si="57"/>
        <v>9.9000000000000005E-2</v>
      </c>
      <c r="M171" s="356">
        <f t="shared" si="58"/>
        <v>0</v>
      </c>
      <c r="N171" s="356">
        <f t="shared" si="59"/>
        <v>0</v>
      </c>
      <c r="O171" s="356">
        <f t="shared" si="60"/>
        <v>0</v>
      </c>
      <c r="P171" s="356">
        <f t="shared" si="61"/>
        <v>0</v>
      </c>
      <c r="Q171" s="356">
        <f t="shared" si="62"/>
        <v>0</v>
      </c>
      <c r="R171" s="356">
        <f t="shared" si="63"/>
        <v>0</v>
      </c>
      <c r="S171" s="356">
        <f t="shared" si="64"/>
        <v>0</v>
      </c>
      <c r="T171" s="356">
        <f t="shared" si="65"/>
        <v>0</v>
      </c>
      <c r="U171" s="356">
        <f t="shared" si="66"/>
        <v>0</v>
      </c>
      <c r="V171" s="356">
        <f t="shared" si="67"/>
        <v>0</v>
      </c>
      <c r="W171" s="321"/>
      <c r="X171" s="241"/>
      <c r="Y171" s="497"/>
      <c r="Z171" s="497"/>
      <c r="AA171" s="497">
        <v>0.6</v>
      </c>
      <c r="AB171" s="493">
        <v>0.21</v>
      </c>
      <c r="AC171" s="497">
        <v>0.35</v>
      </c>
      <c r="AD171" s="528">
        <v>9.9000000000000005E-2</v>
      </c>
      <c r="AE171" s="497"/>
      <c r="AF171" s="493"/>
      <c r="AG171" s="497"/>
      <c r="AH171" s="497"/>
      <c r="AI171" s="497"/>
      <c r="AJ171" s="497"/>
      <c r="AK171" s="497"/>
      <c r="AL171" s="497"/>
      <c r="AM171" s="497"/>
      <c r="AN171" s="497"/>
      <c r="AO171" s="243"/>
      <c r="AP171" s="243"/>
      <c r="AQ171" s="243"/>
      <c r="AR171" s="243"/>
      <c r="AS171" s="243"/>
      <c r="AV171" s="243"/>
      <c r="AW171" s="243"/>
    </row>
    <row r="172" spans="3:49" s="11" customFormat="1" ht="15" customHeight="1" outlineLevel="1">
      <c r="C172" s="102">
        <v>8</v>
      </c>
      <c r="D172" s="84">
        <f t="shared" si="68"/>
        <v>0</v>
      </c>
      <c r="E172" s="84">
        <f t="shared" si="69"/>
        <v>0</v>
      </c>
      <c r="G172" s="356">
        <f t="shared" si="52"/>
        <v>0</v>
      </c>
      <c r="H172" s="356">
        <f t="shared" si="53"/>
        <v>0</v>
      </c>
      <c r="I172" s="356">
        <f t="shared" si="54"/>
        <v>0.65</v>
      </c>
      <c r="J172" s="356">
        <f t="shared" si="55"/>
        <v>0.24</v>
      </c>
      <c r="K172" s="356">
        <f t="shared" si="56"/>
        <v>0.4</v>
      </c>
      <c r="L172" s="356">
        <f t="shared" si="57"/>
        <v>0.1105</v>
      </c>
      <c r="M172" s="356">
        <f t="shared" si="58"/>
        <v>0</v>
      </c>
      <c r="N172" s="356">
        <f t="shared" si="59"/>
        <v>0</v>
      </c>
      <c r="O172" s="356">
        <f t="shared" si="60"/>
        <v>0</v>
      </c>
      <c r="P172" s="356">
        <f t="shared" si="61"/>
        <v>0</v>
      </c>
      <c r="Q172" s="356">
        <f t="shared" si="62"/>
        <v>0</v>
      </c>
      <c r="R172" s="356">
        <f t="shared" si="63"/>
        <v>0</v>
      </c>
      <c r="S172" s="356">
        <f t="shared" si="64"/>
        <v>0</v>
      </c>
      <c r="T172" s="356">
        <f t="shared" si="65"/>
        <v>0</v>
      </c>
      <c r="U172" s="356">
        <f t="shared" si="66"/>
        <v>0</v>
      </c>
      <c r="V172" s="356">
        <f t="shared" si="67"/>
        <v>0</v>
      </c>
      <c r="W172" s="321"/>
      <c r="X172" s="241"/>
      <c r="Y172" s="497"/>
      <c r="Z172" s="497"/>
      <c r="AA172" s="497">
        <v>0.65</v>
      </c>
      <c r="AB172" s="493">
        <v>0.24</v>
      </c>
      <c r="AC172" s="497">
        <v>0.4</v>
      </c>
      <c r="AD172" s="528">
        <v>0.1105</v>
      </c>
      <c r="AE172" s="497"/>
      <c r="AF172" s="493"/>
      <c r="AG172" s="497"/>
      <c r="AH172" s="497"/>
      <c r="AI172" s="497"/>
      <c r="AJ172" s="497"/>
      <c r="AK172" s="497"/>
      <c r="AL172" s="497"/>
      <c r="AM172" s="497"/>
      <c r="AN172" s="497"/>
      <c r="AO172" s="243"/>
      <c r="AP172" s="243"/>
      <c r="AQ172" s="243"/>
      <c r="AR172" s="243"/>
      <c r="AS172" s="243"/>
      <c r="AV172" s="243"/>
      <c r="AW172" s="243"/>
    </row>
    <row r="173" spans="3:49" s="11" customFormat="1" ht="15" customHeight="1" outlineLevel="1">
      <c r="C173" s="102">
        <v>9</v>
      </c>
      <c r="D173" s="84">
        <f t="shared" si="68"/>
        <v>0</v>
      </c>
      <c r="E173" s="84">
        <f t="shared" si="69"/>
        <v>0</v>
      </c>
      <c r="G173" s="356">
        <f t="shared" si="52"/>
        <v>0</v>
      </c>
      <c r="H173" s="356">
        <f t="shared" si="53"/>
        <v>0</v>
      </c>
      <c r="I173" s="356">
        <f t="shared" si="54"/>
        <v>0.7</v>
      </c>
      <c r="J173" s="356">
        <f t="shared" si="55"/>
        <v>0.27500000000000002</v>
      </c>
      <c r="K173" s="356">
        <f t="shared" si="56"/>
        <v>0.45</v>
      </c>
      <c r="L173" s="356">
        <f t="shared" si="57"/>
        <v>0.122</v>
      </c>
      <c r="M173" s="356">
        <f t="shared" si="58"/>
        <v>0</v>
      </c>
      <c r="N173" s="356">
        <f t="shared" si="59"/>
        <v>0</v>
      </c>
      <c r="O173" s="356">
        <f t="shared" si="60"/>
        <v>0</v>
      </c>
      <c r="P173" s="356">
        <f t="shared" si="61"/>
        <v>0</v>
      </c>
      <c r="Q173" s="356">
        <f t="shared" si="62"/>
        <v>0</v>
      </c>
      <c r="R173" s="356">
        <f t="shared" si="63"/>
        <v>0</v>
      </c>
      <c r="S173" s="356">
        <f t="shared" si="64"/>
        <v>0</v>
      </c>
      <c r="T173" s="356">
        <f t="shared" si="65"/>
        <v>0</v>
      </c>
      <c r="U173" s="356">
        <f t="shared" si="66"/>
        <v>0</v>
      </c>
      <c r="V173" s="356">
        <f t="shared" si="67"/>
        <v>0</v>
      </c>
      <c r="W173" s="321"/>
      <c r="X173" s="241"/>
      <c r="Y173" s="497"/>
      <c r="Z173" s="497"/>
      <c r="AA173" s="497">
        <v>0.7</v>
      </c>
      <c r="AB173" s="493">
        <v>0.27500000000000002</v>
      </c>
      <c r="AC173" s="497">
        <v>0.45</v>
      </c>
      <c r="AD173" s="528">
        <v>0.122</v>
      </c>
      <c r="AE173" s="497"/>
      <c r="AF173" s="493"/>
      <c r="AG173" s="497"/>
      <c r="AH173" s="497"/>
      <c r="AI173" s="497"/>
      <c r="AJ173" s="497"/>
      <c r="AK173" s="497"/>
      <c r="AL173" s="497"/>
      <c r="AM173" s="497"/>
      <c r="AN173" s="497"/>
      <c r="AO173" s="243"/>
      <c r="AP173" s="243"/>
      <c r="AQ173" s="243"/>
      <c r="AR173" s="243"/>
      <c r="AS173" s="243"/>
      <c r="AV173" s="243"/>
      <c r="AW173" s="243"/>
    </row>
    <row r="174" spans="3:49" s="11" customFormat="1" ht="15" customHeight="1" outlineLevel="1">
      <c r="C174" s="102">
        <v>10</v>
      </c>
      <c r="D174" s="84">
        <f t="shared" si="68"/>
        <v>0</v>
      </c>
      <c r="E174" s="84">
        <f t="shared" si="69"/>
        <v>0</v>
      </c>
      <c r="G174" s="356">
        <f t="shared" si="52"/>
        <v>0</v>
      </c>
      <c r="H174" s="356">
        <f t="shared" si="53"/>
        <v>0</v>
      </c>
      <c r="I174" s="356">
        <f t="shared" si="54"/>
        <v>0.75</v>
      </c>
      <c r="J174" s="356">
        <f t="shared" si="55"/>
        <v>0.31</v>
      </c>
      <c r="K174" s="356">
        <f t="shared" si="56"/>
        <v>0.5</v>
      </c>
      <c r="L174" s="356">
        <f t="shared" si="57"/>
        <v>0.13350000000000001</v>
      </c>
      <c r="M174" s="356">
        <f t="shared" si="58"/>
        <v>0</v>
      </c>
      <c r="N174" s="356">
        <f t="shared" si="59"/>
        <v>0</v>
      </c>
      <c r="O174" s="356">
        <f t="shared" si="60"/>
        <v>0</v>
      </c>
      <c r="P174" s="356">
        <f t="shared" si="61"/>
        <v>0</v>
      </c>
      <c r="Q174" s="356">
        <f t="shared" si="62"/>
        <v>0</v>
      </c>
      <c r="R174" s="356">
        <f t="shared" si="63"/>
        <v>0</v>
      </c>
      <c r="S174" s="356">
        <f t="shared" si="64"/>
        <v>0</v>
      </c>
      <c r="T174" s="356">
        <f t="shared" si="65"/>
        <v>0</v>
      </c>
      <c r="U174" s="356">
        <f t="shared" si="66"/>
        <v>0</v>
      </c>
      <c r="V174" s="356">
        <f t="shared" si="67"/>
        <v>0</v>
      </c>
      <c r="W174" s="321"/>
      <c r="X174" s="241"/>
      <c r="Y174" s="497"/>
      <c r="Z174" s="497"/>
      <c r="AA174" s="497">
        <v>0.75</v>
      </c>
      <c r="AB174" s="493">
        <v>0.31</v>
      </c>
      <c r="AC174" s="497">
        <v>0.5</v>
      </c>
      <c r="AD174" s="528">
        <v>0.13350000000000001</v>
      </c>
      <c r="AE174" s="497"/>
      <c r="AF174" s="493"/>
      <c r="AG174" s="497"/>
      <c r="AH174" s="497"/>
      <c r="AI174" s="497"/>
      <c r="AJ174" s="497"/>
      <c r="AK174" s="497"/>
      <c r="AL174" s="497"/>
      <c r="AM174" s="497"/>
      <c r="AN174" s="497"/>
      <c r="AO174" s="243"/>
      <c r="AP174" s="243"/>
      <c r="AQ174" s="243"/>
      <c r="AR174" s="243"/>
      <c r="AS174" s="243"/>
      <c r="AV174" s="243"/>
      <c r="AW174" s="243"/>
    </row>
    <row r="175" spans="3:49" s="11" customFormat="1" ht="15" customHeight="1" outlineLevel="1">
      <c r="C175" s="102">
        <v>11</v>
      </c>
      <c r="D175" s="84">
        <f t="shared" si="68"/>
        <v>0</v>
      </c>
      <c r="E175" s="84">
        <f t="shared" si="69"/>
        <v>0</v>
      </c>
      <c r="G175" s="356">
        <f t="shared" si="52"/>
        <v>0</v>
      </c>
      <c r="H175" s="356">
        <f t="shared" si="53"/>
        <v>0</v>
      </c>
      <c r="I175" s="356">
        <f t="shared" si="54"/>
        <v>0.8</v>
      </c>
      <c r="J175" s="356">
        <f t="shared" si="55"/>
        <v>0.34499999999999997</v>
      </c>
      <c r="K175" s="356">
        <f t="shared" si="56"/>
        <v>0.55000000000000004</v>
      </c>
      <c r="L175" s="356">
        <f t="shared" si="57"/>
        <v>0.14499999999999999</v>
      </c>
      <c r="M175" s="356">
        <f t="shared" si="58"/>
        <v>0</v>
      </c>
      <c r="N175" s="356">
        <f t="shared" si="59"/>
        <v>0</v>
      </c>
      <c r="O175" s="356">
        <f t="shared" si="60"/>
        <v>0</v>
      </c>
      <c r="P175" s="356">
        <f t="shared" si="61"/>
        <v>0</v>
      </c>
      <c r="Q175" s="356">
        <f t="shared" si="62"/>
        <v>0</v>
      </c>
      <c r="R175" s="356">
        <f t="shared" si="63"/>
        <v>0</v>
      </c>
      <c r="S175" s="356">
        <f t="shared" si="64"/>
        <v>0</v>
      </c>
      <c r="T175" s="356">
        <f t="shared" si="65"/>
        <v>0</v>
      </c>
      <c r="U175" s="356">
        <f t="shared" si="66"/>
        <v>0</v>
      </c>
      <c r="V175" s="356">
        <f t="shared" si="67"/>
        <v>0</v>
      </c>
      <c r="W175" s="321"/>
      <c r="X175" s="241"/>
      <c r="Y175" s="497"/>
      <c r="Z175" s="497"/>
      <c r="AA175" s="497">
        <v>0.8</v>
      </c>
      <c r="AB175" s="493">
        <v>0.34499999999999997</v>
      </c>
      <c r="AC175" s="497">
        <v>0.55000000000000004</v>
      </c>
      <c r="AD175" s="528">
        <v>0.14499999999999999</v>
      </c>
      <c r="AE175" s="497"/>
      <c r="AF175" s="493"/>
      <c r="AG175" s="497"/>
      <c r="AH175" s="497"/>
      <c r="AI175" s="497"/>
      <c r="AJ175" s="497"/>
      <c r="AK175" s="497"/>
      <c r="AL175" s="497"/>
      <c r="AM175" s="497"/>
      <c r="AN175" s="497"/>
      <c r="AO175" s="243"/>
      <c r="AP175" s="243"/>
      <c r="AQ175" s="243"/>
      <c r="AR175" s="243"/>
      <c r="AS175" s="243"/>
      <c r="AV175" s="243"/>
      <c r="AW175" s="243"/>
    </row>
    <row r="176" spans="3:49" s="11" customFormat="1" ht="15" customHeight="1" outlineLevel="1">
      <c r="C176" s="102">
        <v>12</v>
      </c>
      <c r="D176" s="84">
        <f t="shared" si="68"/>
        <v>0</v>
      </c>
      <c r="E176" s="84">
        <f t="shared" si="69"/>
        <v>0</v>
      </c>
      <c r="G176" s="356">
        <f t="shared" si="52"/>
        <v>0</v>
      </c>
      <c r="H176" s="356">
        <f t="shared" si="53"/>
        <v>0</v>
      </c>
      <c r="I176" s="356">
        <f t="shared" si="54"/>
        <v>0.85</v>
      </c>
      <c r="J176" s="356">
        <f t="shared" si="55"/>
        <v>0.34499999999999997</v>
      </c>
      <c r="K176" s="356">
        <f t="shared" si="56"/>
        <v>0.6</v>
      </c>
      <c r="L176" s="356">
        <f t="shared" si="57"/>
        <v>0.1565</v>
      </c>
      <c r="M176" s="356">
        <f t="shared" si="58"/>
        <v>0</v>
      </c>
      <c r="N176" s="356">
        <f t="shared" si="59"/>
        <v>0</v>
      </c>
      <c r="O176" s="356">
        <f t="shared" si="60"/>
        <v>0</v>
      </c>
      <c r="P176" s="356">
        <f t="shared" si="61"/>
        <v>0</v>
      </c>
      <c r="Q176" s="356">
        <f t="shared" si="62"/>
        <v>0</v>
      </c>
      <c r="R176" s="356">
        <f t="shared" si="63"/>
        <v>0</v>
      </c>
      <c r="S176" s="356">
        <f t="shared" si="64"/>
        <v>0</v>
      </c>
      <c r="T176" s="356">
        <f t="shared" si="65"/>
        <v>0</v>
      </c>
      <c r="U176" s="356">
        <f t="shared" si="66"/>
        <v>0</v>
      </c>
      <c r="V176" s="356">
        <f t="shared" si="67"/>
        <v>0</v>
      </c>
      <c r="W176" s="321"/>
      <c r="X176" s="241"/>
      <c r="Y176" s="497"/>
      <c r="Z176" s="497"/>
      <c r="AA176" s="497">
        <v>0.85</v>
      </c>
      <c r="AB176" s="493">
        <v>0.34499999999999997</v>
      </c>
      <c r="AC176" s="497">
        <v>0.6</v>
      </c>
      <c r="AD176" s="528">
        <v>0.1565</v>
      </c>
      <c r="AE176" s="497"/>
      <c r="AF176" s="493"/>
      <c r="AG176" s="497"/>
      <c r="AH176" s="497"/>
      <c r="AI176" s="497"/>
      <c r="AJ176" s="497"/>
      <c r="AK176" s="497"/>
      <c r="AL176" s="497"/>
      <c r="AM176" s="497"/>
      <c r="AN176" s="497"/>
      <c r="AO176" s="243"/>
      <c r="AP176" s="243"/>
      <c r="AQ176" s="243"/>
      <c r="AR176" s="243"/>
      <c r="AS176" s="243"/>
      <c r="AV176" s="243"/>
      <c r="AW176" s="243"/>
    </row>
    <row r="177" spans="2:58" s="11" customFormat="1" ht="15" customHeight="1" outlineLevel="1">
      <c r="C177" s="102">
        <v>13</v>
      </c>
      <c r="D177" s="84">
        <f t="shared" si="68"/>
        <v>0</v>
      </c>
      <c r="E177" s="84">
        <f t="shared" si="69"/>
        <v>0</v>
      </c>
      <c r="G177" s="356">
        <f t="shared" si="52"/>
        <v>0</v>
      </c>
      <c r="H177" s="356">
        <f t="shared" si="53"/>
        <v>0</v>
      </c>
      <c r="I177" s="356">
        <f t="shared" si="54"/>
        <v>0.85</v>
      </c>
      <c r="J177" s="356">
        <f t="shared" si="55"/>
        <v>0.34499999999999997</v>
      </c>
      <c r="K177" s="356">
        <f t="shared" si="56"/>
        <v>0.65</v>
      </c>
      <c r="L177" s="356">
        <f t="shared" si="57"/>
        <v>0.16800000000000001</v>
      </c>
      <c r="M177" s="356">
        <f t="shared" si="58"/>
        <v>0</v>
      </c>
      <c r="N177" s="356">
        <f t="shared" si="59"/>
        <v>0</v>
      </c>
      <c r="O177" s="356">
        <f t="shared" si="60"/>
        <v>0</v>
      </c>
      <c r="P177" s="356">
        <f t="shared" si="61"/>
        <v>0</v>
      </c>
      <c r="Q177" s="356">
        <f t="shared" si="62"/>
        <v>0</v>
      </c>
      <c r="R177" s="356">
        <f t="shared" si="63"/>
        <v>0</v>
      </c>
      <c r="S177" s="356">
        <f t="shared" si="64"/>
        <v>0</v>
      </c>
      <c r="T177" s="356">
        <f t="shared" si="65"/>
        <v>0</v>
      </c>
      <c r="U177" s="356">
        <f t="shared" si="66"/>
        <v>0</v>
      </c>
      <c r="V177" s="356">
        <f t="shared" si="67"/>
        <v>0</v>
      </c>
      <c r="W177" s="321"/>
      <c r="X177" s="241"/>
      <c r="Y177" s="497"/>
      <c r="Z177" s="497"/>
      <c r="AA177" s="497">
        <v>0.85</v>
      </c>
      <c r="AB177" s="493">
        <v>0.34499999999999997</v>
      </c>
      <c r="AC177" s="497">
        <v>0.65</v>
      </c>
      <c r="AD177" s="528">
        <v>0.16800000000000001</v>
      </c>
      <c r="AE177" s="497"/>
      <c r="AF177" s="493"/>
      <c r="AG177" s="497"/>
      <c r="AH177" s="497"/>
      <c r="AI177" s="497"/>
      <c r="AJ177" s="497"/>
      <c r="AK177" s="497"/>
      <c r="AL177" s="497"/>
      <c r="AM177" s="497"/>
      <c r="AN177" s="497"/>
      <c r="AO177" s="243"/>
      <c r="AP177" s="243"/>
      <c r="AQ177" s="243"/>
      <c r="AR177" s="243"/>
      <c r="AS177" s="243"/>
      <c r="AV177" s="243"/>
      <c r="AW177" s="243"/>
    </row>
    <row r="178" spans="2:58" s="11" customFormat="1" ht="15" customHeight="1" outlineLevel="1">
      <c r="C178" s="102">
        <v>14</v>
      </c>
      <c r="D178" s="84">
        <f t="shared" si="68"/>
        <v>0</v>
      </c>
      <c r="E178" s="84">
        <f t="shared" si="69"/>
        <v>0</v>
      </c>
      <c r="G178" s="356">
        <f t="shared" si="52"/>
        <v>0</v>
      </c>
      <c r="H178" s="356">
        <f t="shared" si="53"/>
        <v>0</v>
      </c>
      <c r="I178" s="356">
        <f t="shared" si="54"/>
        <v>0.85</v>
      </c>
      <c r="J178" s="356">
        <f t="shared" si="55"/>
        <v>0.34499999999999997</v>
      </c>
      <c r="K178" s="356">
        <f t="shared" si="56"/>
        <v>0.7</v>
      </c>
      <c r="L178" s="356">
        <f t="shared" si="57"/>
        <v>0.17949999999999999</v>
      </c>
      <c r="M178" s="356">
        <f t="shared" si="58"/>
        <v>0</v>
      </c>
      <c r="N178" s="356">
        <f t="shared" si="59"/>
        <v>0</v>
      </c>
      <c r="O178" s="356">
        <f t="shared" si="60"/>
        <v>0</v>
      </c>
      <c r="P178" s="356">
        <f t="shared" si="61"/>
        <v>0</v>
      </c>
      <c r="Q178" s="356">
        <f t="shared" si="62"/>
        <v>0</v>
      </c>
      <c r="R178" s="356">
        <f t="shared" si="63"/>
        <v>0</v>
      </c>
      <c r="S178" s="356">
        <f t="shared" si="64"/>
        <v>0</v>
      </c>
      <c r="T178" s="356">
        <f t="shared" si="65"/>
        <v>0</v>
      </c>
      <c r="U178" s="356">
        <f t="shared" si="66"/>
        <v>0</v>
      </c>
      <c r="V178" s="356">
        <f t="shared" si="67"/>
        <v>0</v>
      </c>
      <c r="W178" s="321"/>
      <c r="X178" s="241"/>
      <c r="Y178" s="497"/>
      <c r="Z178" s="497"/>
      <c r="AA178" s="497">
        <v>0.85</v>
      </c>
      <c r="AB178" s="493">
        <v>0.34499999999999997</v>
      </c>
      <c r="AC178" s="497">
        <v>0.7</v>
      </c>
      <c r="AD178" s="528">
        <v>0.17949999999999999</v>
      </c>
      <c r="AE178" s="497"/>
      <c r="AF178" s="493"/>
      <c r="AG178" s="497"/>
      <c r="AH178" s="497"/>
      <c r="AI178" s="497"/>
      <c r="AJ178" s="497"/>
      <c r="AK178" s="497"/>
      <c r="AL178" s="497"/>
      <c r="AM178" s="497"/>
      <c r="AN178" s="497"/>
      <c r="AO178" s="243"/>
      <c r="AP178" s="243"/>
      <c r="AQ178" s="243"/>
      <c r="AR178" s="243"/>
      <c r="AS178" s="243"/>
      <c r="AV178" s="243"/>
      <c r="AW178" s="243"/>
    </row>
    <row r="179" spans="2:58" s="11" customFormat="1" ht="15" customHeight="1" outlineLevel="1">
      <c r="C179" s="102">
        <v>15</v>
      </c>
      <c r="D179" s="84">
        <f t="shared" si="68"/>
        <v>0</v>
      </c>
      <c r="E179" s="84">
        <f t="shared" si="69"/>
        <v>0</v>
      </c>
      <c r="G179" s="356">
        <f t="shared" si="52"/>
        <v>0</v>
      </c>
      <c r="H179" s="356">
        <f t="shared" si="53"/>
        <v>0</v>
      </c>
      <c r="I179" s="356">
        <f t="shared" si="54"/>
        <v>0.85</v>
      </c>
      <c r="J179" s="356">
        <f t="shared" si="55"/>
        <v>0.34499999999999997</v>
      </c>
      <c r="K179" s="356">
        <f t="shared" si="56"/>
        <v>0.75</v>
      </c>
      <c r="L179" s="356">
        <f t="shared" si="57"/>
        <v>0.191</v>
      </c>
      <c r="M179" s="356">
        <f t="shared" si="58"/>
        <v>0</v>
      </c>
      <c r="N179" s="356">
        <f t="shared" si="59"/>
        <v>0</v>
      </c>
      <c r="O179" s="356">
        <f t="shared" si="60"/>
        <v>0</v>
      </c>
      <c r="P179" s="356">
        <f t="shared" si="61"/>
        <v>0</v>
      </c>
      <c r="Q179" s="356">
        <f t="shared" si="62"/>
        <v>0</v>
      </c>
      <c r="R179" s="356">
        <f t="shared" si="63"/>
        <v>0</v>
      </c>
      <c r="S179" s="356">
        <f t="shared" si="64"/>
        <v>0</v>
      </c>
      <c r="T179" s="356">
        <f t="shared" si="65"/>
        <v>0</v>
      </c>
      <c r="U179" s="356">
        <f t="shared" si="66"/>
        <v>0</v>
      </c>
      <c r="V179" s="356">
        <f t="shared" si="67"/>
        <v>0</v>
      </c>
      <c r="W179" s="321"/>
      <c r="X179" s="241"/>
      <c r="Y179" s="497"/>
      <c r="Z179" s="497"/>
      <c r="AA179" s="497">
        <v>0.85</v>
      </c>
      <c r="AB179" s="493">
        <v>0.34499999999999997</v>
      </c>
      <c r="AC179" s="497">
        <v>0.75</v>
      </c>
      <c r="AD179" s="528">
        <v>0.191</v>
      </c>
      <c r="AE179" s="497"/>
      <c r="AF179" s="493"/>
      <c r="AG179" s="497"/>
      <c r="AH179" s="497"/>
      <c r="AI179" s="497"/>
      <c r="AJ179" s="497"/>
      <c r="AK179" s="497"/>
      <c r="AL179" s="497"/>
      <c r="AM179" s="497"/>
      <c r="AN179" s="497"/>
      <c r="AO179" s="243"/>
      <c r="AP179" s="243"/>
      <c r="AQ179" s="243"/>
      <c r="AR179" s="243"/>
      <c r="AS179" s="243"/>
      <c r="AV179" s="243"/>
      <c r="AW179" s="243"/>
    </row>
    <row r="180" spans="2:58" s="11" customFormat="1" ht="15" customHeight="1" outlineLevel="1">
      <c r="C180" s="102">
        <v>16</v>
      </c>
      <c r="D180" s="84">
        <f t="shared" si="68"/>
        <v>0</v>
      </c>
      <c r="E180" s="84">
        <f t="shared" si="69"/>
        <v>0</v>
      </c>
      <c r="G180" s="356">
        <f t="shared" si="52"/>
        <v>0</v>
      </c>
      <c r="H180" s="356">
        <f t="shared" si="53"/>
        <v>0</v>
      </c>
      <c r="I180" s="356">
        <f t="shared" si="54"/>
        <v>0.85</v>
      </c>
      <c r="J180" s="356">
        <f t="shared" si="55"/>
        <v>0.34499999999999997</v>
      </c>
      <c r="K180" s="356">
        <f t="shared" si="56"/>
        <v>0.8</v>
      </c>
      <c r="L180" s="356">
        <f t="shared" si="57"/>
        <v>0.2</v>
      </c>
      <c r="M180" s="356">
        <f t="shared" si="58"/>
        <v>0</v>
      </c>
      <c r="N180" s="356">
        <f t="shared" si="59"/>
        <v>0</v>
      </c>
      <c r="O180" s="356">
        <f t="shared" si="60"/>
        <v>0</v>
      </c>
      <c r="P180" s="356">
        <f t="shared" si="61"/>
        <v>0</v>
      </c>
      <c r="Q180" s="356">
        <f t="shared" si="62"/>
        <v>0</v>
      </c>
      <c r="R180" s="356">
        <f t="shared" si="63"/>
        <v>0</v>
      </c>
      <c r="S180" s="356">
        <f t="shared" si="64"/>
        <v>0</v>
      </c>
      <c r="T180" s="356">
        <f t="shared" si="65"/>
        <v>0</v>
      </c>
      <c r="U180" s="356">
        <f t="shared" si="66"/>
        <v>0</v>
      </c>
      <c r="V180" s="356">
        <f t="shared" si="67"/>
        <v>0</v>
      </c>
      <c r="W180" s="321"/>
      <c r="X180" s="241"/>
      <c r="Y180" s="497"/>
      <c r="Z180" s="497"/>
      <c r="AA180" s="497">
        <v>0.85</v>
      </c>
      <c r="AB180" s="493">
        <v>0.34499999999999997</v>
      </c>
      <c r="AC180" s="497">
        <v>0.8</v>
      </c>
      <c r="AD180" s="528">
        <v>0.2</v>
      </c>
      <c r="AE180" s="497"/>
      <c r="AF180" s="493"/>
      <c r="AG180" s="497"/>
      <c r="AH180" s="497"/>
      <c r="AI180" s="497"/>
      <c r="AJ180" s="497"/>
      <c r="AK180" s="497"/>
      <c r="AL180" s="497"/>
      <c r="AM180" s="497"/>
      <c r="AN180" s="497"/>
      <c r="AO180" s="243"/>
      <c r="AP180" s="243"/>
      <c r="AQ180" s="243"/>
      <c r="AR180" s="243"/>
      <c r="AS180" s="243"/>
      <c r="AV180" s="243"/>
      <c r="AW180" s="243"/>
    </row>
    <row r="181" spans="2:58" s="11" customFormat="1" ht="15" customHeight="1" outlineLevel="1">
      <c r="C181" s="102">
        <v>17</v>
      </c>
      <c r="D181" s="84">
        <f>CHOOSE($E$39,G181,I181,K181,M181,O181,Q181,S181,U181)</f>
        <v>0</v>
      </c>
      <c r="E181" s="84">
        <f t="shared" si="69"/>
        <v>0</v>
      </c>
      <c r="G181" s="356">
        <f t="shared" si="52"/>
        <v>0</v>
      </c>
      <c r="H181" s="356">
        <f t="shared" si="53"/>
        <v>0</v>
      </c>
      <c r="I181" s="356">
        <f t="shared" si="54"/>
        <v>0.85</v>
      </c>
      <c r="J181" s="356">
        <f t="shared" si="55"/>
        <v>0.34499999999999997</v>
      </c>
      <c r="K181" s="356">
        <f t="shared" si="56"/>
        <v>0.85</v>
      </c>
      <c r="L181" s="356">
        <f t="shared" si="57"/>
        <v>0.20399999999999999</v>
      </c>
      <c r="M181" s="356">
        <f t="shared" si="58"/>
        <v>0</v>
      </c>
      <c r="N181" s="356">
        <f t="shared" si="59"/>
        <v>0</v>
      </c>
      <c r="O181" s="356">
        <f t="shared" si="60"/>
        <v>0</v>
      </c>
      <c r="P181" s="356">
        <f t="shared" si="61"/>
        <v>0</v>
      </c>
      <c r="Q181" s="356">
        <f t="shared" si="62"/>
        <v>0</v>
      </c>
      <c r="R181" s="356">
        <f t="shared" si="63"/>
        <v>0</v>
      </c>
      <c r="S181" s="356">
        <f t="shared" si="64"/>
        <v>0</v>
      </c>
      <c r="T181" s="356">
        <f t="shared" si="65"/>
        <v>0</v>
      </c>
      <c r="U181" s="356">
        <f t="shared" si="66"/>
        <v>0</v>
      </c>
      <c r="V181" s="356">
        <f t="shared" si="67"/>
        <v>0</v>
      </c>
      <c r="W181" s="321"/>
      <c r="X181" s="241"/>
      <c r="Y181" s="497"/>
      <c r="Z181" s="497"/>
      <c r="AA181" s="497">
        <v>0.85</v>
      </c>
      <c r="AB181" s="493">
        <v>0.34499999999999997</v>
      </c>
      <c r="AC181" s="497">
        <v>0.85</v>
      </c>
      <c r="AD181" s="528">
        <v>0.20399999999999999</v>
      </c>
      <c r="AE181" s="497"/>
      <c r="AF181" s="493"/>
      <c r="AG181" s="497"/>
      <c r="AH181" s="497"/>
      <c r="AI181" s="497"/>
      <c r="AJ181" s="497"/>
      <c r="AK181" s="497"/>
      <c r="AL181" s="497"/>
      <c r="AM181" s="497"/>
      <c r="AN181" s="497"/>
      <c r="AO181" s="243"/>
      <c r="AP181" s="243"/>
      <c r="AQ181" s="243"/>
      <c r="AR181" s="243"/>
      <c r="AS181" s="243"/>
      <c r="AV181" s="243"/>
      <c r="AW181" s="243"/>
    </row>
    <row r="182" spans="2:58" s="132" customFormat="1" ht="15" customHeight="1" outlineLevel="1">
      <c r="B182" s="11"/>
      <c r="C182" s="229"/>
      <c r="D182" s="84"/>
      <c r="E182" s="84"/>
      <c r="G182" s="354"/>
      <c r="H182" s="354"/>
      <c r="I182" s="354"/>
      <c r="J182" s="365"/>
      <c r="K182" s="354"/>
      <c r="L182" s="354"/>
      <c r="M182" s="354"/>
      <c r="N182" s="354"/>
      <c r="O182" s="90"/>
      <c r="P182" s="90"/>
      <c r="Q182" s="90"/>
      <c r="R182" s="90"/>
      <c r="W182" s="285"/>
      <c r="Y182" s="243"/>
      <c r="Z182" s="243"/>
      <c r="AA182" s="243"/>
      <c r="AB182" s="243"/>
      <c r="AC182" s="243"/>
      <c r="AD182" s="243"/>
      <c r="AE182" s="243"/>
      <c r="AF182" s="243"/>
      <c r="AG182" s="11"/>
      <c r="AH182" s="11"/>
      <c r="AI182" s="11"/>
      <c r="AJ182" s="166"/>
      <c r="AK182" s="242"/>
      <c r="AL182" s="242"/>
      <c r="AM182" s="243"/>
      <c r="AN182" s="243"/>
      <c r="AO182" s="243"/>
      <c r="AP182" s="243"/>
      <c r="AQ182" s="243"/>
      <c r="AR182" s="243"/>
      <c r="AS182" s="243"/>
      <c r="AV182" s="243"/>
      <c r="AW182" s="243"/>
    </row>
    <row r="183" spans="2:58" s="11" customFormat="1" ht="15" customHeight="1" outlineLevel="1">
      <c r="D183" s="110" t="s">
        <v>258</v>
      </c>
      <c r="G183" s="46"/>
      <c r="H183" s="46"/>
      <c r="I183" s="46"/>
      <c r="J183" s="46"/>
      <c r="K183" s="46"/>
      <c r="L183" s="46"/>
      <c r="M183" s="46"/>
      <c r="N183" s="46"/>
      <c r="O183" s="46"/>
      <c r="P183" s="46"/>
      <c r="Q183" s="46"/>
      <c r="R183" s="46"/>
      <c r="W183" s="120"/>
      <c r="Y183" s="198" t="s">
        <v>258</v>
      </c>
      <c r="Z183" s="243"/>
      <c r="AA183" s="7"/>
      <c r="AK183" s="242"/>
      <c r="AL183" s="242"/>
      <c r="AM183" s="243"/>
      <c r="AN183" s="243"/>
      <c r="AO183" s="243"/>
      <c r="AP183" s="243"/>
      <c r="AQ183" s="243"/>
      <c r="AR183" s="243"/>
      <c r="AS183" s="243"/>
      <c r="AV183" s="243"/>
      <c r="AW183" s="243"/>
    </row>
    <row r="184" spans="2:58" s="11" customFormat="1" ht="15" customHeight="1" outlineLevel="1">
      <c r="E184" s="41" t="s">
        <v>259</v>
      </c>
      <c r="F184" s="41" t="s">
        <v>260</v>
      </c>
      <c r="G184" s="366" t="s">
        <v>261</v>
      </c>
      <c r="H184" s="46"/>
      <c r="I184" s="46"/>
      <c r="J184" s="46"/>
      <c r="K184" s="46"/>
      <c r="L184" s="46"/>
      <c r="M184" s="46"/>
      <c r="N184" s="46"/>
      <c r="O184" s="46"/>
      <c r="P184" s="46"/>
      <c r="Q184" s="46"/>
      <c r="R184" s="46"/>
      <c r="W184" s="120"/>
      <c r="AA184" s="41" t="s">
        <v>259</v>
      </c>
      <c r="AB184" s="41" t="s">
        <v>260</v>
      </c>
      <c r="AC184" s="41" t="s">
        <v>261</v>
      </c>
      <c r="AD184" s="243"/>
      <c r="AM184" s="243"/>
      <c r="AN184" s="243"/>
      <c r="AO184" s="243"/>
      <c r="AP184" s="243"/>
      <c r="AQ184" s="243"/>
      <c r="AR184" s="243"/>
      <c r="AS184" s="243"/>
      <c r="AV184" s="243"/>
      <c r="AW184" s="243"/>
    </row>
    <row r="185" spans="2:58" s="11" customFormat="1" ht="15.75" customHeight="1" outlineLevel="1">
      <c r="C185" s="184" t="s">
        <v>262</v>
      </c>
      <c r="D185" s="7"/>
      <c r="E185" s="367">
        <f t="shared" ref="E185:G187" si="70">AA185</f>
        <v>5.0000000000000001E-3</v>
      </c>
      <c r="F185" s="367">
        <f t="shared" si="70"/>
        <v>5.0000000000000001E-3</v>
      </c>
      <c r="G185" s="367">
        <f t="shared" si="70"/>
        <v>0</v>
      </c>
      <c r="H185" s="46"/>
      <c r="I185" s="46"/>
      <c r="J185" s="46"/>
      <c r="K185" s="46"/>
      <c r="L185" s="46"/>
      <c r="M185" s="46"/>
      <c r="N185" s="46"/>
      <c r="O185" s="46"/>
      <c r="P185" s="46"/>
      <c r="Q185" s="46"/>
      <c r="R185" s="46"/>
      <c r="W185" s="120"/>
      <c r="Y185" s="109" t="s">
        <v>262</v>
      </c>
      <c r="Z185" s="7"/>
      <c r="AA185" s="493">
        <v>5.0000000000000001E-3</v>
      </c>
      <c r="AB185" s="493">
        <v>5.0000000000000001E-3</v>
      </c>
      <c r="AC185" s="497"/>
      <c r="AD185" s="243"/>
      <c r="AM185" s="243"/>
      <c r="AN185" s="243"/>
      <c r="AO185" s="243"/>
      <c r="AP185" s="243"/>
      <c r="AQ185" s="243"/>
      <c r="AR185" s="243"/>
      <c r="AS185" s="243"/>
      <c r="AV185" s="243"/>
      <c r="AW185" s="243"/>
    </row>
    <row r="186" spans="2:58" s="11" customFormat="1" ht="15" customHeight="1" outlineLevel="1">
      <c r="C186" s="6" t="s">
        <v>263</v>
      </c>
      <c r="D186" s="7"/>
      <c r="E186" s="368">
        <f t="shared" si="70"/>
        <v>12.5</v>
      </c>
      <c r="F186" s="368">
        <f t="shared" si="70"/>
        <v>9</v>
      </c>
      <c r="G186" s="368">
        <f t="shared" si="70"/>
        <v>0</v>
      </c>
      <c r="H186" s="46"/>
      <c r="I186" s="46"/>
      <c r="J186" s="46"/>
      <c r="K186" s="46"/>
      <c r="L186" s="46"/>
      <c r="M186" s="46"/>
      <c r="N186" s="46"/>
      <c r="O186" s="46"/>
      <c r="P186" s="46"/>
      <c r="Q186" s="46"/>
      <c r="R186" s="46"/>
      <c r="W186" s="120"/>
      <c r="Y186" s="240" t="s">
        <v>263</v>
      </c>
      <c r="Z186" s="7"/>
      <c r="AA186" s="529">
        <v>12.5</v>
      </c>
      <c r="AB186" s="529">
        <v>9</v>
      </c>
      <c r="AC186" s="497"/>
      <c r="AD186" s="243"/>
      <c r="AM186" s="243"/>
      <c r="AN186" s="243"/>
      <c r="AO186" s="243"/>
      <c r="AP186" s="243"/>
      <c r="AQ186" s="243"/>
      <c r="AR186" s="243"/>
      <c r="AS186" s="243"/>
      <c r="AV186" s="243"/>
      <c r="AW186" s="243"/>
    </row>
    <row r="187" spans="2:58" s="11" customFormat="1" ht="15" customHeight="1" outlineLevel="1">
      <c r="C187" s="6" t="s">
        <v>264</v>
      </c>
      <c r="D187" s="7"/>
      <c r="E187" s="367">
        <f t="shared" si="70"/>
        <v>0.05</v>
      </c>
      <c r="F187" s="367">
        <f t="shared" si="70"/>
        <v>7.0000000000000007E-2</v>
      </c>
      <c r="G187" s="367">
        <f t="shared" si="70"/>
        <v>0</v>
      </c>
      <c r="H187" s="46"/>
      <c r="I187" s="46"/>
      <c r="J187" s="46"/>
      <c r="K187" s="46"/>
      <c r="L187" s="46"/>
      <c r="M187" s="46"/>
      <c r="N187" s="46"/>
      <c r="O187" s="46"/>
      <c r="P187" s="46"/>
      <c r="Q187" s="46"/>
      <c r="R187" s="46"/>
      <c r="W187" s="120"/>
      <c r="Y187" s="240" t="s">
        <v>264</v>
      </c>
      <c r="Z187" s="7"/>
      <c r="AA187" s="493">
        <v>0.05</v>
      </c>
      <c r="AB187" s="493">
        <v>7.0000000000000007E-2</v>
      </c>
      <c r="AC187" s="497"/>
      <c r="AD187" s="243"/>
      <c r="AM187" s="243"/>
      <c r="AN187" s="243"/>
      <c r="AO187" s="243"/>
      <c r="AP187" s="243"/>
      <c r="AQ187" s="243"/>
      <c r="AR187" s="243"/>
      <c r="AS187" s="243"/>
      <c r="AV187" s="243"/>
      <c r="AW187" s="243"/>
    </row>
    <row r="188" spans="2:58" s="11" customFormat="1" ht="15" customHeight="1" outlineLevel="1">
      <c r="E188" s="46"/>
      <c r="F188" s="46"/>
      <c r="G188" s="46"/>
      <c r="H188" s="46"/>
      <c r="I188" s="46"/>
      <c r="J188" s="46"/>
      <c r="K188" s="46"/>
      <c r="L188" s="46"/>
      <c r="M188" s="46"/>
      <c r="N188" s="46"/>
      <c r="O188" s="46"/>
      <c r="P188" s="46"/>
      <c r="Q188" s="46"/>
      <c r="R188" s="46"/>
      <c r="W188" s="120"/>
      <c r="Y188" s="274"/>
      <c r="AM188" s="243"/>
      <c r="AN188" s="243"/>
      <c r="AO188" s="243"/>
      <c r="AP188" s="243"/>
      <c r="AQ188" s="243"/>
      <c r="AR188" s="243"/>
      <c r="AS188" s="243"/>
      <c r="AV188" s="243"/>
      <c r="AW188" s="243"/>
    </row>
    <row r="189" spans="2:58" s="11" customFormat="1" ht="23" customHeight="1">
      <c r="C189" s="547" t="s">
        <v>265</v>
      </c>
      <c r="D189" s="490"/>
      <c r="E189" s="490"/>
      <c r="F189" s="490"/>
      <c r="G189" s="527"/>
      <c r="H189" s="527"/>
      <c r="I189" s="527"/>
      <c r="J189" s="527"/>
      <c r="K189" s="527"/>
      <c r="L189" s="527"/>
      <c r="M189" s="527"/>
      <c r="N189" s="527"/>
      <c r="O189" s="527"/>
      <c r="P189" s="527"/>
      <c r="Q189" s="527"/>
      <c r="R189" s="527"/>
      <c r="S189" s="490"/>
      <c r="T189" s="490"/>
      <c r="U189" s="490"/>
      <c r="V189" s="490"/>
      <c r="W189" s="490"/>
      <c r="X189" s="490"/>
      <c r="Y189" s="490"/>
      <c r="Z189" s="490"/>
      <c r="AA189" s="490"/>
      <c r="AB189" s="490"/>
      <c r="AC189" s="490"/>
      <c r="AD189" s="490"/>
      <c r="AE189" s="490"/>
      <c r="AF189" s="490"/>
      <c r="AG189" s="490"/>
      <c r="AH189" s="490"/>
      <c r="AI189" s="490"/>
      <c r="AJ189" s="490"/>
      <c r="AK189" s="490"/>
      <c r="AL189" s="490"/>
      <c r="AM189" s="490"/>
      <c r="AN189" s="490"/>
      <c r="AO189" s="490"/>
      <c r="AP189" s="490"/>
      <c r="AQ189" s="490"/>
      <c r="AR189" s="490"/>
      <c r="AS189" s="490"/>
      <c r="AT189" s="490"/>
      <c r="AU189" s="490"/>
      <c r="AV189" s="490"/>
      <c r="AW189" s="490"/>
      <c r="AX189" s="530"/>
      <c r="AY189" s="530"/>
      <c r="AZ189" s="530"/>
      <c r="BA189" s="530"/>
      <c r="BB189" s="530"/>
      <c r="BC189" s="530"/>
      <c r="BD189" s="530"/>
      <c r="BE189" s="530"/>
      <c r="BF189" s="530"/>
    </row>
    <row r="190" spans="2:58" s="11" customFormat="1" ht="15" customHeight="1" outlineLevel="1">
      <c r="C190" s="6"/>
      <c r="D190" s="7"/>
      <c r="F190" s="105"/>
      <c r="G190" s="46"/>
      <c r="H190" s="46"/>
      <c r="I190" s="46"/>
      <c r="J190" s="46"/>
      <c r="K190" s="46"/>
      <c r="L190" s="46"/>
      <c r="M190" s="46"/>
      <c r="N190" s="46"/>
      <c r="O190" s="46"/>
      <c r="P190" s="46"/>
      <c r="Q190" s="46"/>
      <c r="R190" s="46"/>
    </row>
    <row r="191" spans="2:58" s="11" customFormat="1" ht="15" customHeight="1" outlineLevel="1">
      <c r="C191" s="6" t="s">
        <v>266</v>
      </c>
      <c r="D191" s="7"/>
      <c r="E191" s="531">
        <v>1</v>
      </c>
      <c r="F191" s="105"/>
      <c r="G191" s="46"/>
      <c r="H191" s="46"/>
      <c r="I191" s="46"/>
      <c r="J191" s="46"/>
      <c r="K191" s="46"/>
      <c r="L191" s="46"/>
      <c r="M191" s="46"/>
      <c r="N191" s="46"/>
      <c r="O191" s="46"/>
      <c r="P191" s="46"/>
      <c r="Q191" s="46"/>
      <c r="R191" s="46"/>
    </row>
    <row r="192" spans="2:58" s="11" customFormat="1" ht="15" customHeight="1">
      <c r="C192" s="102"/>
      <c r="D192" s="7"/>
      <c r="E192" s="104"/>
      <c r="F192" s="105"/>
      <c r="G192" s="46"/>
      <c r="H192" s="46"/>
      <c r="I192" s="46"/>
      <c r="J192" s="46"/>
      <c r="K192" s="46"/>
      <c r="L192" s="46"/>
      <c r="M192" s="46"/>
      <c r="N192" s="46"/>
      <c r="O192" s="46"/>
      <c r="P192" s="46"/>
      <c r="Q192" s="46"/>
      <c r="R192" s="46"/>
    </row>
    <row r="193" spans="2:16383" s="11" customFormat="1" ht="23" customHeight="1">
      <c r="C193" s="547" t="s">
        <v>267</v>
      </c>
      <c r="D193" s="490"/>
      <c r="E193" s="490"/>
      <c r="F193" s="490"/>
      <c r="G193" s="527"/>
      <c r="H193" s="527"/>
      <c r="I193" s="527"/>
      <c r="J193" s="527"/>
      <c r="K193" s="527"/>
      <c r="L193" s="527"/>
      <c r="M193" s="527"/>
      <c r="N193" s="527"/>
      <c r="O193" s="527"/>
      <c r="P193" s="527"/>
      <c r="Q193" s="527"/>
      <c r="R193" s="527"/>
      <c r="S193" s="490"/>
      <c r="T193" s="490"/>
      <c r="U193" s="530"/>
      <c r="V193" s="530"/>
      <c r="W193" s="530"/>
      <c r="X193" s="530"/>
      <c r="Y193" s="530"/>
      <c r="Z193" s="530"/>
      <c r="AA193" s="530"/>
      <c r="AB193" s="530"/>
      <c r="AC193" s="530"/>
      <c r="AD193" s="530"/>
      <c r="AE193" s="530"/>
      <c r="AF193" s="530"/>
      <c r="AG193" s="530"/>
      <c r="AH193" s="530"/>
      <c r="AI193" s="530"/>
      <c r="AJ193" s="530"/>
      <c r="AK193" s="530"/>
      <c r="AL193" s="530"/>
      <c r="AM193" s="530"/>
      <c r="AN193" s="530"/>
      <c r="AO193" s="530"/>
      <c r="AP193" s="530"/>
      <c r="AQ193" s="530"/>
      <c r="AR193" s="530"/>
      <c r="AS193" s="530"/>
      <c r="AT193" s="530"/>
      <c r="AU193" s="530"/>
      <c r="AV193" s="530"/>
      <c r="AW193" s="530"/>
      <c r="AX193" s="530"/>
      <c r="AY193" s="530"/>
      <c r="AZ193" s="530"/>
      <c r="BA193" s="530"/>
      <c r="BB193" s="530"/>
      <c r="BC193" s="530"/>
      <c r="BD193" s="530"/>
      <c r="BE193" s="530"/>
      <c r="BF193" s="530"/>
    </row>
    <row r="194" spans="2:16383" s="11" customFormat="1" ht="15" customHeight="1" outlineLevel="1">
      <c r="C194" s="102"/>
      <c r="D194" s="7"/>
      <c r="E194" s="104"/>
      <c r="F194" s="105"/>
      <c r="G194" s="46"/>
      <c r="H194" s="46"/>
      <c r="I194" s="46"/>
      <c r="J194" s="46"/>
      <c r="K194" s="46"/>
      <c r="L194" s="46"/>
      <c r="M194" s="46"/>
      <c r="N194" s="46"/>
      <c r="O194" s="46"/>
      <c r="P194" s="46"/>
      <c r="Q194" s="46"/>
      <c r="R194" s="46"/>
    </row>
    <row r="195" spans="2:16383" s="11" customFormat="1" ht="15" customHeight="1" outlineLevel="1">
      <c r="C195" s="177" t="s">
        <v>268</v>
      </c>
      <c r="D195" s="180" t="s">
        <v>30</v>
      </c>
      <c r="E195" s="499">
        <v>0.5</v>
      </c>
      <c r="G195" s="46"/>
      <c r="H195" s="46"/>
      <c r="I195" s="46"/>
      <c r="J195" s="46"/>
      <c r="K195" s="46"/>
      <c r="L195" s="46"/>
      <c r="M195" s="46"/>
      <c r="N195" s="46"/>
      <c r="O195" s="46"/>
      <c r="P195" s="46"/>
      <c r="Q195" s="46"/>
      <c r="R195" s="46"/>
    </row>
    <row r="196" spans="2:16383" s="11" customFormat="1" ht="15" customHeight="1" outlineLevel="1">
      <c r="C196" s="260" t="s">
        <v>269</v>
      </c>
      <c r="D196" s="120" t="s">
        <v>30</v>
      </c>
      <c r="E196" s="499">
        <v>0</v>
      </c>
      <c r="G196" s="46"/>
      <c r="H196" s="46"/>
      <c r="I196" s="46"/>
      <c r="J196" s="46"/>
      <c r="K196" s="46"/>
      <c r="L196" s="46"/>
      <c r="M196" s="46"/>
      <c r="N196" s="46"/>
      <c r="O196" s="46"/>
      <c r="P196" s="46"/>
      <c r="Q196" s="46"/>
      <c r="R196" s="46"/>
    </row>
    <row r="197" spans="2:16383" s="11" customFormat="1" ht="15" customHeight="1" outlineLevel="1">
      <c r="C197" s="260" t="s">
        <v>270</v>
      </c>
      <c r="D197" s="120" t="s">
        <v>42</v>
      </c>
      <c r="E197" s="495">
        <v>5</v>
      </c>
      <c r="G197" s="46"/>
      <c r="H197" s="46"/>
      <c r="I197" s="46"/>
      <c r="J197" s="46"/>
      <c r="K197" s="46"/>
      <c r="L197" s="46"/>
      <c r="M197" s="46"/>
      <c r="N197" s="46"/>
      <c r="O197" s="46"/>
      <c r="P197" s="46"/>
      <c r="Q197" s="46"/>
      <c r="R197" s="46"/>
    </row>
    <row r="198" spans="2:16383" s="11" customFormat="1" ht="15" customHeight="1" outlineLevel="1">
      <c r="C198" s="260" t="s">
        <v>271</v>
      </c>
      <c r="D198" s="120" t="s">
        <v>30</v>
      </c>
      <c r="E198" s="494">
        <v>0.06</v>
      </c>
      <c r="G198" s="46"/>
      <c r="H198" s="436"/>
      <c r="I198" s="437"/>
      <c r="J198" s="436"/>
      <c r="K198" s="436"/>
      <c r="L198" s="436"/>
      <c r="M198" s="436"/>
      <c r="N198" s="436"/>
      <c r="O198" s="436"/>
      <c r="P198" s="436"/>
      <c r="Q198" s="436"/>
      <c r="R198" s="46"/>
    </row>
    <row r="199" spans="2:16383" s="11" customFormat="1" ht="15" customHeight="1" outlineLevel="1">
      <c r="C199" s="260" t="s">
        <v>272</v>
      </c>
      <c r="D199" s="120" t="s">
        <v>30</v>
      </c>
      <c r="E199" s="494">
        <v>0.04</v>
      </c>
      <c r="F199" s="105"/>
      <c r="G199" s="46"/>
      <c r="H199" s="369"/>
      <c r="I199" s="46"/>
      <c r="J199" s="46"/>
      <c r="K199" s="46"/>
      <c r="L199" s="46"/>
      <c r="M199" s="46"/>
      <c r="N199" s="46"/>
      <c r="O199" s="46"/>
      <c r="P199" s="46"/>
      <c r="Q199" s="46"/>
      <c r="R199" s="46"/>
    </row>
    <row r="200" spans="2:16383" s="11" customFormat="1" ht="15" customHeight="1" outlineLevel="1">
      <c r="C200" s="260" t="s">
        <v>273</v>
      </c>
      <c r="D200" s="120" t="s">
        <v>30</v>
      </c>
      <c r="E200" s="494">
        <v>0.08</v>
      </c>
      <c r="G200" s="46"/>
      <c r="H200" s="369"/>
      <c r="I200" s="46"/>
      <c r="J200" s="46"/>
      <c r="K200" s="46"/>
      <c r="L200" s="46"/>
      <c r="M200" s="46"/>
      <c r="N200" s="46"/>
      <c r="O200" s="46"/>
      <c r="P200" s="46"/>
      <c r="Q200" s="46"/>
      <c r="R200" s="46"/>
    </row>
    <row r="201" spans="2:16383" s="11" customFormat="1" ht="15" customHeight="1" outlineLevel="1">
      <c r="C201" s="260" t="s">
        <v>274</v>
      </c>
      <c r="D201" s="120" t="s">
        <v>30</v>
      </c>
      <c r="E201" s="494">
        <v>0.1</v>
      </c>
      <c r="G201" s="46"/>
      <c r="H201" s="46"/>
      <c r="I201" s="46"/>
      <c r="J201" s="46"/>
      <c r="K201" s="46"/>
      <c r="L201" s="46"/>
      <c r="M201" s="46"/>
      <c r="N201" s="46"/>
      <c r="O201" s="46"/>
      <c r="P201" s="46"/>
      <c r="Q201" s="46"/>
      <c r="R201" s="46"/>
    </row>
    <row r="202" spans="2:16383" s="11" customFormat="1" ht="15" customHeight="1" outlineLevel="1">
      <c r="C202" s="15" t="s">
        <v>275</v>
      </c>
      <c r="D202" s="122" t="s">
        <v>30</v>
      </c>
      <c r="E202" s="494">
        <v>0.02</v>
      </c>
      <c r="G202" s="46"/>
      <c r="H202" s="46"/>
      <c r="I202" s="46"/>
      <c r="J202" s="46"/>
      <c r="K202" s="46"/>
      <c r="L202" s="46"/>
      <c r="M202" s="46"/>
      <c r="N202" s="46"/>
      <c r="O202" s="46"/>
      <c r="P202" s="46"/>
      <c r="Q202" s="46"/>
      <c r="R202" s="46"/>
    </row>
    <row r="203" spans="2:16383" s="11" customFormat="1" ht="15" customHeight="1" outlineLevel="1">
      <c r="E203" s="179"/>
      <c r="G203" s="46"/>
      <c r="H203" s="46"/>
      <c r="I203" s="46"/>
      <c r="J203" s="46"/>
      <c r="K203" s="46"/>
      <c r="L203" s="46"/>
      <c r="M203" s="46"/>
      <c r="N203" s="369"/>
      <c r="O203" s="46"/>
      <c r="P203" s="46"/>
      <c r="Q203" s="46"/>
      <c r="R203" s="46"/>
    </row>
    <row r="204" spans="2:16383" s="11" customFormat="1" ht="23" customHeight="1">
      <c r="B204" s="17"/>
      <c r="C204" s="547" t="s">
        <v>276</v>
      </c>
      <c r="D204" s="490"/>
      <c r="E204" s="490"/>
      <c r="F204" s="545"/>
      <c r="G204" s="545"/>
      <c r="H204" s="545"/>
      <c r="I204" s="545"/>
      <c r="J204" s="545"/>
      <c r="K204" s="545"/>
      <c r="L204" s="545"/>
      <c r="M204" s="545"/>
      <c r="N204" s="545"/>
      <c r="O204" s="545"/>
      <c r="P204" s="545"/>
      <c r="Q204" s="545"/>
      <c r="R204" s="545"/>
      <c r="S204" s="545"/>
      <c r="T204" s="545"/>
      <c r="U204" s="545"/>
      <c r="V204" s="545"/>
      <c r="W204" s="545"/>
      <c r="X204" s="545"/>
      <c r="Y204" s="545"/>
      <c r="Z204" s="545"/>
      <c r="AA204" s="545"/>
      <c r="AB204" s="545"/>
      <c r="AC204" s="545"/>
      <c r="AD204" s="545"/>
      <c r="AE204" s="545"/>
      <c r="AF204" s="545"/>
      <c r="AG204" s="545"/>
      <c r="AH204" s="545"/>
      <c r="AI204" s="545"/>
      <c r="AJ204" s="545"/>
      <c r="AK204" s="545"/>
      <c r="AL204" s="545"/>
      <c r="AM204" s="545"/>
      <c r="AN204" s="545"/>
      <c r="AO204" s="545"/>
      <c r="AP204" s="545"/>
      <c r="AQ204" s="545"/>
      <c r="AR204" s="545"/>
      <c r="AS204" s="545"/>
      <c r="AT204" s="545"/>
      <c r="AU204" s="545"/>
      <c r="AV204" s="545"/>
      <c r="AW204" s="545"/>
      <c r="AX204" s="545"/>
      <c r="AY204" s="545"/>
      <c r="AZ204" s="545"/>
      <c r="BA204" s="545"/>
      <c r="BB204" s="545"/>
      <c r="BC204" s="545"/>
      <c r="BD204" s="530"/>
      <c r="BE204" s="530"/>
      <c r="BF204" s="530"/>
    </row>
    <row r="205" spans="2:16383" s="11" customFormat="1" ht="12.5">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c r="CW205" s="17"/>
      <c r="CX205" s="17"/>
      <c r="CY205" s="17"/>
      <c r="CZ205" s="17"/>
      <c r="DA205" s="17"/>
      <c r="DB205" s="17"/>
      <c r="DC205" s="17"/>
      <c r="DD205" s="17"/>
      <c r="DE205" s="17"/>
      <c r="DF205" s="17"/>
      <c r="DG205" s="17"/>
      <c r="DH205" s="17"/>
      <c r="DI205" s="17"/>
      <c r="DJ205" s="17"/>
      <c r="DK205" s="17"/>
      <c r="DL205" s="17"/>
      <c r="DM205" s="17"/>
      <c r="DN205" s="17"/>
      <c r="DO205" s="17"/>
      <c r="DP205" s="17"/>
      <c r="DQ205" s="17"/>
      <c r="DR205" s="17"/>
      <c r="DS205" s="17"/>
      <c r="DT205" s="17"/>
      <c r="DU205" s="17"/>
      <c r="DV205" s="17"/>
      <c r="DW205" s="17"/>
      <c r="DX205" s="17"/>
      <c r="DY205" s="17"/>
      <c r="DZ205" s="17"/>
      <c r="EA205" s="17"/>
      <c r="EB205" s="17"/>
      <c r="EC205" s="17"/>
      <c r="ED205" s="17"/>
      <c r="EE205" s="17"/>
      <c r="EF205" s="17"/>
      <c r="EG205" s="17"/>
      <c r="EH205" s="17"/>
      <c r="EI205" s="17"/>
      <c r="EJ205" s="17"/>
      <c r="EK205" s="17"/>
      <c r="EL205" s="17"/>
      <c r="EM205" s="17"/>
      <c r="EN205" s="17"/>
      <c r="EO205" s="17"/>
      <c r="EP205" s="17"/>
      <c r="EQ205" s="17"/>
      <c r="ER205" s="17"/>
      <c r="ES205" s="17"/>
      <c r="ET205" s="17"/>
      <c r="EU205" s="17"/>
      <c r="EV205" s="17"/>
      <c r="EW205" s="17"/>
      <c r="EX205" s="17"/>
      <c r="EY205" s="17"/>
      <c r="EZ205" s="17"/>
      <c r="FA205" s="17"/>
      <c r="FB205" s="17"/>
      <c r="FC205" s="17"/>
      <c r="FD205" s="17"/>
      <c r="FE205" s="17"/>
      <c r="FF205" s="17"/>
      <c r="FG205" s="17"/>
      <c r="FH205" s="17"/>
      <c r="FI205" s="17"/>
      <c r="FJ205" s="17"/>
      <c r="FK205" s="17"/>
      <c r="FL205" s="17"/>
      <c r="FM205" s="17"/>
      <c r="FN205" s="17"/>
      <c r="FO205" s="17"/>
      <c r="FP205" s="17"/>
      <c r="FQ205" s="17"/>
      <c r="FR205" s="17"/>
      <c r="FS205" s="17"/>
      <c r="FT205" s="17"/>
      <c r="FU205" s="17"/>
      <c r="FV205" s="17"/>
      <c r="FW205" s="17"/>
      <c r="FX205" s="17"/>
      <c r="FY205" s="17"/>
      <c r="FZ205" s="17"/>
      <c r="GA205" s="17"/>
      <c r="GB205" s="17"/>
      <c r="GC205" s="17"/>
      <c r="GD205" s="17"/>
      <c r="GE205" s="17"/>
      <c r="GF205" s="17"/>
      <c r="GG205" s="17"/>
      <c r="GH205" s="17"/>
      <c r="GI205" s="17"/>
      <c r="GJ205" s="17"/>
      <c r="GK205" s="17"/>
      <c r="GL205" s="17"/>
      <c r="GM205" s="17"/>
      <c r="GN205" s="17"/>
      <c r="GO205" s="17"/>
      <c r="GP205" s="17"/>
      <c r="GQ205" s="17"/>
      <c r="GR205" s="17"/>
      <c r="GS205" s="17"/>
      <c r="GT205" s="17"/>
      <c r="GU205" s="17"/>
      <c r="GV205" s="17"/>
      <c r="GW205" s="17"/>
      <c r="GX205" s="17"/>
      <c r="GY205" s="17"/>
      <c r="GZ205" s="17"/>
      <c r="HA205" s="17"/>
      <c r="HB205" s="17"/>
      <c r="HC205" s="17"/>
      <c r="HD205" s="17"/>
      <c r="HE205" s="17"/>
      <c r="HF205" s="17"/>
      <c r="HG205" s="17"/>
      <c r="HH205" s="17"/>
      <c r="HI205" s="17"/>
      <c r="HJ205" s="17"/>
      <c r="HK205" s="17"/>
      <c r="HL205" s="17"/>
      <c r="HM205" s="17"/>
      <c r="HN205" s="17"/>
      <c r="HO205" s="17"/>
      <c r="HP205" s="17"/>
      <c r="HQ205" s="17"/>
      <c r="HR205" s="17"/>
      <c r="HS205" s="17"/>
      <c r="HT205" s="17"/>
      <c r="HU205" s="17"/>
      <c r="HV205" s="17"/>
      <c r="HW205" s="17"/>
      <c r="HX205" s="17"/>
      <c r="HY205" s="17"/>
      <c r="HZ205" s="17"/>
      <c r="IA205" s="17"/>
      <c r="IB205" s="17"/>
      <c r="IC205" s="17"/>
      <c r="ID205" s="17"/>
      <c r="IE205" s="17"/>
      <c r="IF205" s="17"/>
      <c r="IG205" s="17"/>
      <c r="IH205" s="17"/>
      <c r="II205" s="17"/>
      <c r="IJ205" s="17"/>
      <c r="IK205" s="17"/>
      <c r="IL205" s="17"/>
      <c r="IM205" s="17"/>
      <c r="IN205" s="17"/>
      <c r="IO205" s="17"/>
      <c r="IP205" s="17"/>
      <c r="IQ205" s="17"/>
      <c r="IR205" s="17"/>
      <c r="IS205" s="17"/>
      <c r="IT205" s="17"/>
      <c r="IU205" s="17"/>
      <c r="IV205" s="17"/>
      <c r="IW205" s="17"/>
      <c r="IX205" s="17"/>
      <c r="IY205" s="17"/>
      <c r="IZ205" s="17"/>
      <c r="JA205" s="17"/>
      <c r="JB205" s="17"/>
      <c r="JC205" s="17"/>
      <c r="JD205" s="17"/>
      <c r="JE205" s="17"/>
      <c r="JF205" s="17"/>
      <c r="JG205" s="17"/>
      <c r="JH205" s="17"/>
      <c r="JI205" s="17"/>
      <c r="JJ205" s="17"/>
      <c r="JK205" s="17"/>
      <c r="JL205" s="17"/>
      <c r="JM205" s="17"/>
      <c r="JN205" s="17"/>
      <c r="JO205" s="17"/>
      <c r="JP205" s="17"/>
      <c r="JQ205" s="17"/>
      <c r="JR205" s="17"/>
      <c r="JS205" s="17"/>
      <c r="JT205" s="17"/>
      <c r="JU205" s="17"/>
      <c r="JV205" s="17"/>
      <c r="JW205" s="17"/>
      <c r="JX205" s="17"/>
      <c r="JY205" s="17"/>
      <c r="JZ205" s="17"/>
      <c r="KA205" s="17"/>
      <c r="KB205" s="17"/>
      <c r="KC205" s="17"/>
      <c r="KD205" s="17"/>
      <c r="KE205" s="17"/>
      <c r="KF205" s="17"/>
      <c r="KG205" s="17"/>
      <c r="KH205" s="17"/>
      <c r="KI205" s="17"/>
      <c r="KJ205" s="17"/>
      <c r="KK205" s="17"/>
      <c r="KL205" s="17"/>
      <c r="KM205" s="17"/>
      <c r="KN205" s="17"/>
      <c r="KO205" s="17"/>
      <c r="KP205" s="17"/>
      <c r="KQ205" s="17"/>
      <c r="KR205" s="17"/>
      <c r="KS205" s="17"/>
      <c r="KT205" s="17"/>
      <c r="KU205" s="17"/>
      <c r="KV205" s="17"/>
      <c r="KW205" s="17"/>
      <c r="KX205" s="17"/>
      <c r="KY205" s="17"/>
      <c r="KZ205" s="17"/>
      <c r="LA205" s="17"/>
      <c r="LB205" s="17"/>
      <c r="LC205" s="17"/>
      <c r="LD205" s="17"/>
      <c r="LE205" s="17"/>
      <c r="LF205" s="17"/>
      <c r="LG205" s="17"/>
      <c r="LH205" s="17"/>
      <c r="LI205" s="17"/>
      <c r="LJ205" s="17"/>
      <c r="LK205" s="17"/>
      <c r="LL205" s="17"/>
      <c r="LM205" s="17"/>
      <c r="LN205" s="17"/>
      <c r="LO205" s="17"/>
      <c r="LP205" s="17"/>
      <c r="LQ205" s="17"/>
      <c r="LR205" s="17"/>
      <c r="LS205" s="17"/>
      <c r="LT205" s="17"/>
      <c r="LU205" s="17"/>
      <c r="LV205" s="17"/>
      <c r="LW205" s="17"/>
      <c r="LX205" s="17"/>
      <c r="LY205" s="17"/>
      <c r="LZ205" s="17"/>
      <c r="MA205" s="17"/>
      <c r="MB205" s="17"/>
      <c r="MC205" s="17"/>
      <c r="MD205" s="17"/>
      <c r="ME205" s="17"/>
      <c r="MF205" s="17"/>
      <c r="MG205" s="17"/>
      <c r="MH205" s="17"/>
      <c r="MI205" s="17"/>
      <c r="MJ205" s="17"/>
      <c r="MK205" s="17"/>
      <c r="ML205" s="17"/>
      <c r="MM205" s="17"/>
      <c r="MN205" s="17"/>
      <c r="MO205" s="17"/>
      <c r="MP205" s="17"/>
      <c r="MQ205" s="17"/>
      <c r="MR205" s="17"/>
      <c r="MS205" s="17"/>
      <c r="MT205" s="17"/>
      <c r="MU205" s="17"/>
      <c r="MV205" s="17"/>
      <c r="MW205" s="17"/>
      <c r="MX205" s="17"/>
      <c r="MY205" s="17"/>
      <c r="MZ205" s="17"/>
      <c r="NA205" s="17"/>
      <c r="NB205" s="17"/>
      <c r="NC205" s="17"/>
      <c r="ND205" s="17"/>
      <c r="NE205" s="17"/>
      <c r="NF205" s="17"/>
      <c r="NG205" s="17"/>
      <c r="NH205" s="17"/>
      <c r="NI205" s="17"/>
      <c r="NJ205" s="17"/>
      <c r="NK205" s="17"/>
      <c r="NL205" s="17"/>
      <c r="NM205" s="17"/>
      <c r="NN205" s="17"/>
      <c r="NO205" s="17"/>
      <c r="NP205" s="17"/>
      <c r="NQ205" s="17"/>
      <c r="NR205" s="17"/>
      <c r="NS205" s="17"/>
      <c r="NT205" s="17"/>
      <c r="NU205" s="17"/>
      <c r="NV205" s="17"/>
      <c r="NW205" s="17"/>
      <c r="NX205" s="17"/>
      <c r="NY205" s="17"/>
      <c r="NZ205" s="17"/>
      <c r="OA205" s="17"/>
      <c r="OB205" s="17"/>
      <c r="OC205" s="17"/>
      <c r="OD205" s="17"/>
      <c r="OE205" s="17"/>
      <c r="OF205" s="17"/>
      <c r="OG205" s="17"/>
      <c r="OH205" s="17"/>
      <c r="OI205" s="17"/>
      <c r="OJ205" s="17"/>
      <c r="OK205" s="17"/>
      <c r="OL205" s="17"/>
      <c r="OM205" s="17"/>
      <c r="ON205" s="17"/>
      <c r="OO205" s="17"/>
      <c r="OP205" s="17"/>
      <c r="OQ205" s="17"/>
      <c r="OR205" s="17"/>
      <c r="OS205" s="17"/>
      <c r="OT205" s="17"/>
      <c r="OU205" s="17"/>
      <c r="OV205" s="17"/>
      <c r="OW205" s="17"/>
      <c r="OX205" s="17"/>
      <c r="OY205" s="17"/>
      <c r="OZ205" s="17"/>
      <c r="PA205" s="17"/>
      <c r="PB205" s="17"/>
      <c r="PC205" s="17"/>
      <c r="PD205" s="17"/>
      <c r="PE205" s="17"/>
      <c r="PF205" s="17"/>
      <c r="PG205" s="17"/>
      <c r="PH205" s="17"/>
      <c r="PI205" s="17"/>
      <c r="PJ205" s="17"/>
      <c r="PK205" s="17"/>
      <c r="PL205" s="17"/>
      <c r="PM205" s="17"/>
      <c r="PN205" s="17"/>
      <c r="PO205" s="17"/>
      <c r="PP205" s="17"/>
      <c r="PQ205" s="17"/>
      <c r="PR205" s="17"/>
      <c r="PS205" s="17"/>
      <c r="PT205" s="17"/>
      <c r="PU205" s="17"/>
      <c r="PV205" s="17"/>
      <c r="PW205" s="17"/>
      <c r="PX205" s="17"/>
      <c r="PY205" s="17"/>
      <c r="PZ205" s="17"/>
      <c r="QA205" s="17"/>
      <c r="QB205" s="17"/>
      <c r="QC205" s="17"/>
      <c r="QD205" s="17"/>
      <c r="QE205" s="17"/>
      <c r="QF205" s="17"/>
      <c r="QG205" s="17"/>
      <c r="QH205" s="17"/>
      <c r="QI205" s="17"/>
      <c r="QJ205" s="17"/>
      <c r="QK205" s="17"/>
      <c r="QL205" s="17"/>
      <c r="QM205" s="17"/>
      <c r="QN205" s="17"/>
      <c r="QO205" s="17"/>
      <c r="QP205" s="17"/>
      <c r="QQ205" s="17"/>
      <c r="QR205" s="17"/>
      <c r="QS205" s="17"/>
      <c r="QT205" s="17"/>
      <c r="QU205" s="17"/>
      <c r="QV205" s="17"/>
      <c r="QW205" s="17"/>
      <c r="QX205" s="17"/>
      <c r="QY205" s="17"/>
      <c r="QZ205" s="17"/>
      <c r="RA205" s="17"/>
      <c r="RB205" s="17"/>
      <c r="RC205" s="17"/>
      <c r="RD205" s="17"/>
      <c r="RE205" s="17"/>
      <c r="RF205" s="17"/>
      <c r="RG205" s="17"/>
      <c r="RH205" s="17"/>
      <c r="RI205" s="17"/>
      <c r="RJ205" s="17"/>
      <c r="RK205" s="17"/>
      <c r="RL205" s="17"/>
      <c r="RM205" s="17"/>
      <c r="RN205" s="17"/>
      <c r="RO205" s="17"/>
      <c r="RP205" s="17"/>
      <c r="RQ205" s="17"/>
      <c r="RR205" s="17"/>
      <c r="RS205" s="17"/>
      <c r="RT205" s="17"/>
      <c r="RU205" s="17"/>
      <c r="RV205" s="17"/>
      <c r="RW205" s="17"/>
      <c r="RX205" s="17"/>
      <c r="RY205" s="17"/>
      <c r="RZ205" s="17"/>
      <c r="SA205" s="17"/>
      <c r="SB205" s="17"/>
      <c r="SC205" s="17"/>
      <c r="SD205" s="17"/>
      <c r="SE205" s="17"/>
      <c r="SF205" s="17"/>
      <c r="SG205" s="17"/>
      <c r="SH205" s="17"/>
      <c r="SI205" s="17"/>
      <c r="SJ205" s="17"/>
      <c r="SK205" s="17"/>
      <c r="SL205" s="17"/>
      <c r="SM205" s="17"/>
      <c r="SN205" s="17"/>
      <c r="SO205" s="17"/>
      <c r="SP205" s="17"/>
      <c r="SQ205" s="17"/>
      <c r="SR205" s="17"/>
      <c r="SS205" s="17"/>
      <c r="ST205" s="17"/>
      <c r="SU205" s="17"/>
      <c r="SV205" s="17"/>
      <c r="SW205" s="17"/>
      <c r="SX205" s="17"/>
      <c r="SY205" s="17"/>
      <c r="SZ205" s="17"/>
      <c r="TA205" s="17"/>
      <c r="TB205" s="17"/>
      <c r="TC205" s="17"/>
      <c r="TD205" s="17"/>
      <c r="TE205" s="17"/>
      <c r="TF205" s="17"/>
      <c r="TG205" s="17"/>
      <c r="TH205" s="17"/>
      <c r="TI205" s="17"/>
      <c r="TJ205" s="17"/>
      <c r="TK205" s="17"/>
      <c r="TL205" s="17"/>
      <c r="TM205" s="17"/>
      <c r="TN205" s="17"/>
      <c r="TO205" s="17"/>
      <c r="TP205" s="17"/>
      <c r="TQ205" s="17"/>
      <c r="TR205" s="17"/>
      <c r="TS205" s="17"/>
      <c r="TT205" s="17"/>
      <c r="TU205" s="17"/>
      <c r="TV205" s="17"/>
      <c r="TW205" s="17"/>
      <c r="TX205" s="17"/>
      <c r="TY205" s="17"/>
      <c r="TZ205" s="17"/>
      <c r="UA205" s="17"/>
      <c r="UB205" s="17"/>
      <c r="UC205" s="17"/>
      <c r="UD205" s="17"/>
      <c r="UE205" s="17"/>
      <c r="UF205" s="17"/>
      <c r="UG205" s="17"/>
      <c r="UH205" s="17"/>
      <c r="UI205" s="17"/>
      <c r="UJ205" s="17"/>
      <c r="UK205" s="17"/>
      <c r="UL205" s="17"/>
      <c r="UM205" s="17"/>
      <c r="UN205" s="17"/>
      <c r="UO205" s="17"/>
      <c r="UP205" s="17"/>
      <c r="UQ205" s="17"/>
      <c r="UR205" s="17"/>
      <c r="US205" s="17"/>
      <c r="UT205" s="17"/>
      <c r="UU205" s="17"/>
      <c r="UV205" s="17"/>
      <c r="UW205" s="17"/>
      <c r="UX205" s="17"/>
      <c r="UY205" s="17"/>
      <c r="UZ205" s="17"/>
      <c r="VA205" s="17"/>
      <c r="VB205" s="17"/>
      <c r="VC205" s="17"/>
      <c r="VD205" s="17"/>
      <c r="VE205" s="17"/>
      <c r="VF205" s="17"/>
      <c r="VG205" s="17"/>
      <c r="VH205" s="17"/>
      <c r="VI205" s="17"/>
      <c r="VJ205" s="17"/>
      <c r="VK205" s="17"/>
      <c r="VL205" s="17"/>
      <c r="VM205" s="17"/>
      <c r="VN205" s="17"/>
      <c r="VO205" s="17"/>
      <c r="VP205" s="17"/>
      <c r="VQ205" s="17"/>
      <c r="VR205" s="17"/>
      <c r="VS205" s="17"/>
      <c r="VT205" s="17"/>
      <c r="VU205" s="17"/>
      <c r="VV205" s="17"/>
      <c r="VW205" s="17"/>
      <c r="VX205" s="17"/>
      <c r="VY205" s="17"/>
      <c r="VZ205" s="17"/>
      <c r="WA205" s="17"/>
      <c r="WB205" s="17"/>
      <c r="WC205" s="17"/>
      <c r="WD205" s="17"/>
      <c r="WE205" s="17"/>
      <c r="WF205" s="17"/>
      <c r="WG205" s="17"/>
      <c r="WH205" s="17"/>
      <c r="WI205" s="17"/>
      <c r="WJ205" s="17"/>
      <c r="WK205" s="17"/>
      <c r="WL205" s="17"/>
      <c r="WM205" s="17"/>
      <c r="WN205" s="17"/>
      <c r="WO205" s="17"/>
      <c r="WP205" s="17"/>
      <c r="WQ205" s="17"/>
      <c r="WR205" s="17"/>
      <c r="WS205" s="17"/>
      <c r="WT205" s="17"/>
      <c r="WU205" s="17"/>
      <c r="WV205" s="17"/>
      <c r="WW205" s="17"/>
      <c r="WX205" s="17"/>
      <c r="WY205" s="17"/>
      <c r="WZ205" s="17"/>
      <c r="XA205" s="17"/>
      <c r="XB205" s="17"/>
      <c r="XC205" s="17"/>
      <c r="XD205" s="17"/>
      <c r="XE205" s="17"/>
      <c r="XF205" s="17"/>
      <c r="XG205" s="17"/>
      <c r="XH205" s="17"/>
      <c r="XI205" s="17"/>
      <c r="XJ205" s="17"/>
      <c r="XK205" s="17"/>
      <c r="XL205" s="17"/>
      <c r="XM205" s="17"/>
      <c r="XN205" s="17"/>
      <c r="XO205" s="17"/>
      <c r="XP205" s="17"/>
      <c r="XQ205" s="17"/>
      <c r="XR205" s="17"/>
      <c r="XS205" s="17"/>
      <c r="XT205" s="17"/>
      <c r="XU205" s="17"/>
      <c r="XV205" s="17"/>
      <c r="XW205" s="17"/>
      <c r="XX205" s="17"/>
      <c r="XY205" s="17"/>
      <c r="XZ205" s="17"/>
      <c r="YA205" s="17"/>
      <c r="YB205" s="17"/>
      <c r="YC205" s="17"/>
      <c r="YD205" s="17"/>
      <c r="YE205" s="17"/>
      <c r="YF205" s="17"/>
      <c r="YG205" s="17"/>
      <c r="YH205" s="17"/>
      <c r="YI205" s="17"/>
      <c r="YJ205" s="17"/>
      <c r="YK205" s="17"/>
      <c r="YL205" s="17"/>
      <c r="YM205" s="17"/>
      <c r="YN205" s="17"/>
      <c r="YO205" s="17"/>
      <c r="YP205" s="17"/>
      <c r="YQ205" s="17"/>
      <c r="YR205" s="17"/>
      <c r="YS205" s="17"/>
      <c r="YT205" s="17"/>
      <c r="YU205" s="17"/>
      <c r="YV205" s="17"/>
      <c r="YW205" s="17"/>
      <c r="YX205" s="17"/>
      <c r="YY205" s="17"/>
      <c r="YZ205" s="17"/>
      <c r="ZA205" s="17"/>
      <c r="ZB205" s="17"/>
      <c r="ZC205" s="17"/>
      <c r="ZD205" s="17"/>
      <c r="ZE205" s="17"/>
      <c r="ZF205" s="17"/>
      <c r="ZG205" s="17"/>
      <c r="ZH205" s="17"/>
      <c r="ZI205" s="17"/>
      <c r="ZJ205" s="17"/>
      <c r="ZK205" s="17"/>
      <c r="ZL205" s="17"/>
      <c r="ZM205" s="17"/>
      <c r="ZN205" s="17"/>
      <c r="ZO205" s="17"/>
      <c r="ZP205" s="17"/>
      <c r="ZQ205" s="17"/>
      <c r="ZR205" s="17"/>
      <c r="ZS205" s="17"/>
      <c r="ZT205" s="17"/>
      <c r="ZU205" s="17"/>
      <c r="ZV205" s="17"/>
      <c r="ZW205" s="17"/>
      <c r="ZX205" s="17"/>
      <c r="ZY205" s="17"/>
      <c r="ZZ205" s="17"/>
      <c r="AAA205" s="17"/>
      <c r="AAB205" s="17"/>
      <c r="AAC205" s="17"/>
      <c r="AAD205" s="17"/>
      <c r="AAE205" s="17"/>
      <c r="AAF205" s="17"/>
      <c r="AAG205" s="17"/>
      <c r="AAH205" s="17"/>
      <c r="AAI205" s="17"/>
      <c r="AAJ205" s="17"/>
      <c r="AAK205" s="17"/>
      <c r="AAL205" s="17"/>
      <c r="AAM205" s="17"/>
      <c r="AAN205" s="17"/>
      <c r="AAO205" s="17"/>
      <c r="AAP205" s="17"/>
      <c r="AAQ205" s="17"/>
      <c r="AAR205" s="17"/>
      <c r="AAS205" s="17"/>
      <c r="AAT205" s="17"/>
      <c r="AAU205" s="17"/>
      <c r="AAV205" s="17"/>
      <c r="AAW205" s="17"/>
      <c r="AAX205" s="17"/>
      <c r="AAY205" s="17"/>
      <c r="AAZ205" s="17"/>
      <c r="ABA205" s="17"/>
      <c r="ABB205" s="17"/>
      <c r="ABC205" s="17"/>
      <c r="ABD205" s="17"/>
      <c r="ABE205" s="17"/>
      <c r="ABF205" s="17"/>
      <c r="ABG205" s="17"/>
      <c r="ABH205" s="17"/>
      <c r="ABI205" s="17"/>
      <c r="ABJ205" s="17"/>
      <c r="ABK205" s="17"/>
      <c r="ABL205" s="17"/>
      <c r="ABM205" s="17"/>
      <c r="ABN205" s="17"/>
      <c r="ABO205" s="17"/>
      <c r="ABP205" s="17"/>
      <c r="ABQ205" s="17"/>
      <c r="ABR205" s="17"/>
      <c r="ABS205" s="17"/>
      <c r="ABT205" s="17"/>
      <c r="ABU205" s="17"/>
      <c r="ABV205" s="17"/>
      <c r="ABW205" s="17"/>
      <c r="ABX205" s="17"/>
      <c r="ABY205" s="17"/>
      <c r="ABZ205" s="17"/>
      <c r="ACA205" s="17"/>
      <c r="ACB205" s="17"/>
      <c r="ACC205" s="17"/>
      <c r="ACD205" s="17"/>
      <c r="ACE205" s="17"/>
      <c r="ACF205" s="17"/>
      <c r="ACG205" s="17"/>
      <c r="ACH205" s="17"/>
      <c r="ACI205" s="17"/>
      <c r="ACJ205" s="17"/>
      <c r="ACK205" s="17"/>
      <c r="ACL205" s="17"/>
      <c r="ACM205" s="17"/>
      <c r="ACN205" s="17"/>
      <c r="ACO205" s="17"/>
      <c r="ACP205" s="17"/>
      <c r="ACQ205" s="17"/>
      <c r="ACR205" s="17"/>
      <c r="ACS205" s="17"/>
      <c r="ACT205" s="17"/>
      <c r="ACU205" s="17"/>
      <c r="ACV205" s="17"/>
      <c r="ACW205" s="17"/>
      <c r="ACX205" s="17"/>
      <c r="ACY205" s="17"/>
      <c r="ACZ205" s="17"/>
      <c r="ADA205" s="17"/>
      <c r="ADB205" s="17"/>
      <c r="ADC205" s="17"/>
      <c r="ADD205" s="17"/>
      <c r="ADE205" s="17"/>
      <c r="ADF205" s="17"/>
      <c r="ADG205" s="17"/>
      <c r="ADH205" s="17"/>
      <c r="ADI205" s="17"/>
      <c r="ADJ205" s="17"/>
      <c r="ADK205" s="17"/>
      <c r="ADL205" s="17"/>
      <c r="ADM205" s="17"/>
      <c r="ADN205" s="17"/>
      <c r="ADO205" s="17"/>
      <c r="ADP205" s="17"/>
      <c r="ADQ205" s="17"/>
      <c r="ADR205" s="17"/>
      <c r="ADS205" s="17"/>
      <c r="ADT205" s="17"/>
      <c r="ADU205" s="17"/>
      <c r="ADV205" s="17"/>
      <c r="ADW205" s="17"/>
      <c r="ADX205" s="17"/>
      <c r="ADY205" s="17"/>
      <c r="ADZ205" s="17"/>
      <c r="AEA205" s="17"/>
      <c r="AEB205" s="17"/>
      <c r="AEC205" s="17"/>
      <c r="AED205" s="17"/>
      <c r="AEE205" s="17"/>
      <c r="AEF205" s="17"/>
      <c r="AEG205" s="17"/>
      <c r="AEH205" s="17"/>
      <c r="AEI205" s="17"/>
      <c r="AEJ205" s="17"/>
      <c r="AEK205" s="17"/>
      <c r="AEL205" s="17"/>
      <c r="AEM205" s="17"/>
      <c r="AEN205" s="17"/>
      <c r="AEO205" s="17"/>
      <c r="AEP205" s="17"/>
      <c r="AEQ205" s="17"/>
      <c r="AER205" s="17"/>
      <c r="AES205" s="17"/>
      <c r="AET205" s="17"/>
      <c r="AEU205" s="17"/>
      <c r="AEV205" s="17"/>
      <c r="AEW205" s="17"/>
      <c r="AEX205" s="17"/>
      <c r="AEY205" s="17"/>
      <c r="AEZ205" s="17"/>
      <c r="AFA205" s="17"/>
      <c r="AFB205" s="17"/>
      <c r="AFC205" s="17"/>
      <c r="AFD205" s="17"/>
      <c r="AFE205" s="17"/>
      <c r="AFF205" s="17"/>
      <c r="AFG205" s="17"/>
      <c r="AFH205" s="17"/>
      <c r="AFI205" s="17"/>
      <c r="AFJ205" s="17"/>
      <c r="AFK205" s="17"/>
      <c r="AFL205" s="17"/>
      <c r="AFM205" s="17"/>
      <c r="AFN205" s="17"/>
      <c r="AFO205" s="17"/>
      <c r="AFP205" s="17"/>
      <c r="AFQ205" s="17"/>
      <c r="AFR205" s="17"/>
      <c r="AFS205" s="17"/>
      <c r="AFT205" s="17"/>
      <c r="AFU205" s="17"/>
      <c r="AFV205" s="17"/>
      <c r="AFW205" s="17"/>
      <c r="AFX205" s="17"/>
      <c r="AFY205" s="17"/>
      <c r="AFZ205" s="17"/>
      <c r="AGA205" s="17"/>
      <c r="AGB205" s="17"/>
      <c r="AGC205" s="17"/>
      <c r="AGD205" s="17"/>
      <c r="AGE205" s="17"/>
      <c r="AGF205" s="17"/>
      <c r="AGG205" s="17"/>
      <c r="AGH205" s="17"/>
      <c r="AGI205" s="17"/>
      <c r="AGJ205" s="17"/>
      <c r="AGK205" s="17"/>
      <c r="AGL205" s="17"/>
      <c r="AGM205" s="17"/>
      <c r="AGN205" s="17"/>
      <c r="AGO205" s="17"/>
      <c r="AGP205" s="17"/>
      <c r="AGQ205" s="17"/>
      <c r="AGR205" s="17"/>
      <c r="AGS205" s="17"/>
      <c r="AGT205" s="17"/>
      <c r="AGU205" s="17"/>
      <c r="AGV205" s="17"/>
      <c r="AGW205" s="17"/>
      <c r="AGX205" s="17"/>
      <c r="AGY205" s="17"/>
      <c r="AGZ205" s="17"/>
      <c r="AHA205" s="17"/>
      <c r="AHB205" s="17"/>
      <c r="AHC205" s="17"/>
      <c r="AHD205" s="17"/>
      <c r="AHE205" s="17"/>
      <c r="AHF205" s="17"/>
      <c r="AHG205" s="17"/>
      <c r="AHH205" s="17"/>
      <c r="AHI205" s="17"/>
      <c r="AHJ205" s="17"/>
      <c r="AHK205" s="17"/>
      <c r="AHL205" s="17"/>
      <c r="AHM205" s="17"/>
      <c r="AHN205" s="17"/>
      <c r="AHO205" s="17"/>
      <c r="AHP205" s="17"/>
      <c r="AHQ205" s="17"/>
      <c r="AHR205" s="17"/>
      <c r="AHS205" s="17"/>
      <c r="AHT205" s="17"/>
      <c r="AHU205" s="17"/>
      <c r="AHV205" s="17"/>
      <c r="AHW205" s="17"/>
      <c r="AHX205" s="17"/>
      <c r="AHY205" s="17"/>
      <c r="AHZ205" s="17"/>
      <c r="AIA205" s="17"/>
      <c r="AIB205" s="17"/>
      <c r="AIC205" s="17"/>
      <c r="AID205" s="17"/>
      <c r="AIE205" s="17"/>
      <c r="AIF205" s="17"/>
      <c r="AIG205" s="17"/>
      <c r="AIH205" s="17"/>
      <c r="AII205" s="17"/>
      <c r="AIJ205" s="17"/>
      <c r="AIK205" s="17"/>
      <c r="AIL205" s="17"/>
      <c r="AIM205" s="17"/>
      <c r="AIN205" s="17"/>
      <c r="AIO205" s="17"/>
      <c r="AIP205" s="17"/>
      <c r="AIQ205" s="17"/>
      <c r="AIR205" s="17"/>
      <c r="AIS205" s="17"/>
      <c r="AIT205" s="17"/>
      <c r="AIU205" s="17"/>
      <c r="AIV205" s="17"/>
      <c r="AIW205" s="17"/>
      <c r="AIX205" s="17"/>
      <c r="AIY205" s="17"/>
      <c r="AIZ205" s="17"/>
      <c r="AJA205" s="17"/>
      <c r="AJB205" s="17"/>
      <c r="AJC205" s="17"/>
      <c r="AJD205" s="17"/>
      <c r="AJE205" s="17"/>
      <c r="AJF205" s="17"/>
      <c r="AJG205" s="17"/>
      <c r="AJH205" s="17"/>
      <c r="AJI205" s="17"/>
      <c r="AJJ205" s="17"/>
      <c r="AJK205" s="17"/>
      <c r="AJL205" s="17"/>
      <c r="AJM205" s="17"/>
      <c r="AJN205" s="17"/>
      <c r="AJO205" s="17"/>
      <c r="AJP205" s="17"/>
      <c r="AJQ205" s="17"/>
      <c r="AJR205" s="17"/>
      <c r="AJS205" s="17"/>
      <c r="AJT205" s="17"/>
      <c r="AJU205" s="17"/>
      <c r="AJV205" s="17"/>
      <c r="AJW205" s="17"/>
      <c r="AJX205" s="17"/>
      <c r="AJY205" s="17"/>
      <c r="AJZ205" s="17"/>
      <c r="AKA205" s="17"/>
      <c r="AKB205" s="17"/>
      <c r="AKC205" s="17"/>
      <c r="AKD205" s="17"/>
      <c r="AKE205" s="17"/>
      <c r="AKF205" s="17"/>
      <c r="AKG205" s="17"/>
      <c r="AKH205" s="17"/>
      <c r="AKI205" s="17"/>
      <c r="AKJ205" s="17"/>
      <c r="AKK205" s="17"/>
      <c r="AKL205" s="17"/>
      <c r="AKM205" s="17"/>
      <c r="AKN205" s="17"/>
      <c r="AKO205" s="17"/>
      <c r="AKP205" s="17"/>
      <c r="AKQ205" s="17"/>
      <c r="AKR205" s="17"/>
      <c r="AKS205" s="17"/>
      <c r="AKT205" s="17"/>
      <c r="AKU205" s="17"/>
      <c r="AKV205" s="17"/>
      <c r="AKW205" s="17"/>
      <c r="AKX205" s="17"/>
      <c r="AKY205" s="17"/>
      <c r="AKZ205" s="17"/>
      <c r="ALA205" s="17"/>
      <c r="ALB205" s="17"/>
      <c r="ALC205" s="17"/>
      <c r="ALD205" s="17"/>
      <c r="ALE205" s="17"/>
      <c r="ALF205" s="17"/>
      <c r="ALG205" s="17"/>
      <c r="ALH205" s="17"/>
      <c r="ALI205" s="17"/>
      <c r="ALJ205" s="17"/>
      <c r="ALK205" s="17"/>
      <c r="ALL205" s="17"/>
      <c r="ALM205" s="17"/>
      <c r="ALN205" s="17"/>
      <c r="ALO205" s="17"/>
      <c r="ALP205" s="17"/>
      <c r="ALQ205" s="17"/>
      <c r="ALR205" s="17"/>
      <c r="ALS205" s="17"/>
      <c r="ALT205" s="17"/>
      <c r="ALU205" s="17"/>
      <c r="ALV205" s="17"/>
      <c r="ALW205" s="17"/>
      <c r="ALX205" s="17"/>
      <c r="ALY205" s="17"/>
      <c r="ALZ205" s="17"/>
      <c r="AMA205" s="17"/>
      <c r="AMB205" s="17"/>
      <c r="AMC205" s="17"/>
      <c r="AMD205" s="17"/>
      <c r="AME205" s="17"/>
      <c r="AMF205" s="17"/>
      <c r="AMG205" s="17"/>
      <c r="AMH205" s="17"/>
      <c r="AMI205" s="17"/>
      <c r="AMJ205" s="17"/>
      <c r="AMK205" s="17"/>
      <c r="AML205" s="17"/>
      <c r="AMM205" s="17"/>
      <c r="AMN205" s="17"/>
      <c r="AMO205" s="17"/>
      <c r="AMP205" s="17"/>
      <c r="AMQ205" s="17"/>
      <c r="AMR205" s="17"/>
      <c r="AMS205" s="17"/>
      <c r="AMT205" s="17"/>
      <c r="AMU205" s="17"/>
      <c r="AMV205" s="17"/>
      <c r="AMW205" s="17"/>
      <c r="AMX205" s="17"/>
      <c r="AMY205" s="17"/>
      <c r="AMZ205" s="17"/>
      <c r="ANA205" s="17"/>
      <c r="ANB205" s="17"/>
      <c r="ANC205" s="17"/>
      <c r="AND205" s="17"/>
      <c r="ANE205" s="17"/>
      <c r="ANF205" s="17"/>
      <c r="ANG205" s="17"/>
      <c r="ANH205" s="17"/>
      <c r="ANI205" s="17"/>
      <c r="ANJ205" s="17"/>
      <c r="ANK205" s="17"/>
      <c r="ANL205" s="17"/>
      <c r="ANM205" s="17"/>
      <c r="ANN205" s="17"/>
      <c r="ANO205" s="17"/>
      <c r="ANP205" s="17"/>
      <c r="ANQ205" s="17"/>
      <c r="ANR205" s="17"/>
      <c r="ANS205" s="17"/>
      <c r="ANT205" s="17"/>
      <c r="ANU205" s="17"/>
      <c r="ANV205" s="17"/>
      <c r="ANW205" s="17"/>
      <c r="ANX205" s="17"/>
      <c r="ANY205" s="17"/>
      <c r="ANZ205" s="17"/>
      <c r="AOA205" s="17"/>
      <c r="AOB205" s="17"/>
      <c r="AOC205" s="17"/>
      <c r="AOD205" s="17"/>
      <c r="AOE205" s="17"/>
      <c r="AOF205" s="17"/>
      <c r="AOG205" s="17"/>
      <c r="AOH205" s="17"/>
      <c r="AOI205" s="17"/>
      <c r="AOJ205" s="17"/>
      <c r="AOK205" s="17"/>
      <c r="AOL205" s="17"/>
      <c r="AOM205" s="17"/>
      <c r="AON205" s="17"/>
      <c r="AOO205" s="17"/>
      <c r="AOP205" s="17"/>
      <c r="AOQ205" s="17"/>
      <c r="AOR205" s="17"/>
      <c r="AOS205" s="17"/>
      <c r="AOT205" s="17"/>
      <c r="AOU205" s="17"/>
      <c r="AOV205" s="17"/>
      <c r="AOW205" s="17"/>
      <c r="AOX205" s="17"/>
      <c r="AOY205" s="17"/>
      <c r="AOZ205" s="17"/>
      <c r="APA205" s="17"/>
      <c r="APB205" s="17"/>
      <c r="APC205" s="17"/>
      <c r="APD205" s="17"/>
      <c r="APE205" s="17"/>
      <c r="APF205" s="17"/>
      <c r="APG205" s="17"/>
      <c r="APH205" s="17"/>
      <c r="API205" s="17"/>
      <c r="APJ205" s="17"/>
      <c r="APK205" s="17"/>
      <c r="APL205" s="17"/>
      <c r="APM205" s="17"/>
      <c r="APN205" s="17"/>
      <c r="APO205" s="17"/>
      <c r="APP205" s="17"/>
      <c r="APQ205" s="17"/>
      <c r="APR205" s="17"/>
      <c r="APS205" s="17"/>
      <c r="APT205" s="17"/>
      <c r="APU205" s="17"/>
      <c r="APV205" s="17"/>
      <c r="APW205" s="17"/>
      <c r="APX205" s="17"/>
      <c r="APY205" s="17"/>
      <c r="APZ205" s="17"/>
      <c r="AQA205" s="17"/>
      <c r="AQB205" s="17"/>
      <c r="AQC205" s="17"/>
      <c r="AQD205" s="17"/>
      <c r="AQE205" s="17"/>
      <c r="AQF205" s="17"/>
      <c r="AQG205" s="17"/>
      <c r="AQH205" s="17"/>
      <c r="AQI205" s="17"/>
      <c r="AQJ205" s="17"/>
      <c r="AQK205" s="17"/>
      <c r="AQL205" s="17"/>
      <c r="AQM205" s="17"/>
      <c r="AQN205" s="17"/>
      <c r="AQO205" s="17"/>
      <c r="AQP205" s="17"/>
      <c r="AQQ205" s="17"/>
      <c r="AQR205" s="17"/>
      <c r="AQS205" s="17"/>
      <c r="AQT205" s="17"/>
      <c r="AQU205" s="17"/>
      <c r="AQV205" s="17"/>
      <c r="AQW205" s="17"/>
      <c r="AQX205" s="17"/>
      <c r="AQY205" s="17"/>
      <c r="AQZ205" s="17"/>
      <c r="ARA205" s="17"/>
      <c r="ARB205" s="17"/>
      <c r="ARC205" s="17"/>
      <c r="ARD205" s="17"/>
      <c r="ARE205" s="17"/>
      <c r="ARF205" s="17"/>
      <c r="ARG205" s="17"/>
      <c r="ARH205" s="17"/>
      <c r="ARI205" s="17"/>
      <c r="ARJ205" s="17"/>
      <c r="ARK205" s="17"/>
      <c r="ARL205" s="17"/>
      <c r="ARM205" s="17"/>
      <c r="ARN205" s="17"/>
      <c r="ARO205" s="17"/>
      <c r="ARP205" s="17"/>
      <c r="ARQ205" s="17"/>
      <c r="ARR205" s="17"/>
      <c r="ARS205" s="17"/>
      <c r="ART205" s="17"/>
      <c r="ARU205" s="17"/>
      <c r="ARV205" s="17"/>
      <c r="ARW205" s="17"/>
      <c r="ARX205" s="17"/>
      <c r="ARY205" s="17"/>
      <c r="ARZ205" s="17"/>
      <c r="ASA205" s="17"/>
      <c r="ASB205" s="17"/>
      <c r="ASC205" s="17"/>
      <c r="ASD205" s="17"/>
      <c r="ASE205" s="17"/>
      <c r="ASF205" s="17"/>
      <c r="ASG205" s="17"/>
      <c r="ASH205" s="17"/>
      <c r="ASI205" s="17"/>
      <c r="ASJ205" s="17"/>
      <c r="ASK205" s="17"/>
      <c r="ASL205" s="17"/>
      <c r="ASM205" s="17"/>
      <c r="ASN205" s="17"/>
      <c r="ASO205" s="17"/>
      <c r="ASP205" s="17"/>
      <c r="ASQ205" s="17"/>
      <c r="ASR205" s="17"/>
      <c r="ASS205" s="17"/>
      <c r="AST205" s="17"/>
      <c r="ASU205" s="17"/>
      <c r="ASV205" s="17"/>
      <c r="ASW205" s="17"/>
      <c r="ASX205" s="17"/>
      <c r="ASY205" s="17"/>
      <c r="ASZ205" s="17"/>
      <c r="ATA205" s="17"/>
      <c r="ATB205" s="17"/>
      <c r="ATC205" s="17"/>
      <c r="ATD205" s="17"/>
      <c r="ATE205" s="17"/>
      <c r="ATF205" s="17"/>
      <c r="ATG205" s="17"/>
      <c r="ATH205" s="17"/>
      <c r="ATI205" s="17"/>
      <c r="ATJ205" s="17"/>
      <c r="ATK205" s="17"/>
      <c r="ATL205" s="17"/>
      <c r="ATM205" s="17"/>
      <c r="ATN205" s="17"/>
      <c r="ATO205" s="17"/>
      <c r="ATP205" s="17"/>
      <c r="ATQ205" s="17"/>
      <c r="ATR205" s="17"/>
      <c r="ATS205" s="17"/>
      <c r="ATT205" s="17"/>
      <c r="ATU205" s="17"/>
      <c r="ATV205" s="17"/>
      <c r="ATW205" s="17"/>
      <c r="ATX205" s="17"/>
      <c r="ATY205" s="17"/>
      <c r="ATZ205" s="17"/>
      <c r="AUA205" s="17"/>
      <c r="AUB205" s="17"/>
      <c r="AUC205" s="17"/>
      <c r="AUD205" s="17"/>
      <c r="AUE205" s="17"/>
      <c r="AUF205" s="17"/>
      <c r="AUG205" s="17"/>
      <c r="AUH205" s="17"/>
      <c r="AUI205" s="17"/>
      <c r="AUJ205" s="17"/>
      <c r="AUK205" s="17"/>
      <c r="AUL205" s="17"/>
      <c r="AUM205" s="17"/>
      <c r="AUN205" s="17"/>
      <c r="AUO205" s="17"/>
      <c r="AUP205" s="17"/>
      <c r="AUQ205" s="17"/>
      <c r="AUR205" s="17"/>
      <c r="AUS205" s="17"/>
      <c r="AUT205" s="17"/>
      <c r="AUU205" s="17"/>
      <c r="AUV205" s="17"/>
      <c r="AUW205" s="17"/>
      <c r="AUX205" s="17"/>
      <c r="AUY205" s="17"/>
      <c r="AUZ205" s="17"/>
      <c r="AVA205" s="17"/>
      <c r="AVB205" s="17"/>
      <c r="AVC205" s="17"/>
      <c r="AVD205" s="17"/>
      <c r="AVE205" s="17"/>
      <c r="AVF205" s="17"/>
      <c r="AVG205" s="17"/>
      <c r="AVH205" s="17"/>
      <c r="AVI205" s="17"/>
      <c r="AVJ205" s="17"/>
      <c r="AVK205" s="17"/>
      <c r="AVL205" s="17"/>
      <c r="AVM205" s="17"/>
      <c r="AVN205" s="17"/>
      <c r="AVO205" s="17"/>
      <c r="AVP205" s="17"/>
      <c r="AVQ205" s="17"/>
      <c r="AVR205" s="17"/>
      <c r="AVS205" s="17"/>
      <c r="AVT205" s="17"/>
      <c r="AVU205" s="17"/>
      <c r="AVV205" s="17"/>
      <c r="AVW205" s="17"/>
      <c r="AVX205" s="17"/>
      <c r="AVY205" s="17"/>
      <c r="AVZ205" s="17"/>
      <c r="AWA205" s="17"/>
      <c r="AWB205" s="17"/>
      <c r="AWC205" s="17"/>
      <c r="AWD205" s="17"/>
      <c r="AWE205" s="17"/>
      <c r="AWF205" s="17"/>
      <c r="AWG205" s="17"/>
      <c r="AWH205" s="17"/>
      <c r="AWI205" s="17"/>
      <c r="AWJ205" s="17"/>
      <c r="AWK205" s="17"/>
      <c r="AWL205" s="17"/>
      <c r="AWM205" s="17"/>
      <c r="AWN205" s="17"/>
      <c r="AWO205" s="17"/>
      <c r="AWP205" s="17"/>
      <c r="AWQ205" s="17"/>
      <c r="AWR205" s="17"/>
      <c r="AWS205" s="17"/>
      <c r="AWT205" s="17"/>
      <c r="AWU205" s="17"/>
      <c r="AWV205" s="17"/>
      <c r="AWW205" s="17"/>
      <c r="AWX205" s="17"/>
      <c r="AWY205" s="17"/>
      <c r="AWZ205" s="17"/>
      <c r="AXA205" s="17"/>
      <c r="AXB205" s="17"/>
      <c r="AXC205" s="17"/>
      <c r="AXD205" s="17"/>
      <c r="AXE205" s="17"/>
      <c r="AXF205" s="17"/>
      <c r="AXG205" s="17"/>
      <c r="AXH205" s="17"/>
      <c r="AXI205" s="17"/>
      <c r="AXJ205" s="17"/>
      <c r="AXK205" s="17"/>
      <c r="AXL205" s="17"/>
      <c r="AXM205" s="17"/>
      <c r="AXN205" s="17"/>
      <c r="AXO205" s="17"/>
      <c r="AXP205" s="17"/>
      <c r="AXQ205" s="17"/>
      <c r="AXR205" s="17"/>
      <c r="AXS205" s="17"/>
      <c r="AXT205" s="17"/>
      <c r="AXU205" s="17"/>
      <c r="AXV205" s="17"/>
      <c r="AXW205" s="17"/>
      <c r="AXX205" s="17"/>
      <c r="AXY205" s="17"/>
      <c r="AXZ205" s="17"/>
      <c r="AYA205" s="17"/>
      <c r="AYB205" s="17"/>
      <c r="AYC205" s="17"/>
      <c r="AYD205" s="17"/>
      <c r="AYE205" s="17"/>
      <c r="AYF205" s="17"/>
      <c r="AYG205" s="17"/>
      <c r="AYH205" s="17"/>
      <c r="AYI205" s="17"/>
      <c r="AYJ205" s="17"/>
      <c r="AYK205" s="17"/>
      <c r="AYL205" s="17"/>
      <c r="AYM205" s="17"/>
      <c r="AYN205" s="17"/>
      <c r="AYO205" s="17"/>
      <c r="AYP205" s="17"/>
      <c r="AYQ205" s="17"/>
      <c r="AYR205" s="17"/>
      <c r="AYS205" s="17"/>
      <c r="AYT205" s="17"/>
      <c r="AYU205" s="17"/>
      <c r="AYV205" s="17"/>
      <c r="AYW205" s="17"/>
      <c r="AYX205" s="17"/>
      <c r="AYY205" s="17"/>
      <c r="AYZ205" s="17"/>
      <c r="AZA205" s="17"/>
      <c r="AZB205" s="17"/>
      <c r="AZC205" s="17"/>
      <c r="AZD205" s="17"/>
      <c r="AZE205" s="17"/>
      <c r="AZF205" s="17"/>
      <c r="AZG205" s="17"/>
      <c r="AZH205" s="17"/>
      <c r="AZI205" s="17"/>
      <c r="AZJ205" s="17"/>
      <c r="AZK205" s="17"/>
      <c r="AZL205" s="17"/>
      <c r="AZM205" s="17"/>
      <c r="AZN205" s="17"/>
      <c r="AZO205" s="17"/>
      <c r="AZP205" s="17"/>
      <c r="AZQ205" s="17"/>
      <c r="AZR205" s="17"/>
      <c r="AZS205" s="17"/>
      <c r="AZT205" s="17"/>
      <c r="AZU205" s="17"/>
      <c r="AZV205" s="17"/>
      <c r="AZW205" s="17"/>
      <c r="AZX205" s="17"/>
      <c r="AZY205" s="17"/>
      <c r="AZZ205" s="17"/>
      <c r="BAA205" s="17"/>
      <c r="BAB205" s="17"/>
      <c r="BAC205" s="17"/>
      <c r="BAD205" s="17"/>
      <c r="BAE205" s="17"/>
      <c r="BAF205" s="17"/>
      <c r="BAG205" s="17"/>
      <c r="BAH205" s="17"/>
      <c r="BAI205" s="17"/>
      <c r="BAJ205" s="17"/>
      <c r="BAK205" s="17"/>
      <c r="BAL205" s="17"/>
      <c r="BAM205" s="17"/>
      <c r="BAN205" s="17"/>
      <c r="BAO205" s="17"/>
      <c r="BAP205" s="17"/>
      <c r="BAQ205" s="17"/>
      <c r="BAR205" s="17"/>
      <c r="BAS205" s="17"/>
      <c r="BAT205" s="17"/>
      <c r="BAU205" s="17"/>
      <c r="BAV205" s="17"/>
      <c r="BAW205" s="17"/>
      <c r="BAX205" s="17"/>
      <c r="BAY205" s="17"/>
      <c r="BAZ205" s="17"/>
      <c r="BBA205" s="17"/>
      <c r="BBB205" s="17"/>
      <c r="BBC205" s="17"/>
      <c r="BBD205" s="17"/>
      <c r="BBE205" s="17"/>
      <c r="BBF205" s="17"/>
      <c r="BBG205" s="17"/>
      <c r="BBH205" s="17"/>
      <c r="BBI205" s="17"/>
      <c r="BBJ205" s="17"/>
      <c r="BBK205" s="17"/>
      <c r="BBL205" s="17"/>
      <c r="BBM205" s="17"/>
      <c r="BBN205" s="17"/>
      <c r="BBO205" s="17"/>
      <c r="BBP205" s="17"/>
      <c r="BBQ205" s="17"/>
      <c r="BBR205" s="17"/>
      <c r="BBS205" s="17"/>
      <c r="BBT205" s="17"/>
      <c r="BBU205" s="17"/>
      <c r="BBV205" s="17"/>
      <c r="BBW205" s="17"/>
      <c r="BBX205" s="17"/>
      <c r="BBY205" s="17"/>
      <c r="BBZ205" s="17"/>
      <c r="BCA205" s="17"/>
      <c r="BCB205" s="17"/>
      <c r="BCC205" s="17"/>
      <c r="BCD205" s="17"/>
      <c r="BCE205" s="17"/>
      <c r="BCF205" s="17"/>
      <c r="BCG205" s="17"/>
      <c r="BCH205" s="17"/>
      <c r="BCI205" s="17"/>
      <c r="BCJ205" s="17"/>
      <c r="BCK205" s="17"/>
      <c r="BCL205" s="17"/>
      <c r="BCM205" s="17"/>
      <c r="BCN205" s="17"/>
      <c r="BCO205" s="17"/>
      <c r="BCP205" s="17"/>
      <c r="BCQ205" s="17"/>
      <c r="BCR205" s="17"/>
      <c r="BCS205" s="17"/>
      <c r="BCT205" s="17"/>
      <c r="BCU205" s="17"/>
      <c r="BCV205" s="17"/>
      <c r="BCW205" s="17"/>
      <c r="BCX205" s="17"/>
      <c r="BCY205" s="17"/>
      <c r="BCZ205" s="17"/>
      <c r="BDA205" s="17"/>
      <c r="BDB205" s="17"/>
      <c r="BDC205" s="17"/>
      <c r="BDD205" s="17"/>
      <c r="BDE205" s="17"/>
      <c r="BDF205" s="17"/>
      <c r="BDG205" s="17"/>
      <c r="BDH205" s="17"/>
      <c r="BDI205" s="17"/>
      <c r="BDJ205" s="17"/>
      <c r="BDK205" s="17"/>
      <c r="BDL205" s="17"/>
      <c r="BDM205" s="17"/>
      <c r="BDN205" s="17"/>
      <c r="BDO205" s="17"/>
      <c r="BDP205" s="17"/>
      <c r="BDQ205" s="17"/>
      <c r="BDR205" s="17"/>
      <c r="BDS205" s="17"/>
      <c r="BDT205" s="17"/>
      <c r="BDU205" s="17"/>
      <c r="BDV205" s="17"/>
      <c r="BDW205" s="17"/>
      <c r="BDX205" s="17"/>
      <c r="BDY205" s="17"/>
      <c r="BDZ205" s="17"/>
      <c r="BEA205" s="17"/>
      <c r="BEB205" s="17"/>
      <c r="BEC205" s="17"/>
      <c r="BED205" s="17"/>
      <c r="BEE205" s="17"/>
      <c r="BEF205" s="17"/>
      <c r="BEG205" s="17"/>
      <c r="BEH205" s="17"/>
      <c r="BEI205" s="17"/>
      <c r="BEJ205" s="17"/>
      <c r="BEK205" s="17"/>
      <c r="BEL205" s="17"/>
      <c r="BEM205" s="17"/>
      <c r="BEN205" s="17"/>
      <c r="BEO205" s="17"/>
      <c r="BEP205" s="17"/>
      <c r="BEQ205" s="17"/>
      <c r="BER205" s="17"/>
      <c r="BES205" s="17"/>
      <c r="BET205" s="17"/>
      <c r="BEU205" s="17"/>
      <c r="BEV205" s="17"/>
      <c r="BEW205" s="17"/>
      <c r="BEX205" s="17"/>
      <c r="BEY205" s="17"/>
      <c r="BEZ205" s="17"/>
      <c r="BFA205" s="17"/>
      <c r="BFB205" s="17"/>
      <c r="BFC205" s="17"/>
      <c r="BFD205" s="17"/>
      <c r="BFE205" s="17"/>
      <c r="BFF205" s="17"/>
      <c r="BFG205" s="17"/>
      <c r="BFH205" s="17"/>
      <c r="BFI205" s="17"/>
      <c r="BFJ205" s="17"/>
      <c r="BFK205" s="17"/>
      <c r="BFL205" s="17"/>
      <c r="BFM205" s="17"/>
      <c r="BFN205" s="17"/>
      <c r="BFO205" s="17"/>
      <c r="BFP205" s="17"/>
      <c r="BFQ205" s="17"/>
      <c r="BFR205" s="17"/>
      <c r="BFS205" s="17"/>
      <c r="BFT205" s="17"/>
      <c r="BFU205" s="17"/>
      <c r="BFV205" s="17"/>
      <c r="BFW205" s="17"/>
      <c r="BFX205" s="17"/>
      <c r="BFY205" s="17"/>
      <c r="BFZ205" s="17"/>
      <c r="BGA205" s="17"/>
      <c r="BGB205" s="17"/>
      <c r="BGC205" s="17"/>
      <c r="BGD205" s="17"/>
      <c r="BGE205" s="17"/>
      <c r="BGF205" s="17"/>
      <c r="BGG205" s="17"/>
      <c r="BGH205" s="17"/>
      <c r="BGI205" s="17"/>
      <c r="BGJ205" s="17"/>
      <c r="BGK205" s="17"/>
      <c r="BGL205" s="17"/>
      <c r="BGM205" s="17"/>
      <c r="BGN205" s="17"/>
      <c r="BGO205" s="17"/>
      <c r="BGP205" s="17"/>
      <c r="BGQ205" s="17"/>
      <c r="BGR205" s="17"/>
      <c r="BGS205" s="17"/>
      <c r="BGT205" s="17"/>
      <c r="BGU205" s="17"/>
      <c r="BGV205" s="17"/>
      <c r="BGW205" s="17"/>
      <c r="BGX205" s="17"/>
      <c r="BGY205" s="17"/>
      <c r="BGZ205" s="17"/>
      <c r="BHA205" s="17"/>
      <c r="BHB205" s="17"/>
      <c r="BHC205" s="17"/>
      <c r="BHD205" s="17"/>
      <c r="BHE205" s="17"/>
      <c r="BHF205" s="17"/>
      <c r="BHG205" s="17"/>
      <c r="BHH205" s="17"/>
      <c r="BHI205" s="17"/>
      <c r="BHJ205" s="17"/>
      <c r="BHK205" s="17"/>
      <c r="BHL205" s="17"/>
      <c r="BHM205" s="17"/>
      <c r="BHN205" s="17"/>
      <c r="BHO205" s="17"/>
      <c r="BHP205" s="17"/>
      <c r="BHQ205" s="17"/>
      <c r="BHR205" s="17"/>
      <c r="BHS205" s="17"/>
      <c r="BHT205" s="17"/>
      <c r="BHU205" s="17"/>
      <c r="BHV205" s="17"/>
      <c r="BHW205" s="17"/>
      <c r="BHX205" s="17"/>
      <c r="BHY205" s="17"/>
      <c r="BHZ205" s="17"/>
      <c r="BIA205" s="17"/>
      <c r="BIB205" s="17"/>
      <c r="BIC205" s="17"/>
      <c r="BID205" s="17"/>
      <c r="BIE205" s="17"/>
      <c r="BIF205" s="17"/>
      <c r="BIG205" s="17"/>
      <c r="BIH205" s="17"/>
      <c r="BII205" s="17"/>
      <c r="BIJ205" s="17"/>
      <c r="BIK205" s="17"/>
      <c r="BIL205" s="17"/>
      <c r="BIM205" s="17"/>
      <c r="BIN205" s="17"/>
      <c r="BIO205" s="17"/>
      <c r="BIP205" s="17"/>
      <c r="BIQ205" s="17"/>
      <c r="BIR205" s="17"/>
      <c r="BIS205" s="17"/>
      <c r="BIT205" s="17"/>
      <c r="BIU205" s="17"/>
      <c r="BIV205" s="17"/>
      <c r="BIW205" s="17"/>
      <c r="BIX205" s="17"/>
      <c r="BIY205" s="17"/>
      <c r="BIZ205" s="17"/>
      <c r="BJA205" s="17"/>
      <c r="BJB205" s="17"/>
      <c r="BJC205" s="17"/>
      <c r="BJD205" s="17"/>
      <c r="BJE205" s="17"/>
      <c r="BJF205" s="17"/>
      <c r="BJG205" s="17"/>
      <c r="BJH205" s="17"/>
      <c r="BJI205" s="17"/>
      <c r="BJJ205" s="17"/>
      <c r="BJK205" s="17"/>
      <c r="BJL205" s="17"/>
      <c r="BJM205" s="17"/>
      <c r="BJN205" s="17"/>
      <c r="BJO205" s="17"/>
      <c r="BJP205" s="17"/>
      <c r="BJQ205" s="17"/>
      <c r="BJR205" s="17"/>
      <c r="BJS205" s="17"/>
      <c r="BJT205" s="17"/>
      <c r="BJU205" s="17"/>
      <c r="BJV205" s="17"/>
      <c r="BJW205" s="17"/>
      <c r="BJX205" s="17"/>
      <c r="BJY205" s="17"/>
      <c r="BJZ205" s="17"/>
      <c r="BKA205" s="17"/>
      <c r="BKB205" s="17"/>
      <c r="BKC205" s="17"/>
      <c r="BKD205" s="17"/>
      <c r="BKE205" s="17"/>
      <c r="BKF205" s="17"/>
      <c r="BKG205" s="17"/>
      <c r="BKH205" s="17"/>
      <c r="BKI205" s="17"/>
      <c r="BKJ205" s="17"/>
      <c r="BKK205" s="17"/>
      <c r="BKL205" s="17"/>
      <c r="BKM205" s="17"/>
      <c r="BKN205" s="17"/>
      <c r="BKO205" s="17"/>
      <c r="BKP205" s="17"/>
      <c r="BKQ205" s="17"/>
      <c r="BKR205" s="17"/>
      <c r="BKS205" s="17"/>
      <c r="BKT205" s="17"/>
      <c r="BKU205" s="17"/>
      <c r="BKV205" s="17"/>
      <c r="BKW205" s="17"/>
      <c r="BKX205" s="17"/>
      <c r="BKY205" s="17"/>
      <c r="BKZ205" s="17"/>
      <c r="BLA205" s="17"/>
      <c r="BLB205" s="17"/>
      <c r="BLC205" s="17"/>
      <c r="BLD205" s="17"/>
      <c r="BLE205" s="17"/>
      <c r="BLF205" s="17"/>
      <c r="BLG205" s="17"/>
      <c r="BLH205" s="17"/>
      <c r="BLI205" s="17"/>
      <c r="BLJ205" s="17"/>
      <c r="BLK205" s="17"/>
      <c r="BLL205" s="17"/>
      <c r="BLM205" s="17"/>
      <c r="BLN205" s="17"/>
      <c r="BLO205" s="17"/>
      <c r="BLP205" s="17"/>
      <c r="BLQ205" s="17"/>
      <c r="BLR205" s="17"/>
      <c r="BLS205" s="17"/>
      <c r="BLT205" s="17"/>
      <c r="BLU205" s="17"/>
      <c r="BLV205" s="17"/>
      <c r="BLW205" s="17"/>
      <c r="BLX205" s="17"/>
      <c r="BLY205" s="17"/>
      <c r="BLZ205" s="17"/>
      <c r="BMA205" s="17"/>
      <c r="BMB205" s="17"/>
      <c r="BMC205" s="17"/>
      <c r="BMD205" s="17"/>
      <c r="BME205" s="17"/>
      <c r="BMF205" s="17"/>
      <c r="BMG205" s="17"/>
      <c r="BMH205" s="17"/>
      <c r="BMI205" s="17"/>
      <c r="BMJ205" s="17"/>
      <c r="BMK205" s="17"/>
      <c r="BML205" s="17"/>
      <c r="BMM205" s="17"/>
      <c r="BMN205" s="17"/>
      <c r="BMO205" s="17"/>
      <c r="BMP205" s="17"/>
      <c r="BMQ205" s="17"/>
      <c r="BMR205" s="17"/>
      <c r="BMS205" s="17"/>
      <c r="BMT205" s="17"/>
      <c r="BMU205" s="17"/>
      <c r="BMV205" s="17"/>
      <c r="BMW205" s="17"/>
      <c r="BMX205" s="17"/>
      <c r="BMY205" s="17"/>
      <c r="BMZ205" s="17"/>
      <c r="BNA205" s="17"/>
      <c r="BNB205" s="17"/>
      <c r="BNC205" s="17"/>
      <c r="BND205" s="17"/>
      <c r="BNE205" s="17"/>
      <c r="BNF205" s="17"/>
      <c r="BNG205" s="17"/>
      <c r="BNH205" s="17"/>
      <c r="BNI205" s="17"/>
      <c r="BNJ205" s="17"/>
      <c r="BNK205" s="17"/>
      <c r="BNL205" s="17"/>
      <c r="BNM205" s="17"/>
      <c r="BNN205" s="17"/>
      <c r="BNO205" s="17"/>
      <c r="BNP205" s="17"/>
      <c r="BNQ205" s="17"/>
      <c r="BNR205" s="17"/>
      <c r="BNS205" s="17"/>
      <c r="BNT205" s="17"/>
      <c r="BNU205" s="17"/>
      <c r="BNV205" s="17"/>
      <c r="BNW205" s="17"/>
      <c r="BNX205" s="17"/>
      <c r="BNY205" s="17"/>
      <c r="BNZ205" s="17"/>
      <c r="BOA205" s="17"/>
      <c r="BOB205" s="17"/>
      <c r="BOC205" s="17"/>
      <c r="BOD205" s="17"/>
      <c r="BOE205" s="17"/>
      <c r="BOF205" s="17"/>
      <c r="BOG205" s="17"/>
      <c r="BOH205" s="17"/>
      <c r="BOI205" s="17"/>
      <c r="BOJ205" s="17"/>
      <c r="BOK205" s="17"/>
      <c r="BOL205" s="17"/>
      <c r="BOM205" s="17"/>
      <c r="BON205" s="17"/>
      <c r="BOO205" s="17"/>
      <c r="BOP205" s="17"/>
      <c r="BOQ205" s="17"/>
      <c r="BOR205" s="17"/>
      <c r="BOS205" s="17"/>
      <c r="BOT205" s="17"/>
      <c r="BOU205" s="17"/>
      <c r="BOV205" s="17"/>
      <c r="BOW205" s="17"/>
      <c r="BOX205" s="17"/>
      <c r="BOY205" s="17"/>
      <c r="BOZ205" s="17"/>
      <c r="BPA205" s="17"/>
      <c r="BPB205" s="17"/>
      <c r="BPC205" s="17"/>
      <c r="BPD205" s="17"/>
      <c r="BPE205" s="17"/>
      <c r="BPF205" s="17"/>
      <c r="BPG205" s="17"/>
      <c r="BPH205" s="17"/>
      <c r="BPI205" s="17"/>
      <c r="BPJ205" s="17"/>
      <c r="BPK205" s="17"/>
      <c r="BPL205" s="17"/>
      <c r="BPM205" s="17"/>
      <c r="BPN205" s="17"/>
      <c r="BPO205" s="17"/>
      <c r="BPP205" s="17"/>
      <c r="BPQ205" s="17"/>
      <c r="BPR205" s="17"/>
      <c r="BPS205" s="17"/>
      <c r="BPT205" s="17"/>
      <c r="BPU205" s="17"/>
      <c r="BPV205" s="17"/>
      <c r="BPW205" s="17"/>
      <c r="BPX205" s="17"/>
      <c r="BPY205" s="17"/>
      <c r="BPZ205" s="17"/>
      <c r="BQA205" s="17"/>
      <c r="BQB205" s="17"/>
      <c r="BQC205" s="17"/>
      <c r="BQD205" s="17"/>
      <c r="BQE205" s="17"/>
      <c r="BQF205" s="17"/>
      <c r="BQG205" s="17"/>
      <c r="BQH205" s="17"/>
      <c r="BQI205" s="17"/>
      <c r="BQJ205" s="17"/>
      <c r="BQK205" s="17"/>
      <c r="BQL205" s="17"/>
      <c r="BQM205" s="17"/>
      <c r="BQN205" s="17"/>
      <c r="BQO205" s="17"/>
      <c r="BQP205" s="17"/>
      <c r="BQQ205" s="17"/>
      <c r="BQR205" s="17"/>
      <c r="BQS205" s="17"/>
      <c r="BQT205" s="17"/>
      <c r="BQU205" s="17"/>
      <c r="BQV205" s="17"/>
      <c r="BQW205" s="17"/>
      <c r="BQX205" s="17"/>
      <c r="BQY205" s="17"/>
      <c r="BQZ205" s="17"/>
      <c r="BRA205" s="17"/>
      <c r="BRB205" s="17"/>
      <c r="BRC205" s="17"/>
      <c r="BRD205" s="17"/>
      <c r="BRE205" s="17"/>
      <c r="BRF205" s="17"/>
      <c r="BRG205" s="17"/>
      <c r="BRH205" s="17"/>
      <c r="BRI205" s="17"/>
      <c r="BRJ205" s="17"/>
      <c r="BRK205" s="17"/>
      <c r="BRL205" s="17"/>
      <c r="BRM205" s="17"/>
      <c r="BRN205" s="17"/>
      <c r="BRO205" s="17"/>
      <c r="BRP205" s="17"/>
      <c r="BRQ205" s="17"/>
      <c r="BRR205" s="17"/>
      <c r="BRS205" s="17"/>
      <c r="BRT205" s="17"/>
      <c r="BRU205" s="17"/>
      <c r="BRV205" s="17"/>
      <c r="BRW205" s="17"/>
      <c r="BRX205" s="17"/>
      <c r="BRY205" s="17"/>
      <c r="BRZ205" s="17"/>
      <c r="BSA205" s="17"/>
      <c r="BSB205" s="17"/>
      <c r="BSC205" s="17"/>
      <c r="BSD205" s="17"/>
      <c r="BSE205" s="17"/>
      <c r="BSF205" s="17"/>
      <c r="BSG205" s="17"/>
      <c r="BSH205" s="17"/>
      <c r="BSI205" s="17"/>
      <c r="BSJ205" s="17"/>
      <c r="BSK205" s="17"/>
      <c r="BSL205" s="17"/>
      <c r="BSM205" s="17"/>
      <c r="BSN205" s="17"/>
      <c r="BSO205" s="17"/>
      <c r="BSP205" s="17"/>
      <c r="BSQ205" s="17"/>
      <c r="BSR205" s="17"/>
      <c r="BSS205" s="17"/>
      <c r="BST205" s="17"/>
      <c r="BSU205" s="17"/>
      <c r="BSV205" s="17"/>
      <c r="BSW205" s="17"/>
      <c r="BSX205" s="17"/>
      <c r="BSY205" s="17"/>
      <c r="BSZ205" s="17"/>
      <c r="BTA205" s="17"/>
      <c r="BTB205" s="17"/>
      <c r="BTC205" s="17"/>
      <c r="BTD205" s="17"/>
      <c r="BTE205" s="17"/>
      <c r="BTF205" s="17"/>
      <c r="BTG205" s="17"/>
      <c r="BTH205" s="17"/>
      <c r="BTI205" s="17"/>
      <c r="BTJ205" s="17"/>
      <c r="BTK205" s="17"/>
      <c r="BTL205" s="17"/>
      <c r="BTM205" s="17"/>
      <c r="BTN205" s="17"/>
      <c r="BTO205" s="17"/>
      <c r="BTP205" s="17"/>
      <c r="BTQ205" s="17"/>
      <c r="BTR205" s="17"/>
      <c r="BTS205" s="17"/>
      <c r="BTT205" s="17"/>
      <c r="BTU205" s="17"/>
      <c r="BTV205" s="17"/>
      <c r="BTW205" s="17"/>
      <c r="BTX205" s="17"/>
      <c r="BTY205" s="17"/>
      <c r="BTZ205" s="17"/>
      <c r="BUA205" s="17"/>
      <c r="BUB205" s="17"/>
      <c r="BUC205" s="17"/>
      <c r="BUD205" s="17"/>
      <c r="BUE205" s="17"/>
      <c r="BUF205" s="17"/>
      <c r="BUG205" s="17"/>
      <c r="BUH205" s="17"/>
      <c r="BUI205" s="17"/>
      <c r="BUJ205" s="17"/>
      <c r="BUK205" s="17"/>
      <c r="BUL205" s="17"/>
      <c r="BUM205" s="17"/>
      <c r="BUN205" s="17"/>
      <c r="BUO205" s="17"/>
      <c r="BUP205" s="17"/>
      <c r="BUQ205" s="17"/>
      <c r="BUR205" s="17"/>
      <c r="BUS205" s="17"/>
      <c r="BUT205" s="17"/>
      <c r="BUU205" s="17"/>
      <c r="BUV205" s="17"/>
      <c r="BUW205" s="17"/>
      <c r="BUX205" s="17"/>
      <c r="BUY205" s="17"/>
      <c r="BUZ205" s="17"/>
      <c r="BVA205" s="17"/>
      <c r="BVB205" s="17"/>
      <c r="BVC205" s="17"/>
      <c r="BVD205" s="17"/>
      <c r="BVE205" s="17"/>
      <c r="BVF205" s="17"/>
      <c r="BVG205" s="17"/>
      <c r="BVH205" s="17"/>
      <c r="BVI205" s="17"/>
      <c r="BVJ205" s="17"/>
      <c r="BVK205" s="17"/>
      <c r="BVL205" s="17"/>
      <c r="BVM205" s="17"/>
      <c r="BVN205" s="17"/>
      <c r="BVO205" s="17"/>
      <c r="BVP205" s="17"/>
      <c r="BVQ205" s="17"/>
      <c r="BVR205" s="17"/>
      <c r="BVS205" s="17"/>
      <c r="BVT205" s="17"/>
      <c r="BVU205" s="17"/>
      <c r="BVV205" s="17"/>
      <c r="BVW205" s="17"/>
      <c r="BVX205" s="17"/>
      <c r="BVY205" s="17"/>
      <c r="BVZ205" s="17"/>
      <c r="BWA205" s="17"/>
      <c r="BWB205" s="17"/>
      <c r="BWC205" s="17"/>
      <c r="BWD205" s="17"/>
      <c r="BWE205" s="17"/>
      <c r="BWF205" s="17"/>
      <c r="BWG205" s="17"/>
      <c r="BWH205" s="17"/>
      <c r="BWI205" s="17"/>
      <c r="BWJ205" s="17"/>
      <c r="BWK205" s="17"/>
      <c r="BWL205" s="17"/>
      <c r="BWM205" s="17"/>
      <c r="BWN205" s="17"/>
      <c r="BWO205" s="17"/>
      <c r="BWP205" s="17"/>
      <c r="BWQ205" s="17"/>
      <c r="BWR205" s="17"/>
      <c r="BWS205" s="17"/>
      <c r="BWT205" s="17"/>
      <c r="BWU205" s="17"/>
      <c r="BWV205" s="17"/>
      <c r="BWW205" s="17"/>
      <c r="BWX205" s="17"/>
      <c r="BWY205" s="17"/>
      <c r="BWZ205" s="17"/>
      <c r="BXA205" s="17"/>
      <c r="BXB205" s="17"/>
      <c r="BXC205" s="17"/>
      <c r="BXD205" s="17"/>
      <c r="BXE205" s="17"/>
      <c r="BXF205" s="17"/>
      <c r="BXG205" s="17"/>
      <c r="BXH205" s="17"/>
      <c r="BXI205" s="17"/>
      <c r="BXJ205" s="17"/>
      <c r="BXK205" s="17"/>
      <c r="BXL205" s="17"/>
      <c r="BXM205" s="17"/>
      <c r="BXN205" s="17"/>
      <c r="BXO205" s="17"/>
      <c r="BXP205" s="17"/>
      <c r="BXQ205" s="17"/>
      <c r="BXR205" s="17"/>
      <c r="BXS205" s="17"/>
      <c r="BXT205" s="17"/>
      <c r="BXU205" s="17"/>
      <c r="BXV205" s="17"/>
      <c r="BXW205" s="17"/>
      <c r="BXX205" s="17"/>
      <c r="BXY205" s="17"/>
      <c r="BXZ205" s="17"/>
      <c r="BYA205" s="17"/>
      <c r="BYB205" s="17"/>
      <c r="BYC205" s="17"/>
      <c r="BYD205" s="17"/>
      <c r="BYE205" s="17"/>
      <c r="BYF205" s="17"/>
      <c r="BYG205" s="17"/>
      <c r="BYH205" s="17"/>
      <c r="BYI205" s="17"/>
      <c r="BYJ205" s="17"/>
      <c r="BYK205" s="17"/>
      <c r="BYL205" s="17"/>
      <c r="BYM205" s="17"/>
      <c r="BYN205" s="17"/>
      <c r="BYO205" s="17"/>
      <c r="BYP205" s="17"/>
      <c r="BYQ205" s="17"/>
      <c r="BYR205" s="17"/>
      <c r="BYS205" s="17"/>
      <c r="BYT205" s="17"/>
      <c r="BYU205" s="17"/>
      <c r="BYV205" s="17"/>
      <c r="BYW205" s="17"/>
      <c r="BYX205" s="17"/>
      <c r="BYY205" s="17"/>
      <c r="BYZ205" s="17"/>
      <c r="BZA205" s="17"/>
      <c r="BZB205" s="17"/>
      <c r="BZC205" s="17"/>
      <c r="BZD205" s="17"/>
      <c r="BZE205" s="17"/>
      <c r="BZF205" s="17"/>
      <c r="BZG205" s="17"/>
      <c r="BZH205" s="17"/>
      <c r="BZI205" s="17"/>
      <c r="BZJ205" s="17"/>
      <c r="BZK205" s="17"/>
      <c r="BZL205" s="17"/>
      <c r="BZM205" s="17"/>
      <c r="BZN205" s="17"/>
      <c r="BZO205" s="17"/>
      <c r="BZP205" s="17"/>
      <c r="BZQ205" s="17"/>
      <c r="BZR205" s="17"/>
      <c r="BZS205" s="17"/>
      <c r="BZT205" s="17"/>
      <c r="BZU205" s="17"/>
      <c r="BZV205" s="17"/>
      <c r="BZW205" s="17"/>
      <c r="BZX205" s="17"/>
      <c r="BZY205" s="17"/>
      <c r="BZZ205" s="17"/>
      <c r="CAA205" s="17"/>
      <c r="CAB205" s="17"/>
      <c r="CAC205" s="17"/>
      <c r="CAD205" s="17"/>
      <c r="CAE205" s="17"/>
      <c r="CAF205" s="17"/>
      <c r="CAG205" s="17"/>
      <c r="CAH205" s="17"/>
      <c r="CAI205" s="17"/>
      <c r="CAJ205" s="17"/>
      <c r="CAK205" s="17"/>
      <c r="CAL205" s="17"/>
      <c r="CAM205" s="17"/>
      <c r="CAN205" s="17"/>
      <c r="CAO205" s="17"/>
      <c r="CAP205" s="17"/>
      <c r="CAQ205" s="17"/>
      <c r="CAR205" s="17"/>
      <c r="CAS205" s="17"/>
      <c r="CAT205" s="17"/>
      <c r="CAU205" s="17"/>
      <c r="CAV205" s="17"/>
      <c r="CAW205" s="17"/>
      <c r="CAX205" s="17"/>
      <c r="CAY205" s="17"/>
      <c r="CAZ205" s="17"/>
      <c r="CBA205" s="17"/>
      <c r="CBB205" s="17"/>
      <c r="CBC205" s="17"/>
      <c r="CBD205" s="17"/>
      <c r="CBE205" s="17"/>
      <c r="CBF205" s="17"/>
      <c r="CBG205" s="17"/>
      <c r="CBH205" s="17"/>
      <c r="CBI205" s="17"/>
      <c r="CBJ205" s="17"/>
      <c r="CBK205" s="17"/>
      <c r="CBL205" s="17"/>
      <c r="CBM205" s="17"/>
      <c r="CBN205" s="17"/>
      <c r="CBO205" s="17"/>
      <c r="CBP205" s="17"/>
      <c r="CBQ205" s="17"/>
      <c r="CBR205" s="17"/>
      <c r="CBS205" s="17"/>
      <c r="CBT205" s="17"/>
      <c r="CBU205" s="17"/>
      <c r="CBV205" s="17"/>
      <c r="CBW205" s="17"/>
      <c r="CBX205" s="17"/>
      <c r="CBY205" s="17"/>
      <c r="CBZ205" s="17"/>
      <c r="CCA205" s="17"/>
      <c r="CCB205" s="17"/>
      <c r="CCC205" s="17"/>
      <c r="CCD205" s="17"/>
      <c r="CCE205" s="17"/>
      <c r="CCF205" s="17"/>
      <c r="CCG205" s="17"/>
      <c r="CCH205" s="17"/>
      <c r="CCI205" s="17"/>
      <c r="CCJ205" s="17"/>
      <c r="CCK205" s="17"/>
      <c r="CCL205" s="17"/>
      <c r="CCM205" s="17"/>
      <c r="CCN205" s="17"/>
      <c r="CCO205" s="17"/>
      <c r="CCP205" s="17"/>
      <c r="CCQ205" s="17"/>
      <c r="CCR205" s="17"/>
      <c r="CCS205" s="17"/>
      <c r="CCT205" s="17"/>
      <c r="CCU205" s="17"/>
      <c r="CCV205" s="17"/>
      <c r="CCW205" s="17"/>
      <c r="CCX205" s="17"/>
      <c r="CCY205" s="17"/>
      <c r="CCZ205" s="17"/>
      <c r="CDA205" s="17"/>
      <c r="CDB205" s="17"/>
      <c r="CDC205" s="17"/>
      <c r="CDD205" s="17"/>
      <c r="CDE205" s="17"/>
      <c r="CDF205" s="17"/>
      <c r="CDG205" s="17"/>
      <c r="CDH205" s="17"/>
      <c r="CDI205" s="17"/>
      <c r="CDJ205" s="17"/>
      <c r="CDK205" s="17"/>
      <c r="CDL205" s="17"/>
      <c r="CDM205" s="17"/>
      <c r="CDN205" s="17"/>
      <c r="CDO205" s="17"/>
      <c r="CDP205" s="17"/>
      <c r="CDQ205" s="17"/>
      <c r="CDR205" s="17"/>
      <c r="CDS205" s="17"/>
      <c r="CDT205" s="17"/>
      <c r="CDU205" s="17"/>
      <c r="CDV205" s="17"/>
      <c r="CDW205" s="17"/>
      <c r="CDX205" s="17"/>
      <c r="CDY205" s="17"/>
      <c r="CDZ205" s="17"/>
      <c r="CEA205" s="17"/>
      <c r="CEB205" s="17"/>
      <c r="CEC205" s="17"/>
      <c r="CED205" s="17"/>
      <c r="CEE205" s="17"/>
      <c r="CEF205" s="17"/>
      <c r="CEG205" s="17"/>
      <c r="CEH205" s="17"/>
      <c r="CEI205" s="17"/>
      <c r="CEJ205" s="17"/>
      <c r="CEK205" s="17"/>
      <c r="CEL205" s="17"/>
      <c r="CEM205" s="17"/>
      <c r="CEN205" s="17"/>
      <c r="CEO205" s="17"/>
      <c r="CEP205" s="17"/>
      <c r="CEQ205" s="17"/>
      <c r="CER205" s="17"/>
      <c r="CES205" s="17"/>
      <c r="CET205" s="17"/>
      <c r="CEU205" s="17"/>
      <c r="CEV205" s="17"/>
      <c r="CEW205" s="17"/>
      <c r="CEX205" s="17"/>
      <c r="CEY205" s="17"/>
      <c r="CEZ205" s="17"/>
      <c r="CFA205" s="17"/>
      <c r="CFB205" s="17"/>
      <c r="CFC205" s="17"/>
      <c r="CFD205" s="17"/>
      <c r="CFE205" s="17"/>
      <c r="CFF205" s="17"/>
      <c r="CFG205" s="17"/>
      <c r="CFH205" s="17"/>
      <c r="CFI205" s="17"/>
      <c r="CFJ205" s="17"/>
      <c r="CFK205" s="17"/>
      <c r="CFL205" s="17"/>
      <c r="CFM205" s="17"/>
      <c r="CFN205" s="17"/>
      <c r="CFO205" s="17"/>
      <c r="CFP205" s="17"/>
      <c r="CFQ205" s="17"/>
      <c r="CFR205" s="17"/>
      <c r="CFS205" s="17"/>
      <c r="CFT205" s="17"/>
      <c r="CFU205" s="17"/>
      <c r="CFV205" s="17"/>
      <c r="CFW205" s="17"/>
      <c r="CFX205" s="17"/>
      <c r="CFY205" s="17"/>
      <c r="CFZ205" s="17"/>
      <c r="CGA205" s="17"/>
      <c r="CGB205" s="17"/>
      <c r="CGC205" s="17"/>
      <c r="CGD205" s="17"/>
      <c r="CGE205" s="17"/>
      <c r="CGF205" s="17"/>
      <c r="CGG205" s="17"/>
      <c r="CGH205" s="17"/>
      <c r="CGI205" s="17"/>
      <c r="CGJ205" s="17"/>
      <c r="CGK205" s="17"/>
      <c r="CGL205" s="17"/>
      <c r="CGM205" s="17"/>
      <c r="CGN205" s="17"/>
      <c r="CGO205" s="17"/>
      <c r="CGP205" s="17"/>
      <c r="CGQ205" s="17"/>
      <c r="CGR205" s="17"/>
      <c r="CGS205" s="17"/>
      <c r="CGT205" s="17"/>
      <c r="CGU205" s="17"/>
      <c r="CGV205" s="17"/>
      <c r="CGW205" s="17"/>
      <c r="CGX205" s="17"/>
      <c r="CGY205" s="17"/>
      <c r="CGZ205" s="17"/>
      <c r="CHA205" s="17"/>
      <c r="CHB205" s="17"/>
      <c r="CHC205" s="17"/>
      <c r="CHD205" s="17"/>
      <c r="CHE205" s="17"/>
      <c r="CHF205" s="17"/>
      <c r="CHG205" s="17"/>
      <c r="CHH205" s="17"/>
      <c r="CHI205" s="17"/>
      <c r="CHJ205" s="17"/>
      <c r="CHK205" s="17"/>
      <c r="CHL205" s="17"/>
      <c r="CHM205" s="17"/>
      <c r="CHN205" s="17"/>
      <c r="CHO205" s="17"/>
      <c r="CHP205" s="17"/>
      <c r="CHQ205" s="17"/>
      <c r="CHR205" s="17"/>
      <c r="CHS205" s="17"/>
      <c r="CHT205" s="17"/>
      <c r="CHU205" s="17"/>
      <c r="CHV205" s="17"/>
      <c r="CHW205" s="17"/>
      <c r="CHX205" s="17"/>
      <c r="CHY205" s="17"/>
      <c r="CHZ205" s="17"/>
      <c r="CIA205" s="17"/>
      <c r="CIB205" s="17"/>
      <c r="CIC205" s="17"/>
      <c r="CID205" s="17"/>
      <c r="CIE205" s="17"/>
      <c r="CIF205" s="17"/>
      <c r="CIG205" s="17"/>
      <c r="CIH205" s="17"/>
      <c r="CII205" s="17"/>
      <c r="CIJ205" s="17"/>
      <c r="CIK205" s="17"/>
      <c r="CIL205" s="17"/>
      <c r="CIM205" s="17"/>
      <c r="CIN205" s="17"/>
      <c r="CIO205" s="17"/>
      <c r="CIP205" s="17"/>
      <c r="CIQ205" s="17"/>
      <c r="CIR205" s="17"/>
      <c r="CIS205" s="17"/>
      <c r="CIT205" s="17"/>
      <c r="CIU205" s="17"/>
      <c r="CIV205" s="17"/>
      <c r="CIW205" s="17"/>
      <c r="CIX205" s="17"/>
      <c r="CIY205" s="17"/>
      <c r="CIZ205" s="17"/>
      <c r="CJA205" s="17"/>
      <c r="CJB205" s="17"/>
      <c r="CJC205" s="17"/>
      <c r="CJD205" s="17"/>
      <c r="CJE205" s="17"/>
      <c r="CJF205" s="17"/>
      <c r="CJG205" s="17"/>
      <c r="CJH205" s="17"/>
      <c r="CJI205" s="17"/>
      <c r="CJJ205" s="17"/>
      <c r="CJK205" s="17"/>
      <c r="CJL205" s="17"/>
      <c r="CJM205" s="17"/>
      <c r="CJN205" s="17"/>
      <c r="CJO205" s="17"/>
      <c r="CJP205" s="17"/>
      <c r="CJQ205" s="17"/>
      <c r="CJR205" s="17"/>
      <c r="CJS205" s="17"/>
      <c r="CJT205" s="17"/>
      <c r="CJU205" s="17"/>
      <c r="CJV205" s="17"/>
      <c r="CJW205" s="17"/>
      <c r="CJX205" s="17"/>
      <c r="CJY205" s="17"/>
      <c r="CJZ205" s="17"/>
      <c r="CKA205" s="17"/>
      <c r="CKB205" s="17"/>
      <c r="CKC205" s="17"/>
      <c r="CKD205" s="17"/>
      <c r="CKE205" s="17"/>
      <c r="CKF205" s="17"/>
      <c r="CKG205" s="17"/>
      <c r="CKH205" s="17"/>
      <c r="CKI205" s="17"/>
      <c r="CKJ205" s="17"/>
      <c r="CKK205" s="17"/>
      <c r="CKL205" s="17"/>
      <c r="CKM205" s="17"/>
      <c r="CKN205" s="17"/>
      <c r="CKO205" s="17"/>
      <c r="CKP205" s="17"/>
      <c r="CKQ205" s="17"/>
      <c r="CKR205" s="17"/>
      <c r="CKS205" s="17"/>
      <c r="CKT205" s="17"/>
      <c r="CKU205" s="17"/>
      <c r="CKV205" s="17"/>
      <c r="CKW205" s="17"/>
      <c r="CKX205" s="17"/>
      <c r="CKY205" s="17"/>
      <c r="CKZ205" s="17"/>
      <c r="CLA205" s="17"/>
      <c r="CLB205" s="17"/>
      <c r="CLC205" s="17"/>
      <c r="CLD205" s="17"/>
      <c r="CLE205" s="17"/>
      <c r="CLF205" s="17"/>
      <c r="CLG205" s="17"/>
      <c r="CLH205" s="17"/>
      <c r="CLI205" s="17"/>
      <c r="CLJ205" s="17"/>
      <c r="CLK205" s="17"/>
      <c r="CLL205" s="17"/>
      <c r="CLM205" s="17"/>
      <c r="CLN205" s="17"/>
      <c r="CLO205" s="17"/>
      <c r="CLP205" s="17"/>
      <c r="CLQ205" s="17"/>
      <c r="CLR205" s="17"/>
      <c r="CLS205" s="17"/>
      <c r="CLT205" s="17"/>
      <c r="CLU205" s="17"/>
      <c r="CLV205" s="17"/>
      <c r="CLW205" s="17"/>
      <c r="CLX205" s="17"/>
      <c r="CLY205" s="17"/>
      <c r="CLZ205" s="17"/>
      <c r="CMA205" s="17"/>
      <c r="CMB205" s="17"/>
      <c r="CMC205" s="17"/>
      <c r="CMD205" s="17"/>
      <c r="CME205" s="17"/>
      <c r="CMF205" s="17"/>
      <c r="CMG205" s="17"/>
      <c r="CMH205" s="17"/>
      <c r="CMI205" s="17"/>
      <c r="CMJ205" s="17"/>
      <c r="CMK205" s="17"/>
      <c r="CML205" s="17"/>
      <c r="CMM205" s="17"/>
      <c r="CMN205" s="17"/>
      <c r="CMO205" s="17"/>
      <c r="CMP205" s="17"/>
      <c r="CMQ205" s="17"/>
      <c r="CMR205" s="17"/>
      <c r="CMS205" s="17"/>
      <c r="CMT205" s="17"/>
      <c r="CMU205" s="17"/>
      <c r="CMV205" s="17"/>
      <c r="CMW205" s="17"/>
      <c r="CMX205" s="17"/>
      <c r="CMY205" s="17"/>
      <c r="CMZ205" s="17"/>
      <c r="CNA205" s="17"/>
      <c r="CNB205" s="17"/>
      <c r="CNC205" s="17"/>
      <c r="CND205" s="17"/>
      <c r="CNE205" s="17"/>
      <c r="CNF205" s="17"/>
      <c r="CNG205" s="17"/>
      <c r="CNH205" s="17"/>
      <c r="CNI205" s="17"/>
      <c r="CNJ205" s="17"/>
      <c r="CNK205" s="17"/>
      <c r="CNL205" s="17"/>
      <c r="CNM205" s="17"/>
      <c r="CNN205" s="17"/>
      <c r="CNO205" s="17"/>
      <c r="CNP205" s="17"/>
      <c r="CNQ205" s="17"/>
      <c r="CNR205" s="17"/>
      <c r="CNS205" s="17"/>
      <c r="CNT205" s="17"/>
      <c r="CNU205" s="17"/>
      <c r="CNV205" s="17"/>
      <c r="CNW205" s="17"/>
      <c r="CNX205" s="17"/>
      <c r="CNY205" s="17"/>
      <c r="CNZ205" s="17"/>
      <c r="COA205" s="17"/>
      <c r="COB205" s="17"/>
      <c r="COC205" s="17"/>
      <c r="COD205" s="17"/>
      <c r="COE205" s="17"/>
      <c r="COF205" s="17"/>
      <c r="COG205" s="17"/>
      <c r="COH205" s="17"/>
      <c r="COI205" s="17"/>
      <c r="COJ205" s="17"/>
      <c r="COK205" s="17"/>
      <c r="COL205" s="17"/>
      <c r="COM205" s="17"/>
      <c r="CON205" s="17"/>
      <c r="COO205" s="17"/>
      <c r="COP205" s="17"/>
      <c r="COQ205" s="17"/>
      <c r="COR205" s="17"/>
      <c r="COS205" s="17"/>
      <c r="COT205" s="17"/>
      <c r="COU205" s="17"/>
      <c r="COV205" s="17"/>
      <c r="COW205" s="17"/>
      <c r="COX205" s="17"/>
      <c r="COY205" s="17"/>
      <c r="COZ205" s="17"/>
      <c r="CPA205" s="17"/>
      <c r="CPB205" s="17"/>
      <c r="CPC205" s="17"/>
      <c r="CPD205" s="17"/>
      <c r="CPE205" s="17"/>
      <c r="CPF205" s="17"/>
      <c r="CPG205" s="17"/>
      <c r="CPH205" s="17"/>
      <c r="CPI205" s="17"/>
      <c r="CPJ205" s="17"/>
      <c r="CPK205" s="17"/>
      <c r="CPL205" s="17"/>
      <c r="CPM205" s="17"/>
      <c r="CPN205" s="17"/>
      <c r="CPO205" s="17"/>
      <c r="CPP205" s="17"/>
      <c r="CPQ205" s="17"/>
      <c r="CPR205" s="17"/>
      <c r="CPS205" s="17"/>
      <c r="CPT205" s="17"/>
      <c r="CPU205" s="17"/>
      <c r="CPV205" s="17"/>
      <c r="CPW205" s="17"/>
      <c r="CPX205" s="17"/>
      <c r="CPY205" s="17"/>
      <c r="CPZ205" s="17"/>
      <c r="CQA205" s="17"/>
      <c r="CQB205" s="17"/>
      <c r="CQC205" s="17"/>
      <c r="CQD205" s="17"/>
      <c r="CQE205" s="17"/>
      <c r="CQF205" s="17"/>
      <c r="CQG205" s="17"/>
      <c r="CQH205" s="17"/>
      <c r="CQI205" s="17"/>
      <c r="CQJ205" s="17"/>
      <c r="CQK205" s="17"/>
      <c r="CQL205" s="17"/>
      <c r="CQM205" s="17"/>
      <c r="CQN205" s="17"/>
      <c r="CQO205" s="17"/>
      <c r="CQP205" s="17"/>
      <c r="CQQ205" s="17"/>
      <c r="CQR205" s="17"/>
      <c r="CQS205" s="17"/>
      <c r="CQT205" s="17"/>
      <c r="CQU205" s="17"/>
      <c r="CQV205" s="17"/>
      <c r="CQW205" s="17"/>
      <c r="CQX205" s="17"/>
      <c r="CQY205" s="17"/>
      <c r="CQZ205" s="17"/>
      <c r="CRA205" s="17"/>
      <c r="CRB205" s="17"/>
      <c r="CRC205" s="17"/>
      <c r="CRD205" s="17"/>
      <c r="CRE205" s="17"/>
      <c r="CRF205" s="17"/>
      <c r="CRG205" s="17"/>
      <c r="CRH205" s="17"/>
      <c r="CRI205" s="17"/>
      <c r="CRJ205" s="17"/>
      <c r="CRK205" s="17"/>
      <c r="CRL205" s="17"/>
      <c r="CRM205" s="17"/>
      <c r="CRN205" s="17"/>
      <c r="CRO205" s="17"/>
      <c r="CRP205" s="17"/>
      <c r="CRQ205" s="17"/>
      <c r="CRR205" s="17"/>
      <c r="CRS205" s="17"/>
      <c r="CRT205" s="17"/>
      <c r="CRU205" s="17"/>
      <c r="CRV205" s="17"/>
      <c r="CRW205" s="17"/>
      <c r="CRX205" s="17"/>
      <c r="CRY205" s="17"/>
      <c r="CRZ205" s="17"/>
      <c r="CSA205" s="17"/>
      <c r="CSB205" s="17"/>
      <c r="CSC205" s="17"/>
      <c r="CSD205" s="17"/>
      <c r="CSE205" s="17"/>
      <c r="CSF205" s="17"/>
      <c r="CSG205" s="17"/>
      <c r="CSH205" s="17"/>
      <c r="CSI205" s="17"/>
      <c r="CSJ205" s="17"/>
      <c r="CSK205" s="17"/>
      <c r="CSL205" s="17"/>
      <c r="CSM205" s="17"/>
      <c r="CSN205" s="17"/>
      <c r="CSO205" s="17"/>
      <c r="CSP205" s="17"/>
      <c r="CSQ205" s="17"/>
      <c r="CSR205" s="17"/>
      <c r="CSS205" s="17"/>
      <c r="CST205" s="17"/>
      <c r="CSU205" s="17"/>
      <c r="CSV205" s="17"/>
      <c r="CSW205" s="17"/>
      <c r="CSX205" s="17"/>
      <c r="CSY205" s="17"/>
      <c r="CSZ205" s="17"/>
      <c r="CTA205" s="17"/>
      <c r="CTB205" s="17"/>
      <c r="CTC205" s="17"/>
      <c r="CTD205" s="17"/>
      <c r="CTE205" s="17"/>
      <c r="CTF205" s="17"/>
      <c r="CTG205" s="17"/>
      <c r="CTH205" s="17"/>
      <c r="CTI205" s="17"/>
      <c r="CTJ205" s="17"/>
      <c r="CTK205" s="17"/>
      <c r="CTL205" s="17"/>
      <c r="CTM205" s="17"/>
      <c r="CTN205" s="17"/>
      <c r="CTO205" s="17"/>
      <c r="CTP205" s="17"/>
      <c r="CTQ205" s="17"/>
      <c r="CTR205" s="17"/>
      <c r="CTS205" s="17"/>
      <c r="CTT205" s="17"/>
      <c r="CTU205" s="17"/>
      <c r="CTV205" s="17"/>
      <c r="CTW205" s="17"/>
      <c r="CTX205" s="17"/>
      <c r="CTY205" s="17"/>
      <c r="CTZ205" s="17"/>
      <c r="CUA205" s="17"/>
      <c r="CUB205" s="17"/>
      <c r="CUC205" s="17"/>
      <c r="CUD205" s="17"/>
      <c r="CUE205" s="17"/>
      <c r="CUF205" s="17"/>
      <c r="CUG205" s="17"/>
      <c r="CUH205" s="17"/>
      <c r="CUI205" s="17"/>
      <c r="CUJ205" s="17"/>
      <c r="CUK205" s="17"/>
      <c r="CUL205" s="17"/>
      <c r="CUM205" s="17"/>
      <c r="CUN205" s="17"/>
      <c r="CUO205" s="17"/>
      <c r="CUP205" s="17"/>
      <c r="CUQ205" s="17"/>
      <c r="CUR205" s="17"/>
      <c r="CUS205" s="17"/>
      <c r="CUT205" s="17"/>
      <c r="CUU205" s="17"/>
      <c r="CUV205" s="17"/>
      <c r="CUW205" s="17"/>
      <c r="CUX205" s="17"/>
      <c r="CUY205" s="17"/>
      <c r="CUZ205" s="17"/>
      <c r="CVA205" s="17"/>
      <c r="CVB205" s="17"/>
      <c r="CVC205" s="17"/>
      <c r="CVD205" s="17"/>
      <c r="CVE205" s="17"/>
      <c r="CVF205" s="17"/>
      <c r="CVG205" s="17"/>
      <c r="CVH205" s="17"/>
      <c r="CVI205" s="17"/>
      <c r="CVJ205" s="17"/>
      <c r="CVK205" s="17"/>
      <c r="CVL205" s="17"/>
      <c r="CVM205" s="17"/>
      <c r="CVN205" s="17"/>
      <c r="CVO205" s="17"/>
      <c r="CVP205" s="17"/>
      <c r="CVQ205" s="17"/>
      <c r="CVR205" s="17"/>
      <c r="CVS205" s="17"/>
      <c r="CVT205" s="17"/>
      <c r="CVU205" s="17"/>
      <c r="CVV205" s="17"/>
      <c r="CVW205" s="17"/>
      <c r="CVX205" s="17"/>
      <c r="CVY205" s="17"/>
      <c r="CVZ205" s="17"/>
      <c r="CWA205" s="17"/>
      <c r="CWB205" s="17"/>
      <c r="CWC205" s="17"/>
      <c r="CWD205" s="17"/>
      <c r="CWE205" s="17"/>
      <c r="CWF205" s="17"/>
      <c r="CWG205" s="17"/>
      <c r="CWH205" s="17"/>
      <c r="CWI205" s="17"/>
      <c r="CWJ205" s="17"/>
      <c r="CWK205" s="17"/>
      <c r="CWL205" s="17"/>
      <c r="CWM205" s="17"/>
      <c r="CWN205" s="17"/>
      <c r="CWO205" s="17"/>
      <c r="CWP205" s="17"/>
      <c r="CWQ205" s="17"/>
      <c r="CWR205" s="17"/>
      <c r="CWS205" s="17"/>
      <c r="CWT205" s="17"/>
      <c r="CWU205" s="17"/>
      <c r="CWV205" s="17"/>
      <c r="CWW205" s="17"/>
      <c r="CWX205" s="17"/>
      <c r="CWY205" s="17"/>
      <c r="CWZ205" s="17"/>
      <c r="CXA205" s="17"/>
      <c r="CXB205" s="17"/>
      <c r="CXC205" s="17"/>
      <c r="CXD205" s="17"/>
      <c r="CXE205" s="17"/>
      <c r="CXF205" s="17"/>
      <c r="CXG205" s="17"/>
      <c r="CXH205" s="17"/>
      <c r="CXI205" s="17"/>
      <c r="CXJ205" s="17"/>
      <c r="CXK205" s="17"/>
      <c r="CXL205" s="17"/>
      <c r="CXM205" s="17"/>
      <c r="CXN205" s="17"/>
      <c r="CXO205" s="17"/>
      <c r="CXP205" s="17"/>
      <c r="CXQ205" s="17"/>
      <c r="CXR205" s="17"/>
      <c r="CXS205" s="17"/>
      <c r="CXT205" s="17"/>
      <c r="CXU205" s="17"/>
      <c r="CXV205" s="17"/>
      <c r="CXW205" s="17"/>
      <c r="CXX205" s="17"/>
      <c r="CXY205" s="17"/>
      <c r="CXZ205" s="17"/>
      <c r="CYA205" s="17"/>
      <c r="CYB205" s="17"/>
      <c r="CYC205" s="17"/>
      <c r="CYD205" s="17"/>
      <c r="CYE205" s="17"/>
      <c r="CYF205" s="17"/>
      <c r="CYG205" s="17"/>
      <c r="CYH205" s="17"/>
      <c r="CYI205" s="17"/>
      <c r="CYJ205" s="17"/>
      <c r="CYK205" s="17"/>
      <c r="CYL205" s="17"/>
      <c r="CYM205" s="17"/>
      <c r="CYN205" s="17"/>
      <c r="CYO205" s="17"/>
      <c r="CYP205" s="17"/>
      <c r="CYQ205" s="17"/>
      <c r="CYR205" s="17"/>
      <c r="CYS205" s="17"/>
      <c r="CYT205" s="17"/>
      <c r="CYU205" s="17"/>
      <c r="CYV205" s="17"/>
      <c r="CYW205" s="17"/>
      <c r="CYX205" s="17"/>
      <c r="CYY205" s="17"/>
      <c r="CYZ205" s="17"/>
      <c r="CZA205" s="17"/>
      <c r="CZB205" s="17"/>
      <c r="CZC205" s="17"/>
      <c r="CZD205" s="17"/>
      <c r="CZE205" s="17"/>
      <c r="CZF205" s="17"/>
      <c r="CZG205" s="17"/>
      <c r="CZH205" s="17"/>
      <c r="CZI205" s="17"/>
      <c r="CZJ205" s="17"/>
      <c r="CZK205" s="17"/>
      <c r="CZL205" s="17"/>
      <c r="CZM205" s="17"/>
      <c r="CZN205" s="17"/>
      <c r="CZO205" s="17"/>
      <c r="CZP205" s="17"/>
      <c r="CZQ205" s="17"/>
      <c r="CZR205" s="17"/>
      <c r="CZS205" s="17"/>
      <c r="CZT205" s="17"/>
      <c r="CZU205" s="17"/>
      <c r="CZV205" s="17"/>
      <c r="CZW205" s="17"/>
      <c r="CZX205" s="17"/>
      <c r="CZY205" s="17"/>
      <c r="CZZ205" s="17"/>
      <c r="DAA205" s="17"/>
      <c r="DAB205" s="17"/>
      <c r="DAC205" s="17"/>
      <c r="DAD205" s="17"/>
      <c r="DAE205" s="17"/>
      <c r="DAF205" s="17"/>
      <c r="DAG205" s="17"/>
      <c r="DAH205" s="17"/>
      <c r="DAI205" s="17"/>
      <c r="DAJ205" s="17"/>
      <c r="DAK205" s="17"/>
      <c r="DAL205" s="17"/>
      <c r="DAM205" s="17"/>
      <c r="DAN205" s="17"/>
      <c r="DAO205" s="17"/>
      <c r="DAP205" s="17"/>
      <c r="DAQ205" s="17"/>
      <c r="DAR205" s="17"/>
      <c r="DAS205" s="17"/>
      <c r="DAT205" s="17"/>
      <c r="DAU205" s="17"/>
      <c r="DAV205" s="17"/>
      <c r="DAW205" s="17"/>
      <c r="DAX205" s="17"/>
      <c r="DAY205" s="17"/>
      <c r="DAZ205" s="17"/>
      <c r="DBA205" s="17"/>
      <c r="DBB205" s="17"/>
      <c r="DBC205" s="17"/>
      <c r="DBD205" s="17"/>
      <c r="DBE205" s="17"/>
      <c r="DBF205" s="17"/>
      <c r="DBG205" s="17"/>
      <c r="DBH205" s="17"/>
      <c r="DBI205" s="17"/>
      <c r="DBJ205" s="17"/>
      <c r="DBK205" s="17"/>
      <c r="DBL205" s="17"/>
      <c r="DBM205" s="17"/>
      <c r="DBN205" s="17"/>
      <c r="DBO205" s="17"/>
      <c r="DBP205" s="17"/>
      <c r="DBQ205" s="17"/>
      <c r="DBR205" s="17"/>
      <c r="DBS205" s="17"/>
      <c r="DBT205" s="17"/>
      <c r="DBU205" s="17"/>
      <c r="DBV205" s="17"/>
      <c r="DBW205" s="17"/>
      <c r="DBX205" s="17"/>
      <c r="DBY205" s="17"/>
      <c r="DBZ205" s="17"/>
      <c r="DCA205" s="17"/>
      <c r="DCB205" s="17"/>
      <c r="DCC205" s="17"/>
      <c r="DCD205" s="17"/>
      <c r="DCE205" s="17"/>
      <c r="DCF205" s="17"/>
      <c r="DCG205" s="17"/>
      <c r="DCH205" s="17"/>
      <c r="DCI205" s="17"/>
      <c r="DCJ205" s="17"/>
      <c r="DCK205" s="17"/>
      <c r="DCL205" s="17"/>
      <c r="DCM205" s="17"/>
      <c r="DCN205" s="17"/>
      <c r="DCO205" s="17"/>
      <c r="DCP205" s="17"/>
      <c r="DCQ205" s="17"/>
      <c r="DCR205" s="17"/>
      <c r="DCS205" s="17"/>
      <c r="DCT205" s="17"/>
      <c r="DCU205" s="17"/>
      <c r="DCV205" s="17"/>
      <c r="DCW205" s="17"/>
      <c r="DCX205" s="17"/>
      <c r="DCY205" s="17"/>
      <c r="DCZ205" s="17"/>
      <c r="DDA205" s="17"/>
      <c r="DDB205" s="17"/>
      <c r="DDC205" s="17"/>
      <c r="DDD205" s="17"/>
      <c r="DDE205" s="17"/>
      <c r="DDF205" s="17"/>
      <c r="DDG205" s="17"/>
      <c r="DDH205" s="17"/>
      <c r="DDI205" s="17"/>
      <c r="DDJ205" s="17"/>
      <c r="DDK205" s="17"/>
      <c r="DDL205" s="17"/>
      <c r="DDM205" s="17"/>
      <c r="DDN205" s="17"/>
      <c r="DDO205" s="17"/>
      <c r="DDP205" s="17"/>
      <c r="DDQ205" s="17"/>
      <c r="DDR205" s="17"/>
      <c r="DDS205" s="17"/>
      <c r="DDT205" s="17"/>
      <c r="DDU205" s="17"/>
      <c r="DDV205" s="17"/>
      <c r="DDW205" s="17"/>
      <c r="DDX205" s="17"/>
      <c r="DDY205" s="17"/>
      <c r="DDZ205" s="17"/>
      <c r="DEA205" s="17"/>
      <c r="DEB205" s="17"/>
      <c r="DEC205" s="17"/>
      <c r="DED205" s="17"/>
      <c r="DEE205" s="17"/>
      <c r="DEF205" s="17"/>
      <c r="DEG205" s="17"/>
      <c r="DEH205" s="17"/>
      <c r="DEI205" s="17"/>
      <c r="DEJ205" s="17"/>
      <c r="DEK205" s="17"/>
      <c r="DEL205" s="17"/>
      <c r="DEM205" s="17"/>
      <c r="DEN205" s="17"/>
      <c r="DEO205" s="17"/>
      <c r="DEP205" s="17"/>
      <c r="DEQ205" s="17"/>
      <c r="DER205" s="17"/>
      <c r="DES205" s="17"/>
      <c r="DET205" s="17"/>
      <c r="DEU205" s="17"/>
      <c r="DEV205" s="17"/>
      <c r="DEW205" s="17"/>
      <c r="DEX205" s="17"/>
      <c r="DEY205" s="17"/>
      <c r="DEZ205" s="17"/>
      <c r="DFA205" s="17"/>
      <c r="DFB205" s="17"/>
      <c r="DFC205" s="17"/>
      <c r="DFD205" s="17"/>
      <c r="DFE205" s="17"/>
      <c r="DFF205" s="17"/>
      <c r="DFG205" s="17"/>
      <c r="DFH205" s="17"/>
      <c r="DFI205" s="17"/>
      <c r="DFJ205" s="17"/>
      <c r="DFK205" s="17"/>
      <c r="DFL205" s="17"/>
      <c r="DFM205" s="17"/>
      <c r="DFN205" s="17"/>
      <c r="DFO205" s="17"/>
      <c r="DFP205" s="17"/>
      <c r="DFQ205" s="17"/>
      <c r="DFR205" s="17"/>
      <c r="DFS205" s="17"/>
      <c r="DFT205" s="17"/>
      <c r="DFU205" s="17"/>
      <c r="DFV205" s="17"/>
      <c r="DFW205" s="17"/>
      <c r="DFX205" s="17"/>
      <c r="DFY205" s="17"/>
      <c r="DFZ205" s="17"/>
      <c r="DGA205" s="17"/>
      <c r="DGB205" s="17"/>
      <c r="DGC205" s="17"/>
      <c r="DGD205" s="17"/>
      <c r="DGE205" s="17"/>
      <c r="DGF205" s="17"/>
      <c r="DGG205" s="17"/>
      <c r="DGH205" s="17"/>
      <c r="DGI205" s="17"/>
      <c r="DGJ205" s="17"/>
      <c r="DGK205" s="17"/>
      <c r="DGL205" s="17"/>
      <c r="DGM205" s="17"/>
      <c r="DGN205" s="17"/>
      <c r="DGO205" s="17"/>
      <c r="DGP205" s="17"/>
      <c r="DGQ205" s="17"/>
      <c r="DGR205" s="17"/>
      <c r="DGS205" s="17"/>
      <c r="DGT205" s="17"/>
      <c r="DGU205" s="17"/>
      <c r="DGV205" s="17"/>
      <c r="DGW205" s="17"/>
      <c r="DGX205" s="17"/>
      <c r="DGY205" s="17"/>
      <c r="DGZ205" s="17"/>
      <c r="DHA205" s="17"/>
      <c r="DHB205" s="17"/>
      <c r="DHC205" s="17"/>
      <c r="DHD205" s="17"/>
      <c r="DHE205" s="17"/>
      <c r="DHF205" s="17"/>
      <c r="DHG205" s="17"/>
      <c r="DHH205" s="17"/>
      <c r="DHI205" s="17"/>
      <c r="DHJ205" s="17"/>
      <c r="DHK205" s="17"/>
      <c r="DHL205" s="17"/>
      <c r="DHM205" s="17"/>
      <c r="DHN205" s="17"/>
      <c r="DHO205" s="17"/>
      <c r="DHP205" s="17"/>
      <c r="DHQ205" s="17"/>
      <c r="DHR205" s="17"/>
      <c r="DHS205" s="17"/>
      <c r="DHT205" s="17"/>
      <c r="DHU205" s="17"/>
      <c r="DHV205" s="17"/>
      <c r="DHW205" s="17"/>
      <c r="DHX205" s="17"/>
      <c r="DHY205" s="17"/>
      <c r="DHZ205" s="17"/>
      <c r="DIA205" s="17"/>
      <c r="DIB205" s="17"/>
      <c r="DIC205" s="17"/>
      <c r="DID205" s="17"/>
      <c r="DIE205" s="17"/>
      <c r="DIF205" s="17"/>
      <c r="DIG205" s="17"/>
      <c r="DIH205" s="17"/>
      <c r="DII205" s="17"/>
      <c r="DIJ205" s="17"/>
      <c r="DIK205" s="17"/>
      <c r="DIL205" s="17"/>
      <c r="DIM205" s="17"/>
      <c r="DIN205" s="17"/>
      <c r="DIO205" s="17"/>
      <c r="DIP205" s="17"/>
      <c r="DIQ205" s="17"/>
      <c r="DIR205" s="17"/>
      <c r="DIS205" s="17"/>
      <c r="DIT205" s="17"/>
      <c r="DIU205" s="17"/>
      <c r="DIV205" s="17"/>
      <c r="DIW205" s="17"/>
      <c r="DIX205" s="17"/>
      <c r="DIY205" s="17"/>
      <c r="DIZ205" s="17"/>
      <c r="DJA205" s="17"/>
      <c r="DJB205" s="17"/>
      <c r="DJC205" s="17"/>
      <c r="DJD205" s="17"/>
      <c r="DJE205" s="17"/>
      <c r="DJF205" s="17"/>
      <c r="DJG205" s="17"/>
      <c r="DJH205" s="17"/>
      <c r="DJI205" s="17"/>
      <c r="DJJ205" s="17"/>
      <c r="DJK205" s="17"/>
      <c r="DJL205" s="17"/>
      <c r="DJM205" s="17"/>
      <c r="DJN205" s="17"/>
      <c r="DJO205" s="17"/>
      <c r="DJP205" s="17"/>
      <c r="DJQ205" s="17"/>
      <c r="DJR205" s="17"/>
      <c r="DJS205" s="17"/>
      <c r="DJT205" s="17"/>
      <c r="DJU205" s="17"/>
      <c r="DJV205" s="17"/>
      <c r="DJW205" s="17"/>
      <c r="DJX205" s="17"/>
      <c r="DJY205" s="17"/>
      <c r="DJZ205" s="17"/>
      <c r="DKA205" s="17"/>
      <c r="DKB205" s="17"/>
      <c r="DKC205" s="17"/>
      <c r="DKD205" s="17"/>
      <c r="DKE205" s="17"/>
      <c r="DKF205" s="17"/>
      <c r="DKG205" s="17"/>
      <c r="DKH205" s="17"/>
      <c r="DKI205" s="17"/>
      <c r="DKJ205" s="17"/>
      <c r="DKK205" s="17"/>
      <c r="DKL205" s="17"/>
      <c r="DKM205" s="17"/>
      <c r="DKN205" s="17"/>
      <c r="DKO205" s="17"/>
      <c r="DKP205" s="17"/>
      <c r="DKQ205" s="17"/>
      <c r="DKR205" s="17"/>
      <c r="DKS205" s="17"/>
      <c r="DKT205" s="17"/>
      <c r="DKU205" s="17"/>
      <c r="DKV205" s="17"/>
      <c r="DKW205" s="17"/>
      <c r="DKX205" s="17"/>
      <c r="DKY205" s="17"/>
      <c r="DKZ205" s="17"/>
      <c r="DLA205" s="17"/>
      <c r="DLB205" s="17"/>
      <c r="DLC205" s="17"/>
      <c r="DLD205" s="17"/>
      <c r="DLE205" s="17"/>
      <c r="DLF205" s="17"/>
      <c r="DLG205" s="17"/>
      <c r="DLH205" s="17"/>
      <c r="DLI205" s="17"/>
      <c r="DLJ205" s="17"/>
      <c r="DLK205" s="17"/>
      <c r="DLL205" s="17"/>
      <c r="DLM205" s="17"/>
      <c r="DLN205" s="17"/>
      <c r="DLO205" s="17"/>
      <c r="DLP205" s="17"/>
      <c r="DLQ205" s="17"/>
      <c r="DLR205" s="17"/>
      <c r="DLS205" s="17"/>
      <c r="DLT205" s="17"/>
      <c r="DLU205" s="17"/>
      <c r="DLV205" s="17"/>
      <c r="DLW205" s="17"/>
      <c r="DLX205" s="17"/>
      <c r="DLY205" s="17"/>
      <c r="DLZ205" s="17"/>
      <c r="DMA205" s="17"/>
      <c r="DMB205" s="17"/>
      <c r="DMC205" s="17"/>
      <c r="DMD205" s="17"/>
      <c r="DME205" s="17"/>
      <c r="DMF205" s="17"/>
      <c r="DMG205" s="17"/>
      <c r="DMH205" s="17"/>
      <c r="DMI205" s="17"/>
      <c r="DMJ205" s="17"/>
      <c r="DMK205" s="17"/>
      <c r="DML205" s="17"/>
      <c r="DMM205" s="17"/>
      <c r="DMN205" s="17"/>
      <c r="DMO205" s="17"/>
      <c r="DMP205" s="17"/>
      <c r="DMQ205" s="17"/>
      <c r="DMR205" s="17"/>
      <c r="DMS205" s="17"/>
      <c r="DMT205" s="17"/>
      <c r="DMU205" s="17"/>
      <c r="DMV205" s="17"/>
      <c r="DMW205" s="17"/>
      <c r="DMX205" s="17"/>
      <c r="DMY205" s="17"/>
      <c r="DMZ205" s="17"/>
      <c r="DNA205" s="17"/>
      <c r="DNB205" s="17"/>
      <c r="DNC205" s="17"/>
      <c r="DND205" s="17"/>
      <c r="DNE205" s="17"/>
      <c r="DNF205" s="17"/>
      <c r="DNG205" s="17"/>
      <c r="DNH205" s="17"/>
      <c r="DNI205" s="17"/>
      <c r="DNJ205" s="17"/>
      <c r="DNK205" s="17"/>
      <c r="DNL205" s="17"/>
      <c r="DNM205" s="17"/>
      <c r="DNN205" s="17"/>
      <c r="DNO205" s="17"/>
      <c r="DNP205" s="17"/>
      <c r="DNQ205" s="17"/>
      <c r="DNR205" s="17"/>
      <c r="DNS205" s="17"/>
      <c r="DNT205" s="17"/>
      <c r="DNU205" s="17"/>
      <c r="DNV205" s="17"/>
      <c r="DNW205" s="17"/>
      <c r="DNX205" s="17"/>
      <c r="DNY205" s="17"/>
      <c r="DNZ205" s="17"/>
      <c r="DOA205" s="17"/>
      <c r="DOB205" s="17"/>
      <c r="DOC205" s="17"/>
      <c r="DOD205" s="17"/>
      <c r="DOE205" s="17"/>
      <c r="DOF205" s="17"/>
      <c r="DOG205" s="17"/>
      <c r="DOH205" s="17"/>
      <c r="DOI205" s="17"/>
      <c r="DOJ205" s="17"/>
      <c r="DOK205" s="17"/>
      <c r="DOL205" s="17"/>
      <c r="DOM205" s="17"/>
      <c r="DON205" s="17"/>
      <c r="DOO205" s="17"/>
      <c r="DOP205" s="17"/>
      <c r="DOQ205" s="17"/>
      <c r="DOR205" s="17"/>
      <c r="DOS205" s="17"/>
      <c r="DOT205" s="17"/>
      <c r="DOU205" s="17"/>
      <c r="DOV205" s="17"/>
      <c r="DOW205" s="17"/>
      <c r="DOX205" s="17"/>
      <c r="DOY205" s="17"/>
      <c r="DOZ205" s="17"/>
      <c r="DPA205" s="17"/>
      <c r="DPB205" s="17"/>
      <c r="DPC205" s="17"/>
      <c r="DPD205" s="17"/>
      <c r="DPE205" s="17"/>
      <c r="DPF205" s="17"/>
      <c r="DPG205" s="17"/>
      <c r="DPH205" s="17"/>
      <c r="DPI205" s="17"/>
      <c r="DPJ205" s="17"/>
      <c r="DPK205" s="17"/>
      <c r="DPL205" s="17"/>
      <c r="DPM205" s="17"/>
      <c r="DPN205" s="17"/>
      <c r="DPO205" s="17"/>
      <c r="DPP205" s="17"/>
      <c r="DPQ205" s="17"/>
      <c r="DPR205" s="17"/>
      <c r="DPS205" s="17"/>
      <c r="DPT205" s="17"/>
      <c r="DPU205" s="17"/>
      <c r="DPV205" s="17"/>
      <c r="DPW205" s="17"/>
      <c r="DPX205" s="17"/>
      <c r="DPY205" s="17"/>
      <c r="DPZ205" s="17"/>
      <c r="DQA205" s="17"/>
      <c r="DQB205" s="17"/>
      <c r="DQC205" s="17"/>
      <c r="DQD205" s="17"/>
      <c r="DQE205" s="17"/>
      <c r="DQF205" s="17"/>
      <c r="DQG205" s="17"/>
      <c r="DQH205" s="17"/>
      <c r="DQI205" s="17"/>
      <c r="DQJ205" s="17"/>
      <c r="DQK205" s="17"/>
      <c r="DQL205" s="17"/>
      <c r="DQM205" s="17"/>
      <c r="DQN205" s="17"/>
      <c r="DQO205" s="17"/>
      <c r="DQP205" s="17"/>
      <c r="DQQ205" s="17"/>
      <c r="DQR205" s="17"/>
      <c r="DQS205" s="17"/>
      <c r="DQT205" s="17"/>
      <c r="DQU205" s="17"/>
      <c r="DQV205" s="17"/>
      <c r="DQW205" s="17"/>
      <c r="DQX205" s="17"/>
      <c r="DQY205" s="17"/>
      <c r="DQZ205" s="17"/>
      <c r="DRA205" s="17"/>
      <c r="DRB205" s="17"/>
      <c r="DRC205" s="17"/>
      <c r="DRD205" s="17"/>
      <c r="DRE205" s="17"/>
      <c r="DRF205" s="17"/>
      <c r="DRG205" s="17"/>
      <c r="DRH205" s="17"/>
      <c r="DRI205" s="17"/>
      <c r="DRJ205" s="17"/>
      <c r="DRK205" s="17"/>
      <c r="DRL205" s="17"/>
      <c r="DRM205" s="17"/>
      <c r="DRN205" s="17"/>
      <c r="DRO205" s="17"/>
      <c r="DRP205" s="17"/>
      <c r="DRQ205" s="17"/>
      <c r="DRR205" s="17"/>
      <c r="DRS205" s="17"/>
      <c r="DRT205" s="17"/>
      <c r="DRU205" s="17"/>
      <c r="DRV205" s="17"/>
      <c r="DRW205" s="17"/>
      <c r="DRX205" s="17"/>
      <c r="DRY205" s="17"/>
      <c r="DRZ205" s="17"/>
      <c r="DSA205" s="17"/>
      <c r="DSB205" s="17"/>
      <c r="DSC205" s="17"/>
      <c r="DSD205" s="17"/>
      <c r="DSE205" s="17"/>
      <c r="DSF205" s="17"/>
      <c r="DSG205" s="17"/>
      <c r="DSH205" s="17"/>
      <c r="DSI205" s="17"/>
      <c r="DSJ205" s="17"/>
      <c r="DSK205" s="17"/>
      <c r="DSL205" s="17"/>
      <c r="DSM205" s="17"/>
      <c r="DSN205" s="17"/>
      <c r="DSO205" s="17"/>
      <c r="DSP205" s="17"/>
      <c r="DSQ205" s="17"/>
      <c r="DSR205" s="17"/>
      <c r="DSS205" s="17"/>
      <c r="DST205" s="17"/>
      <c r="DSU205" s="17"/>
      <c r="DSV205" s="17"/>
      <c r="DSW205" s="17"/>
      <c r="DSX205" s="17"/>
      <c r="DSY205" s="17"/>
      <c r="DSZ205" s="17"/>
      <c r="DTA205" s="17"/>
      <c r="DTB205" s="17"/>
      <c r="DTC205" s="17"/>
      <c r="DTD205" s="17"/>
      <c r="DTE205" s="17"/>
      <c r="DTF205" s="17"/>
      <c r="DTG205" s="17"/>
      <c r="DTH205" s="17"/>
      <c r="DTI205" s="17"/>
      <c r="DTJ205" s="17"/>
      <c r="DTK205" s="17"/>
      <c r="DTL205" s="17"/>
      <c r="DTM205" s="17"/>
      <c r="DTN205" s="17"/>
      <c r="DTO205" s="17"/>
      <c r="DTP205" s="17"/>
      <c r="DTQ205" s="17"/>
      <c r="DTR205" s="17"/>
      <c r="DTS205" s="17"/>
      <c r="DTT205" s="17"/>
      <c r="DTU205" s="17"/>
      <c r="DTV205" s="17"/>
      <c r="DTW205" s="17"/>
      <c r="DTX205" s="17"/>
      <c r="DTY205" s="17"/>
      <c r="DTZ205" s="17"/>
      <c r="DUA205" s="17"/>
      <c r="DUB205" s="17"/>
      <c r="DUC205" s="17"/>
      <c r="DUD205" s="17"/>
      <c r="DUE205" s="17"/>
      <c r="DUF205" s="17"/>
      <c r="DUG205" s="17"/>
      <c r="DUH205" s="17"/>
      <c r="DUI205" s="17"/>
      <c r="DUJ205" s="17"/>
      <c r="DUK205" s="17"/>
      <c r="DUL205" s="17"/>
      <c r="DUM205" s="17"/>
      <c r="DUN205" s="17"/>
      <c r="DUO205" s="17"/>
      <c r="DUP205" s="17"/>
      <c r="DUQ205" s="17"/>
      <c r="DUR205" s="17"/>
      <c r="DUS205" s="17"/>
      <c r="DUT205" s="17"/>
      <c r="DUU205" s="17"/>
      <c r="DUV205" s="17"/>
      <c r="DUW205" s="17"/>
      <c r="DUX205" s="17"/>
      <c r="DUY205" s="17"/>
      <c r="DUZ205" s="17"/>
      <c r="DVA205" s="17"/>
      <c r="DVB205" s="17"/>
      <c r="DVC205" s="17"/>
      <c r="DVD205" s="17"/>
      <c r="DVE205" s="17"/>
      <c r="DVF205" s="17"/>
      <c r="DVG205" s="17"/>
      <c r="DVH205" s="17"/>
      <c r="DVI205" s="17"/>
      <c r="DVJ205" s="17"/>
      <c r="DVK205" s="17"/>
      <c r="DVL205" s="17"/>
      <c r="DVM205" s="17"/>
      <c r="DVN205" s="17"/>
      <c r="DVO205" s="17"/>
      <c r="DVP205" s="17"/>
      <c r="DVQ205" s="17"/>
      <c r="DVR205" s="17"/>
      <c r="DVS205" s="17"/>
      <c r="DVT205" s="17"/>
      <c r="DVU205" s="17"/>
      <c r="DVV205" s="17"/>
      <c r="DVW205" s="17"/>
      <c r="DVX205" s="17"/>
      <c r="DVY205" s="17"/>
      <c r="DVZ205" s="17"/>
      <c r="DWA205" s="17"/>
      <c r="DWB205" s="17"/>
      <c r="DWC205" s="17"/>
      <c r="DWD205" s="17"/>
      <c r="DWE205" s="17"/>
      <c r="DWF205" s="17"/>
      <c r="DWG205" s="17"/>
      <c r="DWH205" s="17"/>
      <c r="DWI205" s="17"/>
      <c r="DWJ205" s="17"/>
      <c r="DWK205" s="17"/>
      <c r="DWL205" s="17"/>
      <c r="DWM205" s="17"/>
      <c r="DWN205" s="17"/>
      <c r="DWO205" s="17"/>
      <c r="DWP205" s="17"/>
      <c r="DWQ205" s="17"/>
      <c r="DWR205" s="17"/>
      <c r="DWS205" s="17"/>
      <c r="DWT205" s="17"/>
      <c r="DWU205" s="17"/>
      <c r="DWV205" s="17"/>
      <c r="DWW205" s="17"/>
      <c r="DWX205" s="17"/>
      <c r="DWY205" s="17"/>
      <c r="DWZ205" s="17"/>
      <c r="DXA205" s="17"/>
      <c r="DXB205" s="17"/>
      <c r="DXC205" s="17"/>
      <c r="DXD205" s="17"/>
      <c r="DXE205" s="17"/>
      <c r="DXF205" s="17"/>
      <c r="DXG205" s="17"/>
      <c r="DXH205" s="17"/>
      <c r="DXI205" s="17"/>
      <c r="DXJ205" s="17"/>
      <c r="DXK205" s="17"/>
      <c r="DXL205" s="17"/>
      <c r="DXM205" s="17"/>
      <c r="DXN205" s="17"/>
      <c r="DXO205" s="17"/>
      <c r="DXP205" s="17"/>
      <c r="DXQ205" s="17"/>
      <c r="DXR205" s="17"/>
      <c r="DXS205" s="17"/>
      <c r="DXT205" s="17"/>
      <c r="DXU205" s="17"/>
      <c r="DXV205" s="17"/>
      <c r="DXW205" s="17"/>
      <c r="DXX205" s="17"/>
      <c r="DXY205" s="17"/>
      <c r="DXZ205" s="17"/>
      <c r="DYA205" s="17"/>
      <c r="DYB205" s="17"/>
      <c r="DYC205" s="17"/>
      <c r="DYD205" s="17"/>
      <c r="DYE205" s="17"/>
      <c r="DYF205" s="17"/>
      <c r="DYG205" s="17"/>
      <c r="DYH205" s="17"/>
      <c r="DYI205" s="17"/>
      <c r="DYJ205" s="17"/>
      <c r="DYK205" s="17"/>
      <c r="DYL205" s="17"/>
      <c r="DYM205" s="17"/>
      <c r="DYN205" s="17"/>
      <c r="DYO205" s="17"/>
      <c r="DYP205" s="17"/>
      <c r="DYQ205" s="17"/>
      <c r="DYR205" s="17"/>
      <c r="DYS205" s="17"/>
      <c r="DYT205" s="17"/>
      <c r="DYU205" s="17"/>
      <c r="DYV205" s="17"/>
      <c r="DYW205" s="17"/>
      <c r="DYX205" s="17"/>
      <c r="DYY205" s="17"/>
      <c r="DYZ205" s="17"/>
      <c r="DZA205" s="17"/>
      <c r="DZB205" s="17"/>
      <c r="DZC205" s="17"/>
      <c r="DZD205" s="17"/>
      <c r="DZE205" s="17"/>
      <c r="DZF205" s="17"/>
      <c r="DZG205" s="17"/>
      <c r="DZH205" s="17"/>
      <c r="DZI205" s="17"/>
      <c r="DZJ205" s="17"/>
      <c r="DZK205" s="17"/>
      <c r="DZL205" s="17"/>
      <c r="DZM205" s="17"/>
      <c r="DZN205" s="17"/>
      <c r="DZO205" s="17"/>
      <c r="DZP205" s="17"/>
      <c r="DZQ205" s="17"/>
      <c r="DZR205" s="17"/>
      <c r="DZS205" s="17"/>
      <c r="DZT205" s="17"/>
      <c r="DZU205" s="17"/>
      <c r="DZV205" s="17"/>
      <c r="DZW205" s="17"/>
      <c r="DZX205" s="17"/>
      <c r="DZY205" s="17"/>
      <c r="DZZ205" s="17"/>
      <c r="EAA205" s="17"/>
      <c r="EAB205" s="17"/>
      <c r="EAC205" s="17"/>
      <c r="EAD205" s="17"/>
      <c r="EAE205" s="17"/>
      <c r="EAF205" s="17"/>
      <c r="EAG205" s="17"/>
      <c r="EAH205" s="17"/>
      <c r="EAI205" s="17"/>
      <c r="EAJ205" s="17"/>
      <c r="EAK205" s="17"/>
      <c r="EAL205" s="17"/>
      <c r="EAM205" s="17"/>
      <c r="EAN205" s="17"/>
      <c r="EAO205" s="17"/>
      <c r="EAP205" s="17"/>
      <c r="EAQ205" s="17"/>
      <c r="EAR205" s="17"/>
      <c r="EAS205" s="17"/>
      <c r="EAT205" s="17"/>
      <c r="EAU205" s="17"/>
      <c r="EAV205" s="17"/>
      <c r="EAW205" s="17"/>
      <c r="EAX205" s="17"/>
      <c r="EAY205" s="17"/>
      <c r="EAZ205" s="17"/>
      <c r="EBA205" s="17"/>
      <c r="EBB205" s="17"/>
      <c r="EBC205" s="17"/>
      <c r="EBD205" s="17"/>
      <c r="EBE205" s="17"/>
      <c r="EBF205" s="17"/>
      <c r="EBG205" s="17"/>
      <c r="EBH205" s="17"/>
      <c r="EBI205" s="17"/>
      <c r="EBJ205" s="17"/>
      <c r="EBK205" s="17"/>
      <c r="EBL205" s="17"/>
      <c r="EBM205" s="17"/>
      <c r="EBN205" s="17"/>
      <c r="EBO205" s="17"/>
      <c r="EBP205" s="17"/>
      <c r="EBQ205" s="17"/>
      <c r="EBR205" s="17"/>
      <c r="EBS205" s="17"/>
      <c r="EBT205" s="17"/>
      <c r="EBU205" s="17"/>
      <c r="EBV205" s="17"/>
      <c r="EBW205" s="17"/>
      <c r="EBX205" s="17"/>
      <c r="EBY205" s="17"/>
      <c r="EBZ205" s="17"/>
      <c r="ECA205" s="17"/>
      <c r="ECB205" s="17"/>
      <c r="ECC205" s="17"/>
      <c r="ECD205" s="17"/>
      <c r="ECE205" s="17"/>
      <c r="ECF205" s="17"/>
      <c r="ECG205" s="17"/>
      <c r="ECH205" s="17"/>
      <c r="ECI205" s="17"/>
      <c r="ECJ205" s="17"/>
      <c r="ECK205" s="17"/>
      <c r="ECL205" s="17"/>
      <c r="ECM205" s="17"/>
      <c r="ECN205" s="17"/>
      <c r="ECO205" s="17"/>
      <c r="ECP205" s="17"/>
      <c r="ECQ205" s="17"/>
      <c r="ECR205" s="17"/>
      <c r="ECS205" s="17"/>
      <c r="ECT205" s="17"/>
      <c r="ECU205" s="17"/>
      <c r="ECV205" s="17"/>
      <c r="ECW205" s="17"/>
      <c r="ECX205" s="17"/>
      <c r="ECY205" s="17"/>
      <c r="ECZ205" s="17"/>
      <c r="EDA205" s="17"/>
      <c r="EDB205" s="17"/>
      <c r="EDC205" s="17"/>
      <c r="EDD205" s="17"/>
      <c r="EDE205" s="17"/>
      <c r="EDF205" s="17"/>
      <c r="EDG205" s="17"/>
      <c r="EDH205" s="17"/>
      <c r="EDI205" s="17"/>
      <c r="EDJ205" s="17"/>
      <c r="EDK205" s="17"/>
      <c r="EDL205" s="17"/>
      <c r="EDM205" s="17"/>
      <c r="EDN205" s="17"/>
      <c r="EDO205" s="17"/>
      <c r="EDP205" s="17"/>
      <c r="EDQ205" s="17"/>
      <c r="EDR205" s="17"/>
      <c r="EDS205" s="17"/>
      <c r="EDT205" s="17"/>
      <c r="EDU205" s="17"/>
      <c r="EDV205" s="17"/>
      <c r="EDW205" s="17"/>
      <c r="EDX205" s="17"/>
      <c r="EDY205" s="17"/>
      <c r="EDZ205" s="17"/>
      <c r="EEA205" s="17"/>
      <c r="EEB205" s="17"/>
      <c r="EEC205" s="17"/>
      <c r="EED205" s="17"/>
      <c r="EEE205" s="17"/>
      <c r="EEF205" s="17"/>
      <c r="EEG205" s="17"/>
      <c r="EEH205" s="17"/>
      <c r="EEI205" s="17"/>
      <c r="EEJ205" s="17"/>
      <c r="EEK205" s="17"/>
      <c r="EEL205" s="17"/>
      <c r="EEM205" s="17"/>
      <c r="EEN205" s="17"/>
      <c r="EEO205" s="17"/>
      <c r="EEP205" s="17"/>
      <c r="EEQ205" s="17"/>
      <c r="EER205" s="17"/>
      <c r="EES205" s="17"/>
      <c r="EET205" s="17"/>
      <c r="EEU205" s="17"/>
      <c r="EEV205" s="17"/>
      <c r="EEW205" s="17"/>
      <c r="EEX205" s="17"/>
      <c r="EEY205" s="17"/>
      <c r="EEZ205" s="17"/>
      <c r="EFA205" s="17"/>
      <c r="EFB205" s="17"/>
      <c r="EFC205" s="17"/>
      <c r="EFD205" s="17"/>
      <c r="EFE205" s="17"/>
      <c r="EFF205" s="17"/>
      <c r="EFG205" s="17"/>
      <c r="EFH205" s="17"/>
      <c r="EFI205" s="17"/>
      <c r="EFJ205" s="17"/>
      <c r="EFK205" s="17"/>
      <c r="EFL205" s="17"/>
      <c r="EFM205" s="17"/>
      <c r="EFN205" s="17"/>
      <c r="EFO205" s="17"/>
      <c r="EFP205" s="17"/>
      <c r="EFQ205" s="17"/>
      <c r="EFR205" s="17"/>
      <c r="EFS205" s="17"/>
      <c r="EFT205" s="17"/>
      <c r="EFU205" s="17"/>
      <c r="EFV205" s="17"/>
      <c r="EFW205" s="17"/>
      <c r="EFX205" s="17"/>
      <c r="EFY205" s="17"/>
      <c r="EFZ205" s="17"/>
      <c r="EGA205" s="17"/>
      <c r="EGB205" s="17"/>
      <c r="EGC205" s="17"/>
      <c r="EGD205" s="17"/>
      <c r="EGE205" s="17"/>
      <c r="EGF205" s="17"/>
      <c r="EGG205" s="17"/>
      <c r="EGH205" s="17"/>
      <c r="EGI205" s="17"/>
      <c r="EGJ205" s="17"/>
      <c r="EGK205" s="17"/>
      <c r="EGL205" s="17"/>
      <c r="EGM205" s="17"/>
      <c r="EGN205" s="17"/>
      <c r="EGO205" s="17"/>
      <c r="EGP205" s="17"/>
      <c r="EGQ205" s="17"/>
      <c r="EGR205" s="17"/>
      <c r="EGS205" s="17"/>
      <c r="EGT205" s="17"/>
      <c r="EGU205" s="17"/>
      <c r="EGV205" s="17"/>
      <c r="EGW205" s="17"/>
      <c r="EGX205" s="17"/>
      <c r="EGY205" s="17"/>
      <c r="EGZ205" s="17"/>
      <c r="EHA205" s="17"/>
      <c r="EHB205" s="17"/>
      <c r="EHC205" s="17"/>
      <c r="EHD205" s="17"/>
      <c r="EHE205" s="17"/>
      <c r="EHF205" s="17"/>
      <c r="EHG205" s="17"/>
      <c r="EHH205" s="17"/>
      <c r="EHI205" s="17"/>
      <c r="EHJ205" s="17"/>
      <c r="EHK205" s="17"/>
      <c r="EHL205" s="17"/>
      <c r="EHM205" s="17"/>
      <c r="EHN205" s="17"/>
      <c r="EHO205" s="17"/>
      <c r="EHP205" s="17"/>
      <c r="EHQ205" s="17"/>
      <c r="EHR205" s="17"/>
      <c r="EHS205" s="17"/>
      <c r="EHT205" s="17"/>
      <c r="EHU205" s="17"/>
      <c r="EHV205" s="17"/>
      <c r="EHW205" s="17"/>
      <c r="EHX205" s="17"/>
      <c r="EHY205" s="17"/>
      <c r="EHZ205" s="17"/>
      <c r="EIA205" s="17"/>
      <c r="EIB205" s="17"/>
      <c r="EIC205" s="17"/>
      <c r="EID205" s="17"/>
      <c r="EIE205" s="17"/>
      <c r="EIF205" s="17"/>
      <c r="EIG205" s="17"/>
      <c r="EIH205" s="17"/>
      <c r="EII205" s="17"/>
      <c r="EIJ205" s="17"/>
      <c r="EIK205" s="17"/>
      <c r="EIL205" s="17"/>
      <c r="EIM205" s="17"/>
      <c r="EIN205" s="17"/>
      <c r="EIO205" s="17"/>
      <c r="EIP205" s="17"/>
      <c r="EIQ205" s="17"/>
      <c r="EIR205" s="17"/>
      <c r="EIS205" s="17"/>
      <c r="EIT205" s="17"/>
      <c r="EIU205" s="17"/>
      <c r="EIV205" s="17"/>
      <c r="EIW205" s="17"/>
      <c r="EIX205" s="17"/>
      <c r="EIY205" s="17"/>
      <c r="EIZ205" s="17"/>
      <c r="EJA205" s="17"/>
      <c r="EJB205" s="17"/>
      <c r="EJC205" s="17"/>
      <c r="EJD205" s="17"/>
      <c r="EJE205" s="17"/>
      <c r="EJF205" s="17"/>
      <c r="EJG205" s="17"/>
      <c r="EJH205" s="17"/>
      <c r="EJI205" s="17"/>
      <c r="EJJ205" s="17"/>
      <c r="EJK205" s="17"/>
      <c r="EJL205" s="17"/>
      <c r="EJM205" s="17"/>
      <c r="EJN205" s="17"/>
      <c r="EJO205" s="17"/>
      <c r="EJP205" s="17"/>
      <c r="EJQ205" s="17"/>
      <c r="EJR205" s="17"/>
      <c r="EJS205" s="17"/>
      <c r="EJT205" s="17"/>
      <c r="EJU205" s="17"/>
      <c r="EJV205" s="17"/>
      <c r="EJW205" s="17"/>
      <c r="EJX205" s="17"/>
      <c r="EJY205" s="17"/>
      <c r="EJZ205" s="17"/>
      <c r="EKA205" s="17"/>
      <c r="EKB205" s="17"/>
      <c r="EKC205" s="17"/>
      <c r="EKD205" s="17"/>
      <c r="EKE205" s="17"/>
      <c r="EKF205" s="17"/>
      <c r="EKG205" s="17"/>
      <c r="EKH205" s="17"/>
      <c r="EKI205" s="17"/>
      <c r="EKJ205" s="17"/>
      <c r="EKK205" s="17"/>
      <c r="EKL205" s="17"/>
      <c r="EKM205" s="17"/>
      <c r="EKN205" s="17"/>
      <c r="EKO205" s="17"/>
      <c r="EKP205" s="17"/>
      <c r="EKQ205" s="17"/>
      <c r="EKR205" s="17"/>
      <c r="EKS205" s="17"/>
      <c r="EKT205" s="17"/>
      <c r="EKU205" s="17"/>
      <c r="EKV205" s="17"/>
      <c r="EKW205" s="17"/>
      <c r="EKX205" s="17"/>
      <c r="EKY205" s="17"/>
      <c r="EKZ205" s="17"/>
      <c r="ELA205" s="17"/>
      <c r="ELB205" s="17"/>
      <c r="ELC205" s="17"/>
      <c r="ELD205" s="17"/>
      <c r="ELE205" s="17"/>
      <c r="ELF205" s="17"/>
      <c r="ELG205" s="17"/>
      <c r="ELH205" s="17"/>
      <c r="ELI205" s="17"/>
      <c r="ELJ205" s="17"/>
      <c r="ELK205" s="17"/>
      <c r="ELL205" s="17"/>
      <c r="ELM205" s="17"/>
      <c r="ELN205" s="17"/>
      <c r="ELO205" s="17"/>
      <c r="ELP205" s="17"/>
      <c r="ELQ205" s="17"/>
      <c r="ELR205" s="17"/>
      <c r="ELS205" s="17"/>
      <c r="ELT205" s="17"/>
      <c r="ELU205" s="17"/>
      <c r="ELV205" s="17"/>
      <c r="ELW205" s="17"/>
      <c r="ELX205" s="17"/>
      <c r="ELY205" s="17"/>
      <c r="ELZ205" s="17"/>
      <c r="EMA205" s="17"/>
      <c r="EMB205" s="17"/>
      <c r="EMC205" s="17"/>
      <c r="EMD205" s="17"/>
      <c r="EME205" s="17"/>
      <c r="EMF205" s="17"/>
      <c r="EMG205" s="17"/>
      <c r="EMH205" s="17"/>
      <c r="EMI205" s="17"/>
      <c r="EMJ205" s="17"/>
      <c r="EMK205" s="17"/>
      <c r="EML205" s="17"/>
      <c r="EMM205" s="17"/>
      <c r="EMN205" s="17"/>
      <c r="EMO205" s="17"/>
      <c r="EMP205" s="17"/>
      <c r="EMQ205" s="17"/>
      <c r="EMR205" s="17"/>
      <c r="EMS205" s="17"/>
      <c r="EMT205" s="17"/>
      <c r="EMU205" s="17"/>
      <c r="EMV205" s="17"/>
      <c r="EMW205" s="17"/>
      <c r="EMX205" s="17"/>
      <c r="EMY205" s="17"/>
      <c r="EMZ205" s="17"/>
      <c r="ENA205" s="17"/>
      <c r="ENB205" s="17"/>
      <c r="ENC205" s="17"/>
      <c r="END205" s="17"/>
      <c r="ENE205" s="17"/>
      <c r="ENF205" s="17"/>
      <c r="ENG205" s="17"/>
      <c r="ENH205" s="17"/>
      <c r="ENI205" s="17"/>
      <c r="ENJ205" s="17"/>
      <c r="ENK205" s="17"/>
      <c r="ENL205" s="17"/>
      <c r="ENM205" s="17"/>
      <c r="ENN205" s="17"/>
      <c r="ENO205" s="17"/>
      <c r="ENP205" s="17"/>
      <c r="ENQ205" s="17"/>
      <c r="ENR205" s="17"/>
      <c r="ENS205" s="17"/>
      <c r="ENT205" s="17"/>
      <c r="ENU205" s="17"/>
      <c r="ENV205" s="17"/>
      <c r="ENW205" s="17"/>
      <c r="ENX205" s="17"/>
      <c r="ENY205" s="17"/>
      <c r="ENZ205" s="17"/>
      <c r="EOA205" s="17"/>
      <c r="EOB205" s="17"/>
      <c r="EOC205" s="17"/>
      <c r="EOD205" s="17"/>
      <c r="EOE205" s="17"/>
      <c r="EOF205" s="17"/>
      <c r="EOG205" s="17"/>
      <c r="EOH205" s="17"/>
      <c r="EOI205" s="17"/>
      <c r="EOJ205" s="17"/>
      <c r="EOK205" s="17"/>
      <c r="EOL205" s="17"/>
      <c r="EOM205" s="17"/>
      <c r="EON205" s="17"/>
      <c r="EOO205" s="17"/>
      <c r="EOP205" s="17"/>
      <c r="EOQ205" s="17"/>
      <c r="EOR205" s="17"/>
      <c r="EOS205" s="17"/>
      <c r="EOT205" s="17"/>
      <c r="EOU205" s="17"/>
      <c r="EOV205" s="17"/>
      <c r="EOW205" s="17"/>
      <c r="EOX205" s="17"/>
      <c r="EOY205" s="17"/>
      <c r="EOZ205" s="17"/>
      <c r="EPA205" s="17"/>
      <c r="EPB205" s="17"/>
      <c r="EPC205" s="17"/>
      <c r="EPD205" s="17"/>
      <c r="EPE205" s="17"/>
      <c r="EPF205" s="17"/>
      <c r="EPG205" s="17"/>
      <c r="EPH205" s="17"/>
      <c r="EPI205" s="17"/>
      <c r="EPJ205" s="17"/>
      <c r="EPK205" s="17"/>
      <c r="EPL205" s="17"/>
      <c r="EPM205" s="17"/>
      <c r="EPN205" s="17"/>
      <c r="EPO205" s="17"/>
      <c r="EPP205" s="17"/>
      <c r="EPQ205" s="17"/>
      <c r="EPR205" s="17"/>
      <c r="EPS205" s="17"/>
      <c r="EPT205" s="17"/>
      <c r="EPU205" s="17"/>
      <c r="EPV205" s="17"/>
      <c r="EPW205" s="17"/>
      <c r="EPX205" s="17"/>
      <c r="EPY205" s="17"/>
      <c r="EPZ205" s="17"/>
      <c r="EQA205" s="17"/>
      <c r="EQB205" s="17"/>
      <c r="EQC205" s="17"/>
      <c r="EQD205" s="17"/>
      <c r="EQE205" s="17"/>
      <c r="EQF205" s="17"/>
      <c r="EQG205" s="17"/>
      <c r="EQH205" s="17"/>
      <c r="EQI205" s="17"/>
      <c r="EQJ205" s="17"/>
      <c r="EQK205" s="17"/>
      <c r="EQL205" s="17"/>
      <c r="EQM205" s="17"/>
      <c r="EQN205" s="17"/>
      <c r="EQO205" s="17"/>
      <c r="EQP205" s="17"/>
      <c r="EQQ205" s="17"/>
      <c r="EQR205" s="17"/>
      <c r="EQS205" s="17"/>
      <c r="EQT205" s="17"/>
      <c r="EQU205" s="17"/>
      <c r="EQV205" s="17"/>
      <c r="EQW205" s="17"/>
      <c r="EQX205" s="17"/>
      <c r="EQY205" s="17"/>
      <c r="EQZ205" s="17"/>
      <c r="ERA205" s="17"/>
      <c r="ERB205" s="17"/>
      <c r="ERC205" s="17"/>
      <c r="ERD205" s="17"/>
      <c r="ERE205" s="17"/>
      <c r="ERF205" s="17"/>
      <c r="ERG205" s="17"/>
      <c r="ERH205" s="17"/>
      <c r="ERI205" s="17"/>
      <c r="ERJ205" s="17"/>
      <c r="ERK205" s="17"/>
      <c r="ERL205" s="17"/>
      <c r="ERM205" s="17"/>
      <c r="ERN205" s="17"/>
      <c r="ERO205" s="17"/>
      <c r="ERP205" s="17"/>
      <c r="ERQ205" s="17"/>
      <c r="ERR205" s="17"/>
      <c r="ERS205" s="17"/>
      <c r="ERT205" s="17"/>
      <c r="ERU205" s="17"/>
      <c r="ERV205" s="17"/>
      <c r="ERW205" s="17"/>
      <c r="ERX205" s="17"/>
      <c r="ERY205" s="17"/>
      <c r="ERZ205" s="17"/>
      <c r="ESA205" s="17"/>
      <c r="ESB205" s="17"/>
      <c r="ESC205" s="17"/>
      <c r="ESD205" s="17"/>
      <c r="ESE205" s="17"/>
      <c r="ESF205" s="17"/>
      <c r="ESG205" s="17"/>
      <c r="ESH205" s="17"/>
      <c r="ESI205" s="17"/>
      <c r="ESJ205" s="17"/>
      <c r="ESK205" s="17"/>
      <c r="ESL205" s="17"/>
      <c r="ESM205" s="17"/>
      <c r="ESN205" s="17"/>
      <c r="ESO205" s="17"/>
      <c r="ESP205" s="17"/>
      <c r="ESQ205" s="17"/>
      <c r="ESR205" s="17"/>
      <c r="ESS205" s="17"/>
      <c r="EST205" s="17"/>
      <c r="ESU205" s="17"/>
      <c r="ESV205" s="17"/>
      <c r="ESW205" s="17"/>
      <c r="ESX205" s="17"/>
      <c r="ESY205" s="17"/>
      <c r="ESZ205" s="17"/>
      <c r="ETA205" s="17"/>
      <c r="ETB205" s="17"/>
      <c r="ETC205" s="17"/>
      <c r="ETD205" s="17"/>
      <c r="ETE205" s="17"/>
      <c r="ETF205" s="17"/>
      <c r="ETG205" s="17"/>
      <c r="ETH205" s="17"/>
      <c r="ETI205" s="17"/>
      <c r="ETJ205" s="17"/>
      <c r="ETK205" s="17"/>
      <c r="ETL205" s="17"/>
      <c r="ETM205" s="17"/>
      <c r="ETN205" s="17"/>
      <c r="ETO205" s="17"/>
      <c r="ETP205" s="17"/>
      <c r="ETQ205" s="17"/>
      <c r="ETR205" s="17"/>
      <c r="ETS205" s="17"/>
      <c r="ETT205" s="17"/>
      <c r="ETU205" s="17"/>
      <c r="ETV205" s="17"/>
      <c r="ETW205" s="17"/>
      <c r="ETX205" s="17"/>
      <c r="ETY205" s="17"/>
      <c r="ETZ205" s="17"/>
      <c r="EUA205" s="17"/>
      <c r="EUB205" s="17"/>
      <c r="EUC205" s="17"/>
      <c r="EUD205" s="17"/>
      <c r="EUE205" s="17"/>
      <c r="EUF205" s="17"/>
      <c r="EUG205" s="17"/>
      <c r="EUH205" s="17"/>
      <c r="EUI205" s="17"/>
      <c r="EUJ205" s="17"/>
      <c r="EUK205" s="17"/>
      <c r="EUL205" s="17"/>
      <c r="EUM205" s="17"/>
      <c r="EUN205" s="17"/>
      <c r="EUO205" s="17"/>
      <c r="EUP205" s="17"/>
      <c r="EUQ205" s="17"/>
      <c r="EUR205" s="17"/>
      <c r="EUS205" s="17"/>
      <c r="EUT205" s="17"/>
      <c r="EUU205" s="17"/>
      <c r="EUV205" s="17"/>
      <c r="EUW205" s="17"/>
      <c r="EUX205" s="17"/>
      <c r="EUY205" s="17"/>
      <c r="EUZ205" s="17"/>
      <c r="EVA205" s="17"/>
      <c r="EVB205" s="17"/>
      <c r="EVC205" s="17"/>
      <c r="EVD205" s="17"/>
      <c r="EVE205" s="17"/>
      <c r="EVF205" s="17"/>
      <c r="EVG205" s="17"/>
      <c r="EVH205" s="17"/>
      <c r="EVI205" s="17"/>
      <c r="EVJ205" s="17"/>
      <c r="EVK205" s="17"/>
      <c r="EVL205" s="17"/>
      <c r="EVM205" s="17"/>
      <c r="EVN205" s="17"/>
      <c r="EVO205" s="17"/>
      <c r="EVP205" s="17"/>
      <c r="EVQ205" s="17"/>
      <c r="EVR205" s="17"/>
      <c r="EVS205" s="17"/>
      <c r="EVT205" s="17"/>
      <c r="EVU205" s="17"/>
      <c r="EVV205" s="17"/>
      <c r="EVW205" s="17"/>
      <c r="EVX205" s="17"/>
      <c r="EVY205" s="17"/>
      <c r="EVZ205" s="17"/>
      <c r="EWA205" s="17"/>
      <c r="EWB205" s="17"/>
      <c r="EWC205" s="17"/>
      <c r="EWD205" s="17"/>
      <c r="EWE205" s="17"/>
      <c r="EWF205" s="17"/>
      <c r="EWG205" s="17"/>
      <c r="EWH205" s="17"/>
      <c r="EWI205" s="17"/>
      <c r="EWJ205" s="17"/>
      <c r="EWK205" s="17"/>
      <c r="EWL205" s="17"/>
      <c r="EWM205" s="17"/>
      <c r="EWN205" s="17"/>
      <c r="EWO205" s="17"/>
      <c r="EWP205" s="17"/>
      <c r="EWQ205" s="17"/>
      <c r="EWR205" s="17"/>
      <c r="EWS205" s="17"/>
      <c r="EWT205" s="17"/>
      <c r="EWU205" s="17"/>
      <c r="EWV205" s="17"/>
      <c r="EWW205" s="17"/>
      <c r="EWX205" s="17"/>
      <c r="EWY205" s="17"/>
      <c r="EWZ205" s="17"/>
      <c r="EXA205" s="17"/>
      <c r="EXB205" s="17"/>
      <c r="EXC205" s="17"/>
      <c r="EXD205" s="17"/>
      <c r="EXE205" s="17"/>
      <c r="EXF205" s="17"/>
      <c r="EXG205" s="17"/>
      <c r="EXH205" s="17"/>
      <c r="EXI205" s="17"/>
      <c r="EXJ205" s="17"/>
      <c r="EXK205" s="17"/>
      <c r="EXL205" s="17"/>
      <c r="EXM205" s="17"/>
      <c r="EXN205" s="17"/>
      <c r="EXO205" s="17"/>
      <c r="EXP205" s="17"/>
      <c r="EXQ205" s="17"/>
      <c r="EXR205" s="17"/>
      <c r="EXS205" s="17"/>
      <c r="EXT205" s="17"/>
      <c r="EXU205" s="17"/>
      <c r="EXV205" s="17"/>
      <c r="EXW205" s="17"/>
      <c r="EXX205" s="17"/>
      <c r="EXY205" s="17"/>
      <c r="EXZ205" s="17"/>
      <c r="EYA205" s="17"/>
      <c r="EYB205" s="17"/>
      <c r="EYC205" s="17"/>
      <c r="EYD205" s="17"/>
      <c r="EYE205" s="17"/>
      <c r="EYF205" s="17"/>
      <c r="EYG205" s="17"/>
      <c r="EYH205" s="17"/>
      <c r="EYI205" s="17"/>
      <c r="EYJ205" s="17"/>
      <c r="EYK205" s="17"/>
      <c r="EYL205" s="17"/>
      <c r="EYM205" s="17"/>
      <c r="EYN205" s="17"/>
      <c r="EYO205" s="17"/>
      <c r="EYP205" s="17"/>
      <c r="EYQ205" s="17"/>
      <c r="EYR205" s="17"/>
      <c r="EYS205" s="17"/>
      <c r="EYT205" s="17"/>
      <c r="EYU205" s="17"/>
      <c r="EYV205" s="17"/>
      <c r="EYW205" s="17"/>
      <c r="EYX205" s="17"/>
      <c r="EYY205" s="17"/>
      <c r="EYZ205" s="17"/>
      <c r="EZA205" s="17"/>
      <c r="EZB205" s="17"/>
      <c r="EZC205" s="17"/>
      <c r="EZD205" s="17"/>
      <c r="EZE205" s="17"/>
      <c r="EZF205" s="17"/>
      <c r="EZG205" s="17"/>
      <c r="EZH205" s="17"/>
      <c r="EZI205" s="17"/>
      <c r="EZJ205" s="17"/>
      <c r="EZK205" s="17"/>
      <c r="EZL205" s="17"/>
      <c r="EZM205" s="17"/>
      <c r="EZN205" s="17"/>
      <c r="EZO205" s="17"/>
      <c r="EZP205" s="17"/>
      <c r="EZQ205" s="17"/>
      <c r="EZR205" s="17"/>
      <c r="EZS205" s="17"/>
      <c r="EZT205" s="17"/>
      <c r="EZU205" s="17"/>
      <c r="EZV205" s="17"/>
      <c r="EZW205" s="17"/>
      <c r="EZX205" s="17"/>
      <c r="EZY205" s="17"/>
      <c r="EZZ205" s="17"/>
      <c r="FAA205" s="17"/>
      <c r="FAB205" s="17"/>
      <c r="FAC205" s="17"/>
      <c r="FAD205" s="17"/>
      <c r="FAE205" s="17"/>
      <c r="FAF205" s="17"/>
      <c r="FAG205" s="17"/>
      <c r="FAH205" s="17"/>
      <c r="FAI205" s="17"/>
      <c r="FAJ205" s="17"/>
      <c r="FAK205" s="17"/>
      <c r="FAL205" s="17"/>
      <c r="FAM205" s="17"/>
      <c r="FAN205" s="17"/>
      <c r="FAO205" s="17"/>
      <c r="FAP205" s="17"/>
      <c r="FAQ205" s="17"/>
      <c r="FAR205" s="17"/>
      <c r="FAS205" s="17"/>
      <c r="FAT205" s="17"/>
      <c r="FAU205" s="17"/>
      <c r="FAV205" s="17"/>
      <c r="FAW205" s="17"/>
      <c r="FAX205" s="17"/>
      <c r="FAY205" s="17"/>
      <c r="FAZ205" s="17"/>
      <c r="FBA205" s="17"/>
      <c r="FBB205" s="17"/>
      <c r="FBC205" s="17"/>
      <c r="FBD205" s="17"/>
      <c r="FBE205" s="17"/>
      <c r="FBF205" s="17"/>
      <c r="FBG205" s="17"/>
      <c r="FBH205" s="17"/>
      <c r="FBI205" s="17"/>
      <c r="FBJ205" s="17"/>
      <c r="FBK205" s="17"/>
      <c r="FBL205" s="17"/>
      <c r="FBM205" s="17"/>
      <c r="FBN205" s="17"/>
      <c r="FBO205" s="17"/>
      <c r="FBP205" s="17"/>
      <c r="FBQ205" s="17"/>
      <c r="FBR205" s="17"/>
      <c r="FBS205" s="17"/>
      <c r="FBT205" s="17"/>
      <c r="FBU205" s="17"/>
      <c r="FBV205" s="17"/>
      <c r="FBW205" s="17"/>
      <c r="FBX205" s="17"/>
      <c r="FBY205" s="17"/>
      <c r="FBZ205" s="17"/>
      <c r="FCA205" s="17"/>
      <c r="FCB205" s="17"/>
      <c r="FCC205" s="17"/>
      <c r="FCD205" s="17"/>
      <c r="FCE205" s="17"/>
      <c r="FCF205" s="17"/>
      <c r="FCG205" s="17"/>
      <c r="FCH205" s="17"/>
      <c r="FCI205" s="17"/>
      <c r="FCJ205" s="17"/>
      <c r="FCK205" s="17"/>
      <c r="FCL205" s="17"/>
      <c r="FCM205" s="17"/>
      <c r="FCN205" s="17"/>
      <c r="FCO205" s="17"/>
      <c r="FCP205" s="17"/>
      <c r="FCQ205" s="17"/>
      <c r="FCR205" s="17"/>
      <c r="FCS205" s="17"/>
      <c r="FCT205" s="17"/>
      <c r="FCU205" s="17"/>
      <c r="FCV205" s="17"/>
      <c r="FCW205" s="17"/>
      <c r="FCX205" s="17"/>
      <c r="FCY205" s="17"/>
      <c r="FCZ205" s="17"/>
      <c r="FDA205" s="17"/>
      <c r="FDB205" s="17"/>
      <c r="FDC205" s="17"/>
      <c r="FDD205" s="17"/>
      <c r="FDE205" s="17"/>
      <c r="FDF205" s="17"/>
      <c r="FDG205" s="17"/>
      <c r="FDH205" s="17"/>
      <c r="FDI205" s="17"/>
      <c r="FDJ205" s="17"/>
      <c r="FDK205" s="17"/>
      <c r="FDL205" s="17"/>
      <c r="FDM205" s="17"/>
      <c r="FDN205" s="17"/>
      <c r="FDO205" s="17"/>
      <c r="FDP205" s="17"/>
      <c r="FDQ205" s="17"/>
      <c r="FDR205" s="17"/>
      <c r="FDS205" s="17"/>
      <c r="FDT205" s="17"/>
      <c r="FDU205" s="17"/>
      <c r="FDV205" s="17"/>
      <c r="FDW205" s="17"/>
      <c r="FDX205" s="17"/>
      <c r="FDY205" s="17"/>
      <c r="FDZ205" s="17"/>
      <c r="FEA205" s="17"/>
      <c r="FEB205" s="17"/>
      <c r="FEC205" s="17"/>
      <c r="FED205" s="17"/>
      <c r="FEE205" s="17"/>
      <c r="FEF205" s="17"/>
      <c r="FEG205" s="17"/>
      <c r="FEH205" s="17"/>
      <c r="FEI205" s="17"/>
      <c r="FEJ205" s="17"/>
      <c r="FEK205" s="17"/>
      <c r="FEL205" s="17"/>
      <c r="FEM205" s="17"/>
      <c r="FEN205" s="17"/>
      <c r="FEO205" s="17"/>
      <c r="FEP205" s="17"/>
      <c r="FEQ205" s="17"/>
      <c r="FER205" s="17"/>
      <c r="FES205" s="17"/>
      <c r="FET205" s="17"/>
      <c r="FEU205" s="17"/>
      <c r="FEV205" s="17"/>
      <c r="FEW205" s="17"/>
      <c r="FEX205" s="17"/>
      <c r="FEY205" s="17"/>
      <c r="FEZ205" s="17"/>
      <c r="FFA205" s="17"/>
      <c r="FFB205" s="17"/>
      <c r="FFC205" s="17"/>
      <c r="FFD205" s="17"/>
      <c r="FFE205" s="17"/>
      <c r="FFF205" s="17"/>
      <c r="FFG205" s="17"/>
      <c r="FFH205" s="17"/>
      <c r="FFI205" s="17"/>
      <c r="FFJ205" s="17"/>
      <c r="FFK205" s="17"/>
      <c r="FFL205" s="17"/>
      <c r="FFM205" s="17"/>
      <c r="FFN205" s="17"/>
      <c r="FFO205" s="17"/>
      <c r="FFP205" s="17"/>
      <c r="FFQ205" s="17"/>
      <c r="FFR205" s="17"/>
      <c r="FFS205" s="17"/>
      <c r="FFT205" s="17"/>
      <c r="FFU205" s="17"/>
      <c r="FFV205" s="17"/>
      <c r="FFW205" s="17"/>
      <c r="FFX205" s="17"/>
      <c r="FFY205" s="17"/>
      <c r="FFZ205" s="17"/>
      <c r="FGA205" s="17"/>
      <c r="FGB205" s="17"/>
      <c r="FGC205" s="17"/>
      <c r="FGD205" s="17"/>
      <c r="FGE205" s="17"/>
      <c r="FGF205" s="17"/>
      <c r="FGG205" s="17"/>
      <c r="FGH205" s="17"/>
      <c r="FGI205" s="17"/>
      <c r="FGJ205" s="17"/>
      <c r="FGK205" s="17"/>
      <c r="FGL205" s="17"/>
      <c r="FGM205" s="17"/>
      <c r="FGN205" s="17"/>
      <c r="FGO205" s="17"/>
      <c r="FGP205" s="17"/>
      <c r="FGQ205" s="17"/>
      <c r="FGR205" s="17"/>
      <c r="FGS205" s="17"/>
      <c r="FGT205" s="17"/>
      <c r="FGU205" s="17"/>
      <c r="FGV205" s="17"/>
      <c r="FGW205" s="17"/>
      <c r="FGX205" s="17"/>
      <c r="FGY205" s="17"/>
      <c r="FGZ205" s="17"/>
      <c r="FHA205" s="17"/>
      <c r="FHB205" s="17"/>
      <c r="FHC205" s="17"/>
      <c r="FHD205" s="17"/>
      <c r="FHE205" s="17"/>
      <c r="FHF205" s="17"/>
      <c r="FHG205" s="17"/>
      <c r="FHH205" s="17"/>
      <c r="FHI205" s="17"/>
      <c r="FHJ205" s="17"/>
      <c r="FHK205" s="17"/>
      <c r="FHL205" s="17"/>
      <c r="FHM205" s="17"/>
      <c r="FHN205" s="17"/>
      <c r="FHO205" s="17"/>
      <c r="FHP205" s="17"/>
      <c r="FHQ205" s="17"/>
      <c r="FHR205" s="17"/>
      <c r="FHS205" s="17"/>
      <c r="FHT205" s="17"/>
      <c r="FHU205" s="17"/>
      <c r="FHV205" s="17"/>
      <c r="FHW205" s="17"/>
      <c r="FHX205" s="17"/>
      <c r="FHY205" s="17"/>
      <c r="FHZ205" s="17"/>
      <c r="FIA205" s="17"/>
      <c r="FIB205" s="17"/>
      <c r="FIC205" s="17"/>
      <c r="FID205" s="17"/>
      <c r="FIE205" s="17"/>
      <c r="FIF205" s="17"/>
      <c r="FIG205" s="17"/>
      <c r="FIH205" s="17"/>
      <c r="FII205" s="17"/>
      <c r="FIJ205" s="17"/>
      <c r="FIK205" s="17"/>
      <c r="FIL205" s="17"/>
      <c r="FIM205" s="17"/>
      <c r="FIN205" s="17"/>
      <c r="FIO205" s="17"/>
      <c r="FIP205" s="17"/>
      <c r="FIQ205" s="17"/>
      <c r="FIR205" s="17"/>
      <c r="FIS205" s="17"/>
      <c r="FIT205" s="17"/>
      <c r="FIU205" s="17"/>
      <c r="FIV205" s="17"/>
      <c r="FIW205" s="17"/>
      <c r="FIX205" s="17"/>
      <c r="FIY205" s="17"/>
      <c r="FIZ205" s="17"/>
      <c r="FJA205" s="17"/>
      <c r="FJB205" s="17"/>
      <c r="FJC205" s="17"/>
      <c r="FJD205" s="17"/>
      <c r="FJE205" s="17"/>
      <c r="FJF205" s="17"/>
      <c r="FJG205" s="17"/>
      <c r="FJH205" s="17"/>
      <c r="FJI205" s="17"/>
      <c r="FJJ205" s="17"/>
      <c r="FJK205" s="17"/>
      <c r="FJL205" s="17"/>
      <c r="FJM205" s="17"/>
      <c r="FJN205" s="17"/>
      <c r="FJO205" s="17"/>
      <c r="FJP205" s="17"/>
      <c r="FJQ205" s="17"/>
      <c r="FJR205" s="17"/>
      <c r="FJS205" s="17"/>
      <c r="FJT205" s="17"/>
      <c r="FJU205" s="17"/>
      <c r="FJV205" s="17"/>
      <c r="FJW205" s="17"/>
      <c r="FJX205" s="17"/>
      <c r="FJY205" s="17"/>
      <c r="FJZ205" s="17"/>
      <c r="FKA205" s="17"/>
      <c r="FKB205" s="17"/>
      <c r="FKC205" s="17"/>
      <c r="FKD205" s="17"/>
      <c r="FKE205" s="17"/>
      <c r="FKF205" s="17"/>
      <c r="FKG205" s="17"/>
      <c r="FKH205" s="17"/>
      <c r="FKI205" s="17"/>
      <c r="FKJ205" s="17"/>
      <c r="FKK205" s="17"/>
      <c r="FKL205" s="17"/>
      <c r="FKM205" s="17"/>
      <c r="FKN205" s="17"/>
      <c r="FKO205" s="17"/>
      <c r="FKP205" s="17"/>
      <c r="FKQ205" s="17"/>
      <c r="FKR205" s="17"/>
      <c r="FKS205" s="17"/>
      <c r="FKT205" s="17"/>
      <c r="FKU205" s="17"/>
      <c r="FKV205" s="17"/>
      <c r="FKW205" s="17"/>
      <c r="FKX205" s="17"/>
      <c r="FKY205" s="17"/>
      <c r="FKZ205" s="17"/>
      <c r="FLA205" s="17"/>
      <c r="FLB205" s="17"/>
      <c r="FLC205" s="17"/>
      <c r="FLD205" s="17"/>
      <c r="FLE205" s="17"/>
      <c r="FLF205" s="17"/>
      <c r="FLG205" s="17"/>
      <c r="FLH205" s="17"/>
      <c r="FLI205" s="17"/>
      <c r="FLJ205" s="17"/>
      <c r="FLK205" s="17"/>
      <c r="FLL205" s="17"/>
      <c r="FLM205" s="17"/>
      <c r="FLN205" s="17"/>
      <c r="FLO205" s="17"/>
      <c r="FLP205" s="17"/>
      <c r="FLQ205" s="17"/>
      <c r="FLR205" s="17"/>
      <c r="FLS205" s="17"/>
      <c r="FLT205" s="17"/>
      <c r="FLU205" s="17"/>
      <c r="FLV205" s="17"/>
      <c r="FLW205" s="17"/>
      <c r="FLX205" s="17"/>
      <c r="FLY205" s="17"/>
      <c r="FLZ205" s="17"/>
      <c r="FMA205" s="17"/>
      <c r="FMB205" s="17"/>
      <c r="FMC205" s="17"/>
      <c r="FMD205" s="17"/>
      <c r="FME205" s="17"/>
      <c r="FMF205" s="17"/>
      <c r="FMG205" s="17"/>
      <c r="FMH205" s="17"/>
      <c r="FMI205" s="17"/>
      <c r="FMJ205" s="17"/>
      <c r="FMK205" s="17"/>
      <c r="FML205" s="17"/>
      <c r="FMM205" s="17"/>
      <c r="FMN205" s="17"/>
      <c r="FMO205" s="17"/>
      <c r="FMP205" s="17"/>
      <c r="FMQ205" s="17"/>
      <c r="FMR205" s="17"/>
      <c r="FMS205" s="17"/>
      <c r="FMT205" s="17"/>
      <c r="FMU205" s="17"/>
      <c r="FMV205" s="17"/>
      <c r="FMW205" s="17"/>
      <c r="FMX205" s="17"/>
      <c r="FMY205" s="17"/>
      <c r="FMZ205" s="17"/>
      <c r="FNA205" s="17"/>
      <c r="FNB205" s="17"/>
      <c r="FNC205" s="17"/>
      <c r="FND205" s="17"/>
      <c r="FNE205" s="17"/>
      <c r="FNF205" s="17"/>
      <c r="FNG205" s="17"/>
      <c r="FNH205" s="17"/>
      <c r="FNI205" s="17"/>
      <c r="FNJ205" s="17"/>
      <c r="FNK205" s="17"/>
      <c r="FNL205" s="17"/>
      <c r="FNM205" s="17"/>
      <c r="FNN205" s="17"/>
      <c r="FNO205" s="17"/>
      <c r="FNP205" s="17"/>
      <c r="FNQ205" s="17"/>
      <c r="FNR205" s="17"/>
      <c r="FNS205" s="17"/>
      <c r="FNT205" s="17"/>
      <c r="FNU205" s="17"/>
      <c r="FNV205" s="17"/>
      <c r="FNW205" s="17"/>
      <c r="FNX205" s="17"/>
      <c r="FNY205" s="17"/>
      <c r="FNZ205" s="17"/>
      <c r="FOA205" s="17"/>
      <c r="FOB205" s="17"/>
      <c r="FOC205" s="17"/>
      <c r="FOD205" s="17"/>
      <c r="FOE205" s="17"/>
      <c r="FOF205" s="17"/>
      <c r="FOG205" s="17"/>
      <c r="FOH205" s="17"/>
      <c r="FOI205" s="17"/>
      <c r="FOJ205" s="17"/>
      <c r="FOK205" s="17"/>
      <c r="FOL205" s="17"/>
      <c r="FOM205" s="17"/>
      <c r="FON205" s="17"/>
      <c r="FOO205" s="17"/>
      <c r="FOP205" s="17"/>
      <c r="FOQ205" s="17"/>
      <c r="FOR205" s="17"/>
      <c r="FOS205" s="17"/>
      <c r="FOT205" s="17"/>
      <c r="FOU205" s="17"/>
      <c r="FOV205" s="17"/>
      <c r="FOW205" s="17"/>
      <c r="FOX205" s="17"/>
      <c r="FOY205" s="17"/>
      <c r="FOZ205" s="17"/>
      <c r="FPA205" s="17"/>
      <c r="FPB205" s="17"/>
      <c r="FPC205" s="17"/>
      <c r="FPD205" s="17"/>
      <c r="FPE205" s="17"/>
      <c r="FPF205" s="17"/>
      <c r="FPG205" s="17"/>
      <c r="FPH205" s="17"/>
      <c r="FPI205" s="17"/>
      <c r="FPJ205" s="17"/>
      <c r="FPK205" s="17"/>
      <c r="FPL205" s="17"/>
      <c r="FPM205" s="17"/>
      <c r="FPN205" s="17"/>
      <c r="FPO205" s="17"/>
      <c r="FPP205" s="17"/>
      <c r="FPQ205" s="17"/>
      <c r="FPR205" s="17"/>
      <c r="FPS205" s="17"/>
      <c r="FPT205" s="17"/>
      <c r="FPU205" s="17"/>
      <c r="FPV205" s="17"/>
      <c r="FPW205" s="17"/>
      <c r="FPX205" s="17"/>
      <c r="FPY205" s="17"/>
      <c r="FPZ205" s="17"/>
      <c r="FQA205" s="17"/>
      <c r="FQB205" s="17"/>
      <c r="FQC205" s="17"/>
      <c r="FQD205" s="17"/>
      <c r="FQE205" s="17"/>
      <c r="FQF205" s="17"/>
      <c r="FQG205" s="17"/>
      <c r="FQH205" s="17"/>
      <c r="FQI205" s="17"/>
      <c r="FQJ205" s="17"/>
      <c r="FQK205" s="17"/>
      <c r="FQL205" s="17"/>
      <c r="FQM205" s="17"/>
      <c r="FQN205" s="17"/>
      <c r="FQO205" s="17"/>
      <c r="FQP205" s="17"/>
      <c r="FQQ205" s="17"/>
      <c r="FQR205" s="17"/>
      <c r="FQS205" s="17"/>
      <c r="FQT205" s="17"/>
      <c r="FQU205" s="17"/>
      <c r="FQV205" s="17"/>
      <c r="FQW205" s="17"/>
      <c r="FQX205" s="17"/>
      <c r="FQY205" s="17"/>
      <c r="FQZ205" s="17"/>
      <c r="FRA205" s="17"/>
      <c r="FRB205" s="17"/>
      <c r="FRC205" s="17"/>
      <c r="FRD205" s="17"/>
      <c r="FRE205" s="17"/>
      <c r="FRF205" s="17"/>
      <c r="FRG205" s="17"/>
      <c r="FRH205" s="17"/>
      <c r="FRI205" s="17"/>
      <c r="FRJ205" s="17"/>
      <c r="FRK205" s="17"/>
      <c r="FRL205" s="17"/>
      <c r="FRM205" s="17"/>
      <c r="FRN205" s="17"/>
      <c r="FRO205" s="17"/>
      <c r="FRP205" s="17"/>
      <c r="FRQ205" s="17"/>
      <c r="FRR205" s="17"/>
      <c r="FRS205" s="17"/>
      <c r="FRT205" s="17"/>
      <c r="FRU205" s="17"/>
      <c r="FRV205" s="17"/>
      <c r="FRW205" s="17"/>
      <c r="FRX205" s="17"/>
      <c r="FRY205" s="17"/>
      <c r="FRZ205" s="17"/>
      <c r="FSA205" s="17"/>
      <c r="FSB205" s="17"/>
      <c r="FSC205" s="17"/>
      <c r="FSD205" s="17"/>
      <c r="FSE205" s="17"/>
      <c r="FSF205" s="17"/>
      <c r="FSG205" s="17"/>
      <c r="FSH205" s="17"/>
      <c r="FSI205" s="17"/>
      <c r="FSJ205" s="17"/>
      <c r="FSK205" s="17"/>
      <c r="FSL205" s="17"/>
      <c r="FSM205" s="17"/>
      <c r="FSN205" s="17"/>
      <c r="FSO205" s="17"/>
      <c r="FSP205" s="17"/>
      <c r="FSQ205" s="17"/>
      <c r="FSR205" s="17"/>
      <c r="FSS205" s="17"/>
      <c r="FST205" s="17"/>
      <c r="FSU205" s="17"/>
      <c r="FSV205" s="17"/>
      <c r="FSW205" s="17"/>
      <c r="FSX205" s="17"/>
      <c r="FSY205" s="17"/>
      <c r="FSZ205" s="17"/>
      <c r="FTA205" s="17"/>
      <c r="FTB205" s="17"/>
      <c r="FTC205" s="17"/>
      <c r="FTD205" s="17"/>
      <c r="FTE205" s="17"/>
      <c r="FTF205" s="17"/>
      <c r="FTG205" s="17"/>
      <c r="FTH205" s="17"/>
      <c r="FTI205" s="17"/>
      <c r="FTJ205" s="17"/>
      <c r="FTK205" s="17"/>
      <c r="FTL205" s="17"/>
      <c r="FTM205" s="17"/>
      <c r="FTN205" s="17"/>
      <c r="FTO205" s="17"/>
      <c r="FTP205" s="17"/>
      <c r="FTQ205" s="17"/>
      <c r="FTR205" s="17"/>
      <c r="FTS205" s="17"/>
      <c r="FTT205" s="17"/>
      <c r="FTU205" s="17"/>
      <c r="FTV205" s="17"/>
      <c r="FTW205" s="17"/>
      <c r="FTX205" s="17"/>
      <c r="FTY205" s="17"/>
      <c r="FTZ205" s="17"/>
      <c r="FUA205" s="17"/>
      <c r="FUB205" s="17"/>
      <c r="FUC205" s="17"/>
      <c r="FUD205" s="17"/>
      <c r="FUE205" s="17"/>
      <c r="FUF205" s="17"/>
      <c r="FUG205" s="17"/>
      <c r="FUH205" s="17"/>
      <c r="FUI205" s="17"/>
      <c r="FUJ205" s="17"/>
      <c r="FUK205" s="17"/>
      <c r="FUL205" s="17"/>
      <c r="FUM205" s="17"/>
      <c r="FUN205" s="17"/>
      <c r="FUO205" s="17"/>
      <c r="FUP205" s="17"/>
      <c r="FUQ205" s="17"/>
      <c r="FUR205" s="17"/>
      <c r="FUS205" s="17"/>
      <c r="FUT205" s="17"/>
      <c r="FUU205" s="17"/>
      <c r="FUV205" s="17"/>
      <c r="FUW205" s="17"/>
      <c r="FUX205" s="17"/>
      <c r="FUY205" s="17"/>
      <c r="FUZ205" s="17"/>
      <c r="FVA205" s="17"/>
      <c r="FVB205" s="17"/>
      <c r="FVC205" s="17"/>
      <c r="FVD205" s="17"/>
      <c r="FVE205" s="17"/>
      <c r="FVF205" s="17"/>
      <c r="FVG205" s="17"/>
      <c r="FVH205" s="17"/>
      <c r="FVI205" s="17"/>
      <c r="FVJ205" s="17"/>
      <c r="FVK205" s="17"/>
      <c r="FVL205" s="17"/>
      <c r="FVM205" s="17"/>
      <c r="FVN205" s="17"/>
      <c r="FVO205" s="17"/>
      <c r="FVP205" s="17"/>
      <c r="FVQ205" s="17"/>
      <c r="FVR205" s="17"/>
      <c r="FVS205" s="17"/>
      <c r="FVT205" s="17"/>
      <c r="FVU205" s="17"/>
      <c r="FVV205" s="17"/>
      <c r="FVW205" s="17"/>
      <c r="FVX205" s="17"/>
      <c r="FVY205" s="17"/>
      <c r="FVZ205" s="17"/>
      <c r="FWA205" s="17"/>
      <c r="FWB205" s="17"/>
      <c r="FWC205" s="17"/>
      <c r="FWD205" s="17"/>
      <c r="FWE205" s="17"/>
      <c r="FWF205" s="17"/>
      <c r="FWG205" s="17"/>
      <c r="FWH205" s="17"/>
      <c r="FWI205" s="17"/>
      <c r="FWJ205" s="17"/>
      <c r="FWK205" s="17"/>
      <c r="FWL205" s="17"/>
      <c r="FWM205" s="17"/>
      <c r="FWN205" s="17"/>
      <c r="FWO205" s="17"/>
      <c r="FWP205" s="17"/>
      <c r="FWQ205" s="17"/>
      <c r="FWR205" s="17"/>
      <c r="FWS205" s="17"/>
      <c r="FWT205" s="17"/>
      <c r="FWU205" s="17"/>
      <c r="FWV205" s="17"/>
      <c r="FWW205" s="17"/>
      <c r="FWX205" s="17"/>
      <c r="FWY205" s="17"/>
      <c r="FWZ205" s="17"/>
      <c r="FXA205" s="17"/>
      <c r="FXB205" s="17"/>
      <c r="FXC205" s="17"/>
      <c r="FXD205" s="17"/>
      <c r="FXE205" s="17"/>
      <c r="FXF205" s="17"/>
      <c r="FXG205" s="17"/>
      <c r="FXH205" s="17"/>
      <c r="FXI205" s="17"/>
      <c r="FXJ205" s="17"/>
      <c r="FXK205" s="17"/>
      <c r="FXL205" s="17"/>
      <c r="FXM205" s="17"/>
      <c r="FXN205" s="17"/>
      <c r="FXO205" s="17"/>
      <c r="FXP205" s="17"/>
      <c r="FXQ205" s="17"/>
      <c r="FXR205" s="17"/>
      <c r="FXS205" s="17"/>
      <c r="FXT205" s="17"/>
      <c r="FXU205" s="17"/>
      <c r="FXV205" s="17"/>
      <c r="FXW205" s="17"/>
      <c r="FXX205" s="17"/>
      <c r="FXY205" s="17"/>
      <c r="FXZ205" s="17"/>
      <c r="FYA205" s="17"/>
      <c r="FYB205" s="17"/>
      <c r="FYC205" s="17"/>
      <c r="FYD205" s="17"/>
      <c r="FYE205" s="17"/>
      <c r="FYF205" s="17"/>
      <c r="FYG205" s="17"/>
      <c r="FYH205" s="17"/>
      <c r="FYI205" s="17"/>
      <c r="FYJ205" s="17"/>
      <c r="FYK205" s="17"/>
      <c r="FYL205" s="17"/>
      <c r="FYM205" s="17"/>
      <c r="FYN205" s="17"/>
      <c r="FYO205" s="17"/>
      <c r="FYP205" s="17"/>
      <c r="FYQ205" s="17"/>
      <c r="FYR205" s="17"/>
      <c r="FYS205" s="17"/>
      <c r="FYT205" s="17"/>
      <c r="FYU205" s="17"/>
      <c r="FYV205" s="17"/>
      <c r="FYW205" s="17"/>
      <c r="FYX205" s="17"/>
      <c r="FYY205" s="17"/>
      <c r="FYZ205" s="17"/>
      <c r="FZA205" s="17"/>
      <c r="FZB205" s="17"/>
      <c r="FZC205" s="17"/>
      <c r="FZD205" s="17"/>
      <c r="FZE205" s="17"/>
      <c r="FZF205" s="17"/>
      <c r="FZG205" s="17"/>
      <c r="FZH205" s="17"/>
      <c r="FZI205" s="17"/>
      <c r="FZJ205" s="17"/>
      <c r="FZK205" s="17"/>
      <c r="FZL205" s="17"/>
      <c r="FZM205" s="17"/>
      <c r="FZN205" s="17"/>
      <c r="FZO205" s="17"/>
      <c r="FZP205" s="17"/>
      <c r="FZQ205" s="17"/>
      <c r="FZR205" s="17"/>
      <c r="FZS205" s="17"/>
      <c r="FZT205" s="17"/>
      <c r="FZU205" s="17"/>
      <c r="FZV205" s="17"/>
      <c r="FZW205" s="17"/>
      <c r="FZX205" s="17"/>
      <c r="FZY205" s="17"/>
      <c r="FZZ205" s="17"/>
      <c r="GAA205" s="17"/>
      <c r="GAB205" s="17"/>
      <c r="GAC205" s="17"/>
      <c r="GAD205" s="17"/>
      <c r="GAE205" s="17"/>
      <c r="GAF205" s="17"/>
      <c r="GAG205" s="17"/>
      <c r="GAH205" s="17"/>
      <c r="GAI205" s="17"/>
      <c r="GAJ205" s="17"/>
      <c r="GAK205" s="17"/>
      <c r="GAL205" s="17"/>
      <c r="GAM205" s="17"/>
      <c r="GAN205" s="17"/>
      <c r="GAO205" s="17"/>
      <c r="GAP205" s="17"/>
      <c r="GAQ205" s="17"/>
      <c r="GAR205" s="17"/>
      <c r="GAS205" s="17"/>
      <c r="GAT205" s="17"/>
      <c r="GAU205" s="17"/>
      <c r="GAV205" s="17"/>
      <c r="GAW205" s="17"/>
      <c r="GAX205" s="17"/>
      <c r="GAY205" s="17"/>
      <c r="GAZ205" s="17"/>
      <c r="GBA205" s="17"/>
      <c r="GBB205" s="17"/>
      <c r="GBC205" s="17"/>
      <c r="GBD205" s="17"/>
      <c r="GBE205" s="17"/>
      <c r="GBF205" s="17"/>
      <c r="GBG205" s="17"/>
      <c r="GBH205" s="17"/>
      <c r="GBI205" s="17"/>
      <c r="GBJ205" s="17"/>
      <c r="GBK205" s="17"/>
      <c r="GBL205" s="17"/>
      <c r="GBM205" s="17"/>
      <c r="GBN205" s="17"/>
      <c r="GBO205" s="17"/>
      <c r="GBP205" s="17"/>
      <c r="GBQ205" s="17"/>
      <c r="GBR205" s="17"/>
      <c r="GBS205" s="17"/>
      <c r="GBT205" s="17"/>
      <c r="GBU205" s="17"/>
      <c r="GBV205" s="17"/>
      <c r="GBW205" s="17"/>
      <c r="GBX205" s="17"/>
      <c r="GBY205" s="17"/>
      <c r="GBZ205" s="17"/>
      <c r="GCA205" s="17"/>
      <c r="GCB205" s="17"/>
      <c r="GCC205" s="17"/>
      <c r="GCD205" s="17"/>
      <c r="GCE205" s="17"/>
      <c r="GCF205" s="17"/>
      <c r="GCG205" s="17"/>
      <c r="GCH205" s="17"/>
      <c r="GCI205" s="17"/>
      <c r="GCJ205" s="17"/>
      <c r="GCK205" s="17"/>
      <c r="GCL205" s="17"/>
      <c r="GCM205" s="17"/>
      <c r="GCN205" s="17"/>
      <c r="GCO205" s="17"/>
      <c r="GCP205" s="17"/>
      <c r="GCQ205" s="17"/>
      <c r="GCR205" s="17"/>
      <c r="GCS205" s="17"/>
      <c r="GCT205" s="17"/>
      <c r="GCU205" s="17"/>
      <c r="GCV205" s="17"/>
      <c r="GCW205" s="17"/>
      <c r="GCX205" s="17"/>
      <c r="GCY205" s="17"/>
      <c r="GCZ205" s="17"/>
      <c r="GDA205" s="17"/>
      <c r="GDB205" s="17"/>
      <c r="GDC205" s="17"/>
      <c r="GDD205" s="17"/>
      <c r="GDE205" s="17"/>
      <c r="GDF205" s="17"/>
      <c r="GDG205" s="17"/>
      <c r="GDH205" s="17"/>
      <c r="GDI205" s="17"/>
      <c r="GDJ205" s="17"/>
      <c r="GDK205" s="17"/>
      <c r="GDL205" s="17"/>
      <c r="GDM205" s="17"/>
      <c r="GDN205" s="17"/>
      <c r="GDO205" s="17"/>
      <c r="GDP205" s="17"/>
      <c r="GDQ205" s="17"/>
      <c r="GDR205" s="17"/>
      <c r="GDS205" s="17"/>
      <c r="GDT205" s="17"/>
      <c r="GDU205" s="17"/>
      <c r="GDV205" s="17"/>
      <c r="GDW205" s="17"/>
      <c r="GDX205" s="17"/>
      <c r="GDY205" s="17"/>
      <c r="GDZ205" s="17"/>
      <c r="GEA205" s="17"/>
      <c r="GEB205" s="17"/>
      <c r="GEC205" s="17"/>
      <c r="GED205" s="17"/>
      <c r="GEE205" s="17"/>
      <c r="GEF205" s="17"/>
      <c r="GEG205" s="17"/>
      <c r="GEH205" s="17"/>
      <c r="GEI205" s="17"/>
      <c r="GEJ205" s="17"/>
      <c r="GEK205" s="17"/>
      <c r="GEL205" s="17"/>
      <c r="GEM205" s="17"/>
      <c r="GEN205" s="17"/>
      <c r="GEO205" s="17"/>
      <c r="GEP205" s="17"/>
      <c r="GEQ205" s="17"/>
      <c r="GER205" s="17"/>
      <c r="GES205" s="17"/>
      <c r="GET205" s="17"/>
      <c r="GEU205" s="17"/>
      <c r="GEV205" s="17"/>
      <c r="GEW205" s="17"/>
      <c r="GEX205" s="17"/>
      <c r="GEY205" s="17"/>
      <c r="GEZ205" s="17"/>
      <c r="GFA205" s="17"/>
      <c r="GFB205" s="17"/>
      <c r="GFC205" s="17"/>
      <c r="GFD205" s="17"/>
      <c r="GFE205" s="17"/>
      <c r="GFF205" s="17"/>
      <c r="GFG205" s="17"/>
      <c r="GFH205" s="17"/>
      <c r="GFI205" s="17"/>
      <c r="GFJ205" s="17"/>
      <c r="GFK205" s="17"/>
      <c r="GFL205" s="17"/>
      <c r="GFM205" s="17"/>
      <c r="GFN205" s="17"/>
      <c r="GFO205" s="17"/>
      <c r="GFP205" s="17"/>
      <c r="GFQ205" s="17"/>
      <c r="GFR205" s="17"/>
      <c r="GFS205" s="17"/>
      <c r="GFT205" s="17"/>
      <c r="GFU205" s="17"/>
      <c r="GFV205" s="17"/>
      <c r="GFW205" s="17"/>
      <c r="GFX205" s="17"/>
      <c r="GFY205" s="17"/>
      <c r="GFZ205" s="17"/>
      <c r="GGA205" s="17"/>
      <c r="GGB205" s="17"/>
      <c r="GGC205" s="17"/>
      <c r="GGD205" s="17"/>
      <c r="GGE205" s="17"/>
      <c r="GGF205" s="17"/>
      <c r="GGG205" s="17"/>
      <c r="GGH205" s="17"/>
      <c r="GGI205" s="17"/>
      <c r="GGJ205" s="17"/>
      <c r="GGK205" s="17"/>
      <c r="GGL205" s="17"/>
      <c r="GGM205" s="17"/>
      <c r="GGN205" s="17"/>
      <c r="GGO205" s="17"/>
      <c r="GGP205" s="17"/>
      <c r="GGQ205" s="17"/>
      <c r="GGR205" s="17"/>
      <c r="GGS205" s="17"/>
      <c r="GGT205" s="17"/>
      <c r="GGU205" s="17"/>
      <c r="GGV205" s="17"/>
      <c r="GGW205" s="17"/>
      <c r="GGX205" s="17"/>
      <c r="GGY205" s="17"/>
      <c r="GGZ205" s="17"/>
      <c r="GHA205" s="17"/>
      <c r="GHB205" s="17"/>
      <c r="GHC205" s="17"/>
      <c r="GHD205" s="17"/>
      <c r="GHE205" s="17"/>
      <c r="GHF205" s="17"/>
      <c r="GHG205" s="17"/>
      <c r="GHH205" s="17"/>
      <c r="GHI205" s="17"/>
      <c r="GHJ205" s="17"/>
      <c r="GHK205" s="17"/>
      <c r="GHL205" s="17"/>
      <c r="GHM205" s="17"/>
      <c r="GHN205" s="17"/>
      <c r="GHO205" s="17"/>
      <c r="GHP205" s="17"/>
      <c r="GHQ205" s="17"/>
      <c r="GHR205" s="17"/>
      <c r="GHS205" s="17"/>
      <c r="GHT205" s="17"/>
      <c r="GHU205" s="17"/>
      <c r="GHV205" s="17"/>
      <c r="GHW205" s="17"/>
      <c r="GHX205" s="17"/>
      <c r="GHY205" s="17"/>
      <c r="GHZ205" s="17"/>
      <c r="GIA205" s="17"/>
      <c r="GIB205" s="17"/>
      <c r="GIC205" s="17"/>
      <c r="GID205" s="17"/>
      <c r="GIE205" s="17"/>
      <c r="GIF205" s="17"/>
      <c r="GIG205" s="17"/>
      <c r="GIH205" s="17"/>
      <c r="GII205" s="17"/>
      <c r="GIJ205" s="17"/>
      <c r="GIK205" s="17"/>
      <c r="GIL205" s="17"/>
      <c r="GIM205" s="17"/>
      <c r="GIN205" s="17"/>
      <c r="GIO205" s="17"/>
      <c r="GIP205" s="17"/>
      <c r="GIQ205" s="17"/>
      <c r="GIR205" s="17"/>
      <c r="GIS205" s="17"/>
      <c r="GIT205" s="17"/>
      <c r="GIU205" s="17"/>
      <c r="GIV205" s="17"/>
      <c r="GIW205" s="17"/>
      <c r="GIX205" s="17"/>
      <c r="GIY205" s="17"/>
      <c r="GIZ205" s="17"/>
      <c r="GJA205" s="17"/>
      <c r="GJB205" s="17"/>
      <c r="GJC205" s="17"/>
      <c r="GJD205" s="17"/>
      <c r="GJE205" s="17"/>
      <c r="GJF205" s="17"/>
      <c r="GJG205" s="17"/>
      <c r="GJH205" s="17"/>
      <c r="GJI205" s="17"/>
      <c r="GJJ205" s="17"/>
      <c r="GJK205" s="17"/>
      <c r="GJL205" s="17"/>
      <c r="GJM205" s="17"/>
      <c r="GJN205" s="17"/>
      <c r="GJO205" s="17"/>
      <c r="GJP205" s="17"/>
      <c r="GJQ205" s="17"/>
      <c r="GJR205" s="17"/>
      <c r="GJS205" s="17"/>
      <c r="GJT205" s="17"/>
      <c r="GJU205" s="17"/>
      <c r="GJV205" s="17"/>
      <c r="GJW205" s="17"/>
      <c r="GJX205" s="17"/>
      <c r="GJY205" s="17"/>
      <c r="GJZ205" s="17"/>
      <c r="GKA205" s="17"/>
      <c r="GKB205" s="17"/>
      <c r="GKC205" s="17"/>
      <c r="GKD205" s="17"/>
      <c r="GKE205" s="17"/>
      <c r="GKF205" s="17"/>
      <c r="GKG205" s="17"/>
      <c r="GKH205" s="17"/>
      <c r="GKI205" s="17"/>
      <c r="GKJ205" s="17"/>
      <c r="GKK205" s="17"/>
      <c r="GKL205" s="17"/>
      <c r="GKM205" s="17"/>
      <c r="GKN205" s="17"/>
      <c r="GKO205" s="17"/>
      <c r="GKP205" s="17"/>
      <c r="GKQ205" s="17"/>
      <c r="GKR205" s="17"/>
      <c r="GKS205" s="17"/>
      <c r="GKT205" s="17"/>
      <c r="GKU205" s="17"/>
      <c r="GKV205" s="17"/>
      <c r="GKW205" s="17"/>
      <c r="GKX205" s="17"/>
      <c r="GKY205" s="17"/>
      <c r="GKZ205" s="17"/>
      <c r="GLA205" s="17"/>
      <c r="GLB205" s="17"/>
      <c r="GLC205" s="17"/>
      <c r="GLD205" s="17"/>
      <c r="GLE205" s="17"/>
      <c r="GLF205" s="17"/>
      <c r="GLG205" s="17"/>
      <c r="GLH205" s="17"/>
      <c r="GLI205" s="17"/>
      <c r="GLJ205" s="17"/>
      <c r="GLK205" s="17"/>
      <c r="GLL205" s="17"/>
      <c r="GLM205" s="17"/>
      <c r="GLN205" s="17"/>
      <c r="GLO205" s="17"/>
      <c r="GLP205" s="17"/>
      <c r="GLQ205" s="17"/>
      <c r="GLR205" s="17"/>
      <c r="GLS205" s="17"/>
      <c r="GLT205" s="17"/>
      <c r="GLU205" s="17"/>
      <c r="GLV205" s="17"/>
      <c r="GLW205" s="17"/>
      <c r="GLX205" s="17"/>
      <c r="GLY205" s="17"/>
      <c r="GLZ205" s="17"/>
      <c r="GMA205" s="17"/>
      <c r="GMB205" s="17"/>
      <c r="GMC205" s="17"/>
      <c r="GMD205" s="17"/>
      <c r="GME205" s="17"/>
      <c r="GMF205" s="17"/>
      <c r="GMG205" s="17"/>
      <c r="GMH205" s="17"/>
      <c r="GMI205" s="17"/>
      <c r="GMJ205" s="17"/>
      <c r="GMK205" s="17"/>
      <c r="GML205" s="17"/>
      <c r="GMM205" s="17"/>
      <c r="GMN205" s="17"/>
      <c r="GMO205" s="17"/>
      <c r="GMP205" s="17"/>
      <c r="GMQ205" s="17"/>
      <c r="GMR205" s="17"/>
      <c r="GMS205" s="17"/>
      <c r="GMT205" s="17"/>
      <c r="GMU205" s="17"/>
      <c r="GMV205" s="17"/>
      <c r="GMW205" s="17"/>
      <c r="GMX205" s="17"/>
      <c r="GMY205" s="17"/>
      <c r="GMZ205" s="17"/>
      <c r="GNA205" s="17"/>
      <c r="GNB205" s="17"/>
      <c r="GNC205" s="17"/>
      <c r="GND205" s="17"/>
      <c r="GNE205" s="17"/>
      <c r="GNF205" s="17"/>
      <c r="GNG205" s="17"/>
      <c r="GNH205" s="17"/>
      <c r="GNI205" s="17"/>
      <c r="GNJ205" s="17"/>
      <c r="GNK205" s="17"/>
      <c r="GNL205" s="17"/>
      <c r="GNM205" s="17"/>
      <c r="GNN205" s="17"/>
      <c r="GNO205" s="17"/>
      <c r="GNP205" s="17"/>
      <c r="GNQ205" s="17"/>
      <c r="GNR205" s="17"/>
      <c r="GNS205" s="17"/>
      <c r="GNT205" s="17"/>
      <c r="GNU205" s="17"/>
      <c r="GNV205" s="17"/>
      <c r="GNW205" s="17"/>
      <c r="GNX205" s="17"/>
      <c r="GNY205" s="17"/>
      <c r="GNZ205" s="17"/>
      <c r="GOA205" s="17"/>
      <c r="GOB205" s="17"/>
      <c r="GOC205" s="17"/>
      <c r="GOD205" s="17"/>
      <c r="GOE205" s="17"/>
      <c r="GOF205" s="17"/>
      <c r="GOG205" s="17"/>
      <c r="GOH205" s="17"/>
      <c r="GOI205" s="17"/>
      <c r="GOJ205" s="17"/>
      <c r="GOK205" s="17"/>
      <c r="GOL205" s="17"/>
      <c r="GOM205" s="17"/>
      <c r="GON205" s="17"/>
      <c r="GOO205" s="17"/>
      <c r="GOP205" s="17"/>
      <c r="GOQ205" s="17"/>
      <c r="GOR205" s="17"/>
      <c r="GOS205" s="17"/>
      <c r="GOT205" s="17"/>
      <c r="GOU205" s="17"/>
      <c r="GOV205" s="17"/>
      <c r="GOW205" s="17"/>
      <c r="GOX205" s="17"/>
      <c r="GOY205" s="17"/>
      <c r="GOZ205" s="17"/>
      <c r="GPA205" s="17"/>
      <c r="GPB205" s="17"/>
      <c r="GPC205" s="17"/>
      <c r="GPD205" s="17"/>
      <c r="GPE205" s="17"/>
      <c r="GPF205" s="17"/>
      <c r="GPG205" s="17"/>
      <c r="GPH205" s="17"/>
      <c r="GPI205" s="17"/>
      <c r="GPJ205" s="17"/>
      <c r="GPK205" s="17"/>
      <c r="GPL205" s="17"/>
      <c r="GPM205" s="17"/>
      <c r="GPN205" s="17"/>
      <c r="GPO205" s="17"/>
      <c r="GPP205" s="17"/>
      <c r="GPQ205" s="17"/>
      <c r="GPR205" s="17"/>
      <c r="GPS205" s="17"/>
      <c r="GPT205" s="17"/>
      <c r="GPU205" s="17"/>
      <c r="GPV205" s="17"/>
      <c r="GPW205" s="17"/>
      <c r="GPX205" s="17"/>
      <c r="GPY205" s="17"/>
      <c r="GPZ205" s="17"/>
      <c r="GQA205" s="17"/>
      <c r="GQB205" s="17"/>
      <c r="GQC205" s="17"/>
      <c r="GQD205" s="17"/>
      <c r="GQE205" s="17"/>
      <c r="GQF205" s="17"/>
      <c r="GQG205" s="17"/>
      <c r="GQH205" s="17"/>
      <c r="GQI205" s="17"/>
      <c r="GQJ205" s="17"/>
      <c r="GQK205" s="17"/>
      <c r="GQL205" s="17"/>
      <c r="GQM205" s="17"/>
      <c r="GQN205" s="17"/>
      <c r="GQO205" s="17"/>
      <c r="GQP205" s="17"/>
      <c r="GQQ205" s="17"/>
      <c r="GQR205" s="17"/>
      <c r="GQS205" s="17"/>
      <c r="GQT205" s="17"/>
      <c r="GQU205" s="17"/>
      <c r="GQV205" s="17"/>
      <c r="GQW205" s="17"/>
      <c r="GQX205" s="17"/>
      <c r="GQY205" s="17"/>
      <c r="GQZ205" s="17"/>
      <c r="GRA205" s="17"/>
      <c r="GRB205" s="17"/>
      <c r="GRC205" s="17"/>
      <c r="GRD205" s="17"/>
      <c r="GRE205" s="17"/>
      <c r="GRF205" s="17"/>
      <c r="GRG205" s="17"/>
      <c r="GRH205" s="17"/>
      <c r="GRI205" s="17"/>
      <c r="GRJ205" s="17"/>
      <c r="GRK205" s="17"/>
      <c r="GRL205" s="17"/>
      <c r="GRM205" s="17"/>
      <c r="GRN205" s="17"/>
      <c r="GRO205" s="17"/>
      <c r="GRP205" s="17"/>
      <c r="GRQ205" s="17"/>
      <c r="GRR205" s="17"/>
      <c r="GRS205" s="17"/>
      <c r="GRT205" s="17"/>
      <c r="GRU205" s="17"/>
      <c r="GRV205" s="17"/>
      <c r="GRW205" s="17"/>
      <c r="GRX205" s="17"/>
      <c r="GRY205" s="17"/>
      <c r="GRZ205" s="17"/>
      <c r="GSA205" s="17"/>
      <c r="GSB205" s="17"/>
      <c r="GSC205" s="17"/>
      <c r="GSD205" s="17"/>
      <c r="GSE205" s="17"/>
      <c r="GSF205" s="17"/>
      <c r="GSG205" s="17"/>
      <c r="GSH205" s="17"/>
      <c r="GSI205" s="17"/>
      <c r="GSJ205" s="17"/>
      <c r="GSK205" s="17"/>
      <c r="GSL205" s="17"/>
      <c r="GSM205" s="17"/>
      <c r="GSN205" s="17"/>
      <c r="GSO205" s="17"/>
      <c r="GSP205" s="17"/>
      <c r="GSQ205" s="17"/>
      <c r="GSR205" s="17"/>
      <c r="GSS205" s="17"/>
      <c r="GST205" s="17"/>
      <c r="GSU205" s="17"/>
      <c r="GSV205" s="17"/>
      <c r="GSW205" s="17"/>
      <c r="GSX205" s="17"/>
      <c r="GSY205" s="17"/>
      <c r="GSZ205" s="17"/>
      <c r="GTA205" s="17"/>
      <c r="GTB205" s="17"/>
      <c r="GTC205" s="17"/>
      <c r="GTD205" s="17"/>
      <c r="GTE205" s="17"/>
      <c r="GTF205" s="17"/>
      <c r="GTG205" s="17"/>
      <c r="GTH205" s="17"/>
      <c r="GTI205" s="17"/>
      <c r="GTJ205" s="17"/>
      <c r="GTK205" s="17"/>
      <c r="GTL205" s="17"/>
      <c r="GTM205" s="17"/>
      <c r="GTN205" s="17"/>
      <c r="GTO205" s="17"/>
      <c r="GTP205" s="17"/>
      <c r="GTQ205" s="17"/>
      <c r="GTR205" s="17"/>
      <c r="GTS205" s="17"/>
      <c r="GTT205" s="17"/>
      <c r="GTU205" s="17"/>
      <c r="GTV205" s="17"/>
      <c r="GTW205" s="17"/>
      <c r="GTX205" s="17"/>
      <c r="GTY205" s="17"/>
      <c r="GTZ205" s="17"/>
      <c r="GUA205" s="17"/>
      <c r="GUB205" s="17"/>
      <c r="GUC205" s="17"/>
      <c r="GUD205" s="17"/>
      <c r="GUE205" s="17"/>
      <c r="GUF205" s="17"/>
      <c r="GUG205" s="17"/>
      <c r="GUH205" s="17"/>
      <c r="GUI205" s="17"/>
      <c r="GUJ205" s="17"/>
      <c r="GUK205" s="17"/>
      <c r="GUL205" s="17"/>
      <c r="GUM205" s="17"/>
      <c r="GUN205" s="17"/>
      <c r="GUO205" s="17"/>
      <c r="GUP205" s="17"/>
      <c r="GUQ205" s="17"/>
      <c r="GUR205" s="17"/>
      <c r="GUS205" s="17"/>
      <c r="GUT205" s="17"/>
      <c r="GUU205" s="17"/>
      <c r="GUV205" s="17"/>
      <c r="GUW205" s="17"/>
      <c r="GUX205" s="17"/>
      <c r="GUY205" s="17"/>
      <c r="GUZ205" s="17"/>
      <c r="GVA205" s="17"/>
      <c r="GVB205" s="17"/>
      <c r="GVC205" s="17"/>
      <c r="GVD205" s="17"/>
      <c r="GVE205" s="17"/>
      <c r="GVF205" s="17"/>
      <c r="GVG205" s="17"/>
      <c r="GVH205" s="17"/>
      <c r="GVI205" s="17"/>
      <c r="GVJ205" s="17"/>
      <c r="GVK205" s="17"/>
      <c r="GVL205" s="17"/>
      <c r="GVM205" s="17"/>
      <c r="GVN205" s="17"/>
      <c r="GVO205" s="17"/>
      <c r="GVP205" s="17"/>
      <c r="GVQ205" s="17"/>
      <c r="GVR205" s="17"/>
      <c r="GVS205" s="17"/>
      <c r="GVT205" s="17"/>
      <c r="GVU205" s="17"/>
      <c r="GVV205" s="17"/>
      <c r="GVW205" s="17"/>
      <c r="GVX205" s="17"/>
      <c r="GVY205" s="17"/>
      <c r="GVZ205" s="17"/>
      <c r="GWA205" s="17"/>
      <c r="GWB205" s="17"/>
      <c r="GWC205" s="17"/>
      <c r="GWD205" s="17"/>
      <c r="GWE205" s="17"/>
      <c r="GWF205" s="17"/>
      <c r="GWG205" s="17"/>
      <c r="GWH205" s="17"/>
      <c r="GWI205" s="17"/>
      <c r="GWJ205" s="17"/>
      <c r="GWK205" s="17"/>
      <c r="GWL205" s="17"/>
      <c r="GWM205" s="17"/>
      <c r="GWN205" s="17"/>
      <c r="GWO205" s="17"/>
      <c r="GWP205" s="17"/>
      <c r="GWQ205" s="17"/>
      <c r="GWR205" s="17"/>
      <c r="GWS205" s="17"/>
      <c r="GWT205" s="17"/>
      <c r="GWU205" s="17"/>
      <c r="GWV205" s="17"/>
      <c r="GWW205" s="17"/>
      <c r="GWX205" s="17"/>
      <c r="GWY205" s="17"/>
      <c r="GWZ205" s="17"/>
      <c r="GXA205" s="17"/>
      <c r="GXB205" s="17"/>
      <c r="GXC205" s="17"/>
      <c r="GXD205" s="17"/>
      <c r="GXE205" s="17"/>
      <c r="GXF205" s="17"/>
      <c r="GXG205" s="17"/>
      <c r="GXH205" s="17"/>
      <c r="GXI205" s="17"/>
      <c r="GXJ205" s="17"/>
      <c r="GXK205" s="17"/>
      <c r="GXL205" s="17"/>
      <c r="GXM205" s="17"/>
      <c r="GXN205" s="17"/>
      <c r="GXO205" s="17"/>
      <c r="GXP205" s="17"/>
      <c r="GXQ205" s="17"/>
      <c r="GXR205" s="17"/>
      <c r="GXS205" s="17"/>
      <c r="GXT205" s="17"/>
      <c r="GXU205" s="17"/>
      <c r="GXV205" s="17"/>
      <c r="GXW205" s="17"/>
      <c r="GXX205" s="17"/>
      <c r="GXY205" s="17"/>
      <c r="GXZ205" s="17"/>
      <c r="GYA205" s="17"/>
      <c r="GYB205" s="17"/>
      <c r="GYC205" s="17"/>
      <c r="GYD205" s="17"/>
      <c r="GYE205" s="17"/>
      <c r="GYF205" s="17"/>
      <c r="GYG205" s="17"/>
      <c r="GYH205" s="17"/>
      <c r="GYI205" s="17"/>
      <c r="GYJ205" s="17"/>
      <c r="GYK205" s="17"/>
      <c r="GYL205" s="17"/>
      <c r="GYM205" s="17"/>
      <c r="GYN205" s="17"/>
      <c r="GYO205" s="17"/>
      <c r="GYP205" s="17"/>
      <c r="GYQ205" s="17"/>
      <c r="GYR205" s="17"/>
      <c r="GYS205" s="17"/>
      <c r="GYT205" s="17"/>
      <c r="GYU205" s="17"/>
      <c r="GYV205" s="17"/>
      <c r="GYW205" s="17"/>
      <c r="GYX205" s="17"/>
      <c r="GYY205" s="17"/>
      <c r="GYZ205" s="17"/>
      <c r="GZA205" s="17"/>
      <c r="GZB205" s="17"/>
      <c r="GZC205" s="17"/>
      <c r="GZD205" s="17"/>
      <c r="GZE205" s="17"/>
      <c r="GZF205" s="17"/>
      <c r="GZG205" s="17"/>
      <c r="GZH205" s="17"/>
      <c r="GZI205" s="17"/>
      <c r="GZJ205" s="17"/>
      <c r="GZK205" s="17"/>
      <c r="GZL205" s="17"/>
      <c r="GZM205" s="17"/>
      <c r="GZN205" s="17"/>
      <c r="GZO205" s="17"/>
      <c r="GZP205" s="17"/>
      <c r="GZQ205" s="17"/>
      <c r="GZR205" s="17"/>
      <c r="GZS205" s="17"/>
      <c r="GZT205" s="17"/>
      <c r="GZU205" s="17"/>
      <c r="GZV205" s="17"/>
      <c r="GZW205" s="17"/>
      <c r="GZX205" s="17"/>
      <c r="GZY205" s="17"/>
      <c r="GZZ205" s="17"/>
      <c r="HAA205" s="17"/>
      <c r="HAB205" s="17"/>
      <c r="HAC205" s="17"/>
      <c r="HAD205" s="17"/>
      <c r="HAE205" s="17"/>
      <c r="HAF205" s="17"/>
      <c r="HAG205" s="17"/>
      <c r="HAH205" s="17"/>
      <c r="HAI205" s="17"/>
      <c r="HAJ205" s="17"/>
      <c r="HAK205" s="17"/>
      <c r="HAL205" s="17"/>
      <c r="HAM205" s="17"/>
      <c r="HAN205" s="17"/>
      <c r="HAO205" s="17"/>
      <c r="HAP205" s="17"/>
      <c r="HAQ205" s="17"/>
      <c r="HAR205" s="17"/>
      <c r="HAS205" s="17"/>
      <c r="HAT205" s="17"/>
      <c r="HAU205" s="17"/>
      <c r="HAV205" s="17"/>
      <c r="HAW205" s="17"/>
      <c r="HAX205" s="17"/>
      <c r="HAY205" s="17"/>
      <c r="HAZ205" s="17"/>
      <c r="HBA205" s="17"/>
      <c r="HBB205" s="17"/>
      <c r="HBC205" s="17"/>
      <c r="HBD205" s="17"/>
      <c r="HBE205" s="17"/>
      <c r="HBF205" s="17"/>
      <c r="HBG205" s="17"/>
      <c r="HBH205" s="17"/>
      <c r="HBI205" s="17"/>
      <c r="HBJ205" s="17"/>
      <c r="HBK205" s="17"/>
      <c r="HBL205" s="17"/>
      <c r="HBM205" s="17"/>
      <c r="HBN205" s="17"/>
      <c r="HBO205" s="17"/>
      <c r="HBP205" s="17"/>
      <c r="HBQ205" s="17"/>
      <c r="HBR205" s="17"/>
      <c r="HBS205" s="17"/>
      <c r="HBT205" s="17"/>
      <c r="HBU205" s="17"/>
      <c r="HBV205" s="17"/>
      <c r="HBW205" s="17"/>
      <c r="HBX205" s="17"/>
      <c r="HBY205" s="17"/>
      <c r="HBZ205" s="17"/>
      <c r="HCA205" s="17"/>
      <c r="HCB205" s="17"/>
      <c r="HCC205" s="17"/>
      <c r="HCD205" s="17"/>
      <c r="HCE205" s="17"/>
      <c r="HCF205" s="17"/>
      <c r="HCG205" s="17"/>
      <c r="HCH205" s="17"/>
      <c r="HCI205" s="17"/>
      <c r="HCJ205" s="17"/>
      <c r="HCK205" s="17"/>
      <c r="HCL205" s="17"/>
      <c r="HCM205" s="17"/>
      <c r="HCN205" s="17"/>
      <c r="HCO205" s="17"/>
      <c r="HCP205" s="17"/>
      <c r="HCQ205" s="17"/>
      <c r="HCR205" s="17"/>
      <c r="HCS205" s="17"/>
      <c r="HCT205" s="17"/>
      <c r="HCU205" s="17"/>
      <c r="HCV205" s="17"/>
      <c r="HCW205" s="17"/>
      <c r="HCX205" s="17"/>
      <c r="HCY205" s="17"/>
      <c r="HCZ205" s="17"/>
      <c r="HDA205" s="17"/>
      <c r="HDB205" s="17"/>
      <c r="HDC205" s="17"/>
      <c r="HDD205" s="17"/>
      <c r="HDE205" s="17"/>
      <c r="HDF205" s="17"/>
      <c r="HDG205" s="17"/>
      <c r="HDH205" s="17"/>
      <c r="HDI205" s="17"/>
      <c r="HDJ205" s="17"/>
      <c r="HDK205" s="17"/>
      <c r="HDL205" s="17"/>
      <c r="HDM205" s="17"/>
      <c r="HDN205" s="17"/>
      <c r="HDO205" s="17"/>
      <c r="HDP205" s="17"/>
      <c r="HDQ205" s="17"/>
      <c r="HDR205" s="17"/>
      <c r="HDS205" s="17"/>
      <c r="HDT205" s="17"/>
      <c r="HDU205" s="17"/>
      <c r="HDV205" s="17"/>
      <c r="HDW205" s="17"/>
      <c r="HDX205" s="17"/>
      <c r="HDY205" s="17"/>
      <c r="HDZ205" s="17"/>
      <c r="HEA205" s="17"/>
      <c r="HEB205" s="17"/>
      <c r="HEC205" s="17"/>
      <c r="HED205" s="17"/>
      <c r="HEE205" s="17"/>
      <c r="HEF205" s="17"/>
      <c r="HEG205" s="17"/>
      <c r="HEH205" s="17"/>
      <c r="HEI205" s="17"/>
      <c r="HEJ205" s="17"/>
      <c r="HEK205" s="17"/>
      <c r="HEL205" s="17"/>
      <c r="HEM205" s="17"/>
      <c r="HEN205" s="17"/>
      <c r="HEO205" s="17"/>
      <c r="HEP205" s="17"/>
      <c r="HEQ205" s="17"/>
      <c r="HER205" s="17"/>
      <c r="HES205" s="17"/>
      <c r="HET205" s="17"/>
      <c r="HEU205" s="17"/>
      <c r="HEV205" s="17"/>
      <c r="HEW205" s="17"/>
      <c r="HEX205" s="17"/>
      <c r="HEY205" s="17"/>
      <c r="HEZ205" s="17"/>
      <c r="HFA205" s="17"/>
      <c r="HFB205" s="17"/>
      <c r="HFC205" s="17"/>
      <c r="HFD205" s="17"/>
      <c r="HFE205" s="17"/>
      <c r="HFF205" s="17"/>
      <c r="HFG205" s="17"/>
      <c r="HFH205" s="17"/>
      <c r="HFI205" s="17"/>
      <c r="HFJ205" s="17"/>
      <c r="HFK205" s="17"/>
      <c r="HFL205" s="17"/>
      <c r="HFM205" s="17"/>
      <c r="HFN205" s="17"/>
      <c r="HFO205" s="17"/>
      <c r="HFP205" s="17"/>
      <c r="HFQ205" s="17"/>
      <c r="HFR205" s="17"/>
      <c r="HFS205" s="17"/>
      <c r="HFT205" s="17"/>
      <c r="HFU205" s="17"/>
      <c r="HFV205" s="17"/>
      <c r="HFW205" s="17"/>
      <c r="HFX205" s="17"/>
      <c r="HFY205" s="17"/>
      <c r="HFZ205" s="17"/>
      <c r="HGA205" s="17"/>
      <c r="HGB205" s="17"/>
      <c r="HGC205" s="17"/>
      <c r="HGD205" s="17"/>
      <c r="HGE205" s="17"/>
      <c r="HGF205" s="17"/>
      <c r="HGG205" s="17"/>
      <c r="HGH205" s="17"/>
      <c r="HGI205" s="17"/>
      <c r="HGJ205" s="17"/>
      <c r="HGK205" s="17"/>
      <c r="HGL205" s="17"/>
      <c r="HGM205" s="17"/>
      <c r="HGN205" s="17"/>
      <c r="HGO205" s="17"/>
      <c r="HGP205" s="17"/>
      <c r="HGQ205" s="17"/>
      <c r="HGR205" s="17"/>
      <c r="HGS205" s="17"/>
      <c r="HGT205" s="17"/>
      <c r="HGU205" s="17"/>
      <c r="HGV205" s="17"/>
      <c r="HGW205" s="17"/>
      <c r="HGX205" s="17"/>
      <c r="HGY205" s="17"/>
      <c r="HGZ205" s="17"/>
      <c r="HHA205" s="17"/>
      <c r="HHB205" s="17"/>
      <c r="HHC205" s="17"/>
      <c r="HHD205" s="17"/>
      <c r="HHE205" s="17"/>
      <c r="HHF205" s="17"/>
      <c r="HHG205" s="17"/>
      <c r="HHH205" s="17"/>
      <c r="HHI205" s="17"/>
      <c r="HHJ205" s="17"/>
      <c r="HHK205" s="17"/>
      <c r="HHL205" s="17"/>
      <c r="HHM205" s="17"/>
      <c r="HHN205" s="17"/>
      <c r="HHO205" s="17"/>
      <c r="HHP205" s="17"/>
      <c r="HHQ205" s="17"/>
      <c r="HHR205" s="17"/>
      <c r="HHS205" s="17"/>
      <c r="HHT205" s="17"/>
      <c r="HHU205" s="17"/>
      <c r="HHV205" s="17"/>
      <c r="HHW205" s="17"/>
      <c r="HHX205" s="17"/>
      <c r="HHY205" s="17"/>
      <c r="HHZ205" s="17"/>
      <c r="HIA205" s="17"/>
      <c r="HIB205" s="17"/>
      <c r="HIC205" s="17"/>
      <c r="HID205" s="17"/>
      <c r="HIE205" s="17"/>
      <c r="HIF205" s="17"/>
      <c r="HIG205" s="17"/>
      <c r="HIH205" s="17"/>
      <c r="HII205" s="17"/>
      <c r="HIJ205" s="17"/>
      <c r="HIK205" s="17"/>
      <c r="HIL205" s="17"/>
      <c r="HIM205" s="17"/>
      <c r="HIN205" s="17"/>
      <c r="HIO205" s="17"/>
      <c r="HIP205" s="17"/>
      <c r="HIQ205" s="17"/>
      <c r="HIR205" s="17"/>
      <c r="HIS205" s="17"/>
      <c r="HIT205" s="17"/>
      <c r="HIU205" s="17"/>
      <c r="HIV205" s="17"/>
      <c r="HIW205" s="17"/>
      <c r="HIX205" s="17"/>
      <c r="HIY205" s="17"/>
      <c r="HIZ205" s="17"/>
      <c r="HJA205" s="17"/>
      <c r="HJB205" s="17"/>
      <c r="HJC205" s="17"/>
      <c r="HJD205" s="17"/>
      <c r="HJE205" s="17"/>
      <c r="HJF205" s="17"/>
      <c r="HJG205" s="17"/>
      <c r="HJH205" s="17"/>
      <c r="HJI205" s="17"/>
      <c r="HJJ205" s="17"/>
      <c r="HJK205" s="17"/>
      <c r="HJL205" s="17"/>
      <c r="HJM205" s="17"/>
      <c r="HJN205" s="17"/>
      <c r="HJO205" s="17"/>
      <c r="HJP205" s="17"/>
      <c r="HJQ205" s="17"/>
      <c r="HJR205" s="17"/>
      <c r="HJS205" s="17"/>
      <c r="HJT205" s="17"/>
      <c r="HJU205" s="17"/>
      <c r="HJV205" s="17"/>
      <c r="HJW205" s="17"/>
      <c r="HJX205" s="17"/>
      <c r="HJY205" s="17"/>
      <c r="HJZ205" s="17"/>
      <c r="HKA205" s="17"/>
      <c r="HKB205" s="17"/>
      <c r="HKC205" s="17"/>
      <c r="HKD205" s="17"/>
      <c r="HKE205" s="17"/>
      <c r="HKF205" s="17"/>
      <c r="HKG205" s="17"/>
      <c r="HKH205" s="17"/>
      <c r="HKI205" s="17"/>
      <c r="HKJ205" s="17"/>
      <c r="HKK205" s="17"/>
      <c r="HKL205" s="17"/>
      <c r="HKM205" s="17"/>
      <c r="HKN205" s="17"/>
      <c r="HKO205" s="17"/>
      <c r="HKP205" s="17"/>
      <c r="HKQ205" s="17"/>
      <c r="HKR205" s="17"/>
      <c r="HKS205" s="17"/>
      <c r="HKT205" s="17"/>
      <c r="HKU205" s="17"/>
      <c r="HKV205" s="17"/>
      <c r="HKW205" s="17"/>
      <c r="HKX205" s="17"/>
      <c r="HKY205" s="17"/>
      <c r="HKZ205" s="17"/>
      <c r="HLA205" s="17"/>
      <c r="HLB205" s="17"/>
      <c r="HLC205" s="17"/>
      <c r="HLD205" s="17"/>
      <c r="HLE205" s="17"/>
      <c r="HLF205" s="17"/>
      <c r="HLG205" s="17"/>
      <c r="HLH205" s="17"/>
      <c r="HLI205" s="17"/>
      <c r="HLJ205" s="17"/>
      <c r="HLK205" s="17"/>
      <c r="HLL205" s="17"/>
      <c r="HLM205" s="17"/>
      <c r="HLN205" s="17"/>
      <c r="HLO205" s="17"/>
      <c r="HLP205" s="17"/>
      <c r="HLQ205" s="17"/>
      <c r="HLR205" s="17"/>
      <c r="HLS205" s="17"/>
      <c r="HLT205" s="17"/>
      <c r="HLU205" s="17"/>
      <c r="HLV205" s="17"/>
      <c r="HLW205" s="17"/>
      <c r="HLX205" s="17"/>
      <c r="HLY205" s="17"/>
      <c r="HLZ205" s="17"/>
      <c r="HMA205" s="17"/>
      <c r="HMB205" s="17"/>
      <c r="HMC205" s="17"/>
      <c r="HMD205" s="17"/>
      <c r="HME205" s="17"/>
      <c r="HMF205" s="17"/>
      <c r="HMG205" s="17"/>
      <c r="HMH205" s="17"/>
      <c r="HMI205" s="17"/>
      <c r="HMJ205" s="17"/>
      <c r="HMK205" s="17"/>
      <c r="HML205" s="17"/>
      <c r="HMM205" s="17"/>
      <c r="HMN205" s="17"/>
      <c r="HMO205" s="17"/>
      <c r="HMP205" s="17"/>
      <c r="HMQ205" s="17"/>
      <c r="HMR205" s="17"/>
      <c r="HMS205" s="17"/>
      <c r="HMT205" s="17"/>
      <c r="HMU205" s="17"/>
      <c r="HMV205" s="17"/>
      <c r="HMW205" s="17"/>
      <c r="HMX205" s="17"/>
      <c r="HMY205" s="17"/>
      <c r="HMZ205" s="17"/>
      <c r="HNA205" s="17"/>
      <c r="HNB205" s="17"/>
      <c r="HNC205" s="17"/>
      <c r="HND205" s="17"/>
      <c r="HNE205" s="17"/>
      <c r="HNF205" s="17"/>
      <c r="HNG205" s="17"/>
      <c r="HNH205" s="17"/>
      <c r="HNI205" s="17"/>
      <c r="HNJ205" s="17"/>
      <c r="HNK205" s="17"/>
      <c r="HNL205" s="17"/>
      <c r="HNM205" s="17"/>
      <c r="HNN205" s="17"/>
      <c r="HNO205" s="17"/>
      <c r="HNP205" s="17"/>
      <c r="HNQ205" s="17"/>
      <c r="HNR205" s="17"/>
      <c r="HNS205" s="17"/>
      <c r="HNT205" s="17"/>
      <c r="HNU205" s="17"/>
      <c r="HNV205" s="17"/>
      <c r="HNW205" s="17"/>
      <c r="HNX205" s="17"/>
      <c r="HNY205" s="17"/>
      <c r="HNZ205" s="17"/>
      <c r="HOA205" s="17"/>
      <c r="HOB205" s="17"/>
      <c r="HOC205" s="17"/>
      <c r="HOD205" s="17"/>
      <c r="HOE205" s="17"/>
      <c r="HOF205" s="17"/>
      <c r="HOG205" s="17"/>
      <c r="HOH205" s="17"/>
      <c r="HOI205" s="17"/>
      <c r="HOJ205" s="17"/>
      <c r="HOK205" s="17"/>
      <c r="HOL205" s="17"/>
      <c r="HOM205" s="17"/>
      <c r="HON205" s="17"/>
      <c r="HOO205" s="17"/>
      <c r="HOP205" s="17"/>
      <c r="HOQ205" s="17"/>
      <c r="HOR205" s="17"/>
      <c r="HOS205" s="17"/>
      <c r="HOT205" s="17"/>
      <c r="HOU205" s="17"/>
      <c r="HOV205" s="17"/>
      <c r="HOW205" s="17"/>
      <c r="HOX205" s="17"/>
      <c r="HOY205" s="17"/>
      <c r="HOZ205" s="17"/>
      <c r="HPA205" s="17"/>
      <c r="HPB205" s="17"/>
      <c r="HPC205" s="17"/>
      <c r="HPD205" s="17"/>
      <c r="HPE205" s="17"/>
      <c r="HPF205" s="17"/>
      <c r="HPG205" s="17"/>
      <c r="HPH205" s="17"/>
      <c r="HPI205" s="17"/>
      <c r="HPJ205" s="17"/>
      <c r="HPK205" s="17"/>
      <c r="HPL205" s="17"/>
      <c r="HPM205" s="17"/>
      <c r="HPN205" s="17"/>
      <c r="HPO205" s="17"/>
      <c r="HPP205" s="17"/>
      <c r="HPQ205" s="17"/>
      <c r="HPR205" s="17"/>
      <c r="HPS205" s="17"/>
      <c r="HPT205" s="17"/>
      <c r="HPU205" s="17"/>
      <c r="HPV205" s="17"/>
      <c r="HPW205" s="17"/>
      <c r="HPX205" s="17"/>
      <c r="HPY205" s="17"/>
      <c r="HPZ205" s="17"/>
      <c r="HQA205" s="17"/>
      <c r="HQB205" s="17"/>
      <c r="HQC205" s="17"/>
      <c r="HQD205" s="17"/>
      <c r="HQE205" s="17"/>
      <c r="HQF205" s="17"/>
      <c r="HQG205" s="17"/>
      <c r="HQH205" s="17"/>
      <c r="HQI205" s="17"/>
      <c r="HQJ205" s="17"/>
      <c r="HQK205" s="17"/>
      <c r="HQL205" s="17"/>
      <c r="HQM205" s="17"/>
      <c r="HQN205" s="17"/>
      <c r="HQO205" s="17"/>
      <c r="HQP205" s="17"/>
      <c r="HQQ205" s="17"/>
      <c r="HQR205" s="17"/>
      <c r="HQS205" s="17"/>
      <c r="HQT205" s="17"/>
      <c r="HQU205" s="17"/>
      <c r="HQV205" s="17"/>
      <c r="HQW205" s="17"/>
      <c r="HQX205" s="17"/>
      <c r="HQY205" s="17"/>
      <c r="HQZ205" s="17"/>
      <c r="HRA205" s="17"/>
      <c r="HRB205" s="17"/>
      <c r="HRC205" s="17"/>
      <c r="HRD205" s="17"/>
      <c r="HRE205" s="17"/>
      <c r="HRF205" s="17"/>
      <c r="HRG205" s="17"/>
      <c r="HRH205" s="17"/>
      <c r="HRI205" s="17"/>
      <c r="HRJ205" s="17"/>
      <c r="HRK205" s="17"/>
      <c r="HRL205" s="17"/>
      <c r="HRM205" s="17"/>
      <c r="HRN205" s="17"/>
      <c r="HRO205" s="17"/>
      <c r="HRP205" s="17"/>
      <c r="HRQ205" s="17"/>
      <c r="HRR205" s="17"/>
      <c r="HRS205" s="17"/>
      <c r="HRT205" s="17"/>
      <c r="HRU205" s="17"/>
      <c r="HRV205" s="17"/>
      <c r="HRW205" s="17"/>
      <c r="HRX205" s="17"/>
      <c r="HRY205" s="17"/>
      <c r="HRZ205" s="17"/>
      <c r="HSA205" s="17"/>
      <c r="HSB205" s="17"/>
      <c r="HSC205" s="17"/>
      <c r="HSD205" s="17"/>
      <c r="HSE205" s="17"/>
      <c r="HSF205" s="17"/>
      <c r="HSG205" s="17"/>
      <c r="HSH205" s="17"/>
      <c r="HSI205" s="17"/>
      <c r="HSJ205" s="17"/>
      <c r="HSK205" s="17"/>
      <c r="HSL205" s="17"/>
      <c r="HSM205" s="17"/>
      <c r="HSN205" s="17"/>
      <c r="HSO205" s="17"/>
      <c r="HSP205" s="17"/>
      <c r="HSQ205" s="17"/>
      <c r="HSR205" s="17"/>
      <c r="HSS205" s="17"/>
      <c r="HST205" s="17"/>
      <c r="HSU205" s="17"/>
      <c r="HSV205" s="17"/>
      <c r="HSW205" s="17"/>
      <c r="HSX205" s="17"/>
      <c r="HSY205" s="17"/>
      <c r="HSZ205" s="17"/>
      <c r="HTA205" s="17"/>
      <c r="HTB205" s="17"/>
      <c r="HTC205" s="17"/>
      <c r="HTD205" s="17"/>
      <c r="HTE205" s="17"/>
      <c r="HTF205" s="17"/>
      <c r="HTG205" s="17"/>
      <c r="HTH205" s="17"/>
      <c r="HTI205" s="17"/>
      <c r="HTJ205" s="17"/>
      <c r="HTK205" s="17"/>
      <c r="HTL205" s="17"/>
      <c r="HTM205" s="17"/>
      <c r="HTN205" s="17"/>
      <c r="HTO205" s="17"/>
      <c r="HTP205" s="17"/>
      <c r="HTQ205" s="17"/>
      <c r="HTR205" s="17"/>
      <c r="HTS205" s="17"/>
      <c r="HTT205" s="17"/>
      <c r="HTU205" s="17"/>
      <c r="HTV205" s="17"/>
      <c r="HTW205" s="17"/>
      <c r="HTX205" s="17"/>
      <c r="HTY205" s="17"/>
      <c r="HTZ205" s="17"/>
      <c r="HUA205" s="17"/>
      <c r="HUB205" s="17"/>
      <c r="HUC205" s="17"/>
      <c r="HUD205" s="17"/>
      <c r="HUE205" s="17"/>
      <c r="HUF205" s="17"/>
      <c r="HUG205" s="17"/>
      <c r="HUH205" s="17"/>
      <c r="HUI205" s="17"/>
      <c r="HUJ205" s="17"/>
      <c r="HUK205" s="17"/>
      <c r="HUL205" s="17"/>
      <c r="HUM205" s="17"/>
      <c r="HUN205" s="17"/>
      <c r="HUO205" s="17"/>
      <c r="HUP205" s="17"/>
      <c r="HUQ205" s="17"/>
      <c r="HUR205" s="17"/>
      <c r="HUS205" s="17"/>
      <c r="HUT205" s="17"/>
      <c r="HUU205" s="17"/>
      <c r="HUV205" s="17"/>
      <c r="HUW205" s="17"/>
      <c r="HUX205" s="17"/>
      <c r="HUY205" s="17"/>
      <c r="HUZ205" s="17"/>
      <c r="HVA205" s="17"/>
      <c r="HVB205" s="17"/>
      <c r="HVC205" s="17"/>
      <c r="HVD205" s="17"/>
      <c r="HVE205" s="17"/>
      <c r="HVF205" s="17"/>
      <c r="HVG205" s="17"/>
      <c r="HVH205" s="17"/>
      <c r="HVI205" s="17"/>
      <c r="HVJ205" s="17"/>
      <c r="HVK205" s="17"/>
      <c r="HVL205" s="17"/>
      <c r="HVM205" s="17"/>
      <c r="HVN205" s="17"/>
      <c r="HVO205" s="17"/>
      <c r="HVP205" s="17"/>
      <c r="HVQ205" s="17"/>
      <c r="HVR205" s="17"/>
      <c r="HVS205" s="17"/>
      <c r="HVT205" s="17"/>
      <c r="HVU205" s="17"/>
      <c r="HVV205" s="17"/>
      <c r="HVW205" s="17"/>
      <c r="HVX205" s="17"/>
      <c r="HVY205" s="17"/>
      <c r="HVZ205" s="17"/>
      <c r="HWA205" s="17"/>
      <c r="HWB205" s="17"/>
      <c r="HWC205" s="17"/>
      <c r="HWD205" s="17"/>
      <c r="HWE205" s="17"/>
      <c r="HWF205" s="17"/>
      <c r="HWG205" s="17"/>
      <c r="HWH205" s="17"/>
      <c r="HWI205" s="17"/>
      <c r="HWJ205" s="17"/>
      <c r="HWK205" s="17"/>
      <c r="HWL205" s="17"/>
      <c r="HWM205" s="17"/>
      <c r="HWN205" s="17"/>
      <c r="HWO205" s="17"/>
      <c r="HWP205" s="17"/>
      <c r="HWQ205" s="17"/>
      <c r="HWR205" s="17"/>
      <c r="HWS205" s="17"/>
      <c r="HWT205" s="17"/>
      <c r="HWU205" s="17"/>
      <c r="HWV205" s="17"/>
      <c r="HWW205" s="17"/>
      <c r="HWX205" s="17"/>
      <c r="HWY205" s="17"/>
      <c r="HWZ205" s="17"/>
      <c r="HXA205" s="17"/>
      <c r="HXB205" s="17"/>
      <c r="HXC205" s="17"/>
      <c r="HXD205" s="17"/>
      <c r="HXE205" s="17"/>
      <c r="HXF205" s="17"/>
      <c r="HXG205" s="17"/>
      <c r="HXH205" s="17"/>
      <c r="HXI205" s="17"/>
      <c r="HXJ205" s="17"/>
      <c r="HXK205" s="17"/>
      <c r="HXL205" s="17"/>
      <c r="HXM205" s="17"/>
      <c r="HXN205" s="17"/>
      <c r="HXO205" s="17"/>
      <c r="HXP205" s="17"/>
      <c r="HXQ205" s="17"/>
      <c r="HXR205" s="17"/>
      <c r="HXS205" s="17"/>
      <c r="HXT205" s="17"/>
      <c r="HXU205" s="17"/>
      <c r="HXV205" s="17"/>
      <c r="HXW205" s="17"/>
      <c r="HXX205" s="17"/>
      <c r="HXY205" s="17"/>
      <c r="HXZ205" s="17"/>
      <c r="HYA205" s="17"/>
      <c r="HYB205" s="17"/>
      <c r="HYC205" s="17"/>
      <c r="HYD205" s="17"/>
      <c r="HYE205" s="17"/>
      <c r="HYF205" s="17"/>
      <c r="HYG205" s="17"/>
      <c r="HYH205" s="17"/>
      <c r="HYI205" s="17"/>
      <c r="HYJ205" s="17"/>
      <c r="HYK205" s="17"/>
      <c r="HYL205" s="17"/>
      <c r="HYM205" s="17"/>
      <c r="HYN205" s="17"/>
      <c r="HYO205" s="17"/>
      <c r="HYP205" s="17"/>
      <c r="HYQ205" s="17"/>
      <c r="HYR205" s="17"/>
      <c r="HYS205" s="17"/>
      <c r="HYT205" s="17"/>
      <c r="HYU205" s="17"/>
      <c r="HYV205" s="17"/>
      <c r="HYW205" s="17"/>
      <c r="HYX205" s="17"/>
      <c r="HYY205" s="17"/>
      <c r="HYZ205" s="17"/>
      <c r="HZA205" s="17"/>
      <c r="HZB205" s="17"/>
      <c r="HZC205" s="17"/>
      <c r="HZD205" s="17"/>
      <c r="HZE205" s="17"/>
      <c r="HZF205" s="17"/>
      <c r="HZG205" s="17"/>
      <c r="HZH205" s="17"/>
      <c r="HZI205" s="17"/>
      <c r="HZJ205" s="17"/>
      <c r="HZK205" s="17"/>
      <c r="HZL205" s="17"/>
      <c r="HZM205" s="17"/>
      <c r="HZN205" s="17"/>
      <c r="HZO205" s="17"/>
      <c r="HZP205" s="17"/>
      <c r="HZQ205" s="17"/>
      <c r="HZR205" s="17"/>
      <c r="HZS205" s="17"/>
      <c r="HZT205" s="17"/>
      <c r="HZU205" s="17"/>
      <c r="HZV205" s="17"/>
      <c r="HZW205" s="17"/>
      <c r="HZX205" s="17"/>
      <c r="HZY205" s="17"/>
      <c r="HZZ205" s="17"/>
      <c r="IAA205" s="17"/>
      <c r="IAB205" s="17"/>
      <c r="IAC205" s="17"/>
      <c r="IAD205" s="17"/>
      <c r="IAE205" s="17"/>
      <c r="IAF205" s="17"/>
      <c r="IAG205" s="17"/>
      <c r="IAH205" s="17"/>
      <c r="IAI205" s="17"/>
      <c r="IAJ205" s="17"/>
      <c r="IAK205" s="17"/>
      <c r="IAL205" s="17"/>
      <c r="IAM205" s="17"/>
      <c r="IAN205" s="17"/>
      <c r="IAO205" s="17"/>
      <c r="IAP205" s="17"/>
      <c r="IAQ205" s="17"/>
      <c r="IAR205" s="17"/>
      <c r="IAS205" s="17"/>
      <c r="IAT205" s="17"/>
      <c r="IAU205" s="17"/>
      <c r="IAV205" s="17"/>
      <c r="IAW205" s="17"/>
      <c r="IAX205" s="17"/>
      <c r="IAY205" s="17"/>
      <c r="IAZ205" s="17"/>
      <c r="IBA205" s="17"/>
      <c r="IBB205" s="17"/>
      <c r="IBC205" s="17"/>
      <c r="IBD205" s="17"/>
      <c r="IBE205" s="17"/>
      <c r="IBF205" s="17"/>
      <c r="IBG205" s="17"/>
      <c r="IBH205" s="17"/>
      <c r="IBI205" s="17"/>
      <c r="IBJ205" s="17"/>
      <c r="IBK205" s="17"/>
      <c r="IBL205" s="17"/>
      <c r="IBM205" s="17"/>
      <c r="IBN205" s="17"/>
      <c r="IBO205" s="17"/>
      <c r="IBP205" s="17"/>
      <c r="IBQ205" s="17"/>
      <c r="IBR205" s="17"/>
      <c r="IBS205" s="17"/>
      <c r="IBT205" s="17"/>
      <c r="IBU205" s="17"/>
      <c r="IBV205" s="17"/>
      <c r="IBW205" s="17"/>
      <c r="IBX205" s="17"/>
      <c r="IBY205" s="17"/>
      <c r="IBZ205" s="17"/>
      <c r="ICA205" s="17"/>
      <c r="ICB205" s="17"/>
      <c r="ICC205" s="17"/>
      <c r="ICD205" s="17"/>
      <c r="ICE205" s="17"/>
      <c r="ICF205" s="17"/>
      <c r="ICG205" s="17"/>
      <c r="ICH205" s="17"/>
      <c r="ICI205" s="17"/>
      <c r="ICJ205" s="17"/>
      <c r="ICK205" s="17"/>
      <c r="ICL205" s="17"/>
      <c r="ICM205" s="17"/>
      <c r="ICN205" s="17"/>
      <c r="ICO205" s="17"/>
      <c r="ICP205" s="17"/>
      <c r="ICQ205" s="17"/>
      <c r="ICR205" s="17"/>
      <c r="ICS205" s="17"/>
      <c r="ICT205" s="17"/>
      <c r="ICU205" s="17"/>
      <c r="ICV205" s="17"/>
      <c r="ICW205" s="17"/>
      <c r="ICX205" s="17"/>
      <c r="ICY205" s="17"/>
      <c r="ICZ205" s="17"/>
      <c r="IDA205" s="17"/>
      <c r="IDB205" s="17"/>
      <c r="IDC205" s="17"/>
      <c r="IDD205" s="17"/>
      <c r="IDE205" s="17"/>
      <c r="IDF205" s="17"/>
      <c r="IDG205" s="17"/>
      <c r="IDH205" s="17"/>
      <c r="IDI205" s="17"/>
      <c r="IDJ205" s="17"/>
      <c r="IDK205" s="17"/>
      <c r="IDL205" s="17"/>
      <c r="IDM205" s="17"/>
      <c r="IDN205" s="17"/>
      <c r="IDO205" s="17"/>
      <c r="IDP205" s="17"/>
      <c r="IDQ205" s="17"/>
      <c r="IDR205" s="17"/>
      <c r="IDS205" s="17"/>
      <c r="IDT205" s="17"/>
      <c r="IDU205" s="17"/>
      <c r="IDV205" s="17"/>
      <c r="IDW205" s="17"/>
      <c r="IDX205" s="17"/>
      <c r="IDY205" s="17"/>
      <c r="IDZ205" s="17"/>
      <c r="IEA205" s="17"/>
      <c r="IEB205" s="17"/>
      <c r="IEC205" s="17"/>
      <c r="IED205" s="17"/>
      <c r="IEE205" s="17"/>
      <c r="IEF205" s="17"/>
      <c r="IEG205" s="17"/>
      <c r="IEH205" s="17"/>
      <c r="IEI205" s="17"/>
      <c r="IEJ205" s="17"/>
      <c r="IEK205" s="17"/>
      <c r="IEL205" s="17"/>
      <c r="IEM205" s="17"/>
      <c r="IEN205" s="17"/>
      <c r="IEO205" s="17"/>
      <c r="IEP205" s="17"/>
      <c r="IEQ205" s="17"/>
      <c r="IER205" s="17"/>
      <c r="IES205" s="17"/>
      <c r="IET205" s="17"/>
      <c r="IEU205" s="17"/>
      <c r="IEV205" s="17"/>
      <c r="IEW205" s="17"/>
      <c r="IEX205" s="17"/>
      <c r="IEY205" s="17"/>
      <c r="IEZ205" s="17"/>
      <c r="IFA205" s="17"/>
      <c r="IFB205" s="17"/>
      <c r="IFC205" s="17"/>
      <c r="IFD205" s="17"/>
      <c r="IFE205" s="17"/>
      <c r="IFF205" s="17"/>
      <c r="IFG205" s="17"/>
      <c r="IFH205" s="17"/>
      <c r="IFI205" s="17"/>
      <c r="IFJ205" s="17"/>
      <c r="IFK205" s="17"/>
      <c r="IFL205" s="17"/>
      <c r="IFM205" s="17"/>
      <c r="IFN205" s="17"/>
      <c r="IFO205" s="17"/>
      <c r="IFP205" s="17"/>
      <c r="IFQ205" s="17"/>
      <c r="IFR205" s="17"/>
      <c r="IFS205" s="17"/>
      <c r="IFT205" s="17"/>
      <c r="IFU205" s="17"/>
      <c r="IFV205" s="17"/>
      <c r="IFW205" s="17"/>
      <c r="IFX205" s="17"/>
      <c r="IFY205" s="17"/>
      <c r="IFZ205" s="17"/>
      <c r="IGA205" s="17"/>
      <c r="IGB205" s="17"/>
      <c r="IGC205" s="17"/>
      <c r="IGD205" s="17"/>
      <c r="IGE205" s="17"/>
      <c r="IGF205" s="17"/>
      <c r="IGG205" s="17"/>
      <c r="IGH205" s="17"/>
      <c r="IGI205" s="17"/>
      <c r="IGJ205" s="17"/>
      <c r="IGK205" s="17"/>
      <c r="IGL205" s="17"/>
      <c r="IGM205" s="17"/>
      <c r="IGN205" s="17"/>
      <c r="IGO205" s="17"/>
      <c r="IGP205" s="17"/>
      <c r="IGQ205" s="17"/>
      <c r="IGR205" s="17"/>
      <c r="IGS205" s="17"/>
      <c r="IGT205" s="17"/>
      <c r="IGU205" s="17"/>
      <c r="IGV205" s="17"/>
      <c r="IGW205" s="17"/>
      <c r="IGX205" s="17"/>
      <c r="IGY205" s="17"/>
      <c r="IGZ205" s="17"/>
      <c r="IHA205" s="17"/>
      <c r="IHB205" s="17"/>
      <c r="IHC205" s="17"/>
      <c r="IHD205" s="17"/>
      <c r="IHE205" s="17"/>
      <c r="IHF205" s="17"/>
      <c r="IHG205" s="17"/>
      <c r="IHH205" s="17"/>
      <c r="IHI205" s="17"/>
      <c r="IHJ205" s="17"/>
      <c r="IHK205" s="17"/>
      <c r="IHL205" s="17"/>
      <c r="IHM205" s="17"/>
      <c r="IHN205" s="17"/>
      <c r="IHO205" s="17"/>
      <c r="IHP205" s="17"/>
      <c r="IHQ205" s="17"/>
      <c r="IHR205" s="17"/>
      <c r="IHS205" s="17"/>
      <c r="IHT205" s="17"/>
      <c r="IHU205" s="17"/>
      <c r="IHV205" s="17"/>
      <c r="IHW205" s="17"/>
      <c r="IHX205" s="17"/>
      <c r="IHY205" s="17"/>
      <c r="IHZ205" s="17"/>
      <c r="IIA205" s="17"/>
      <c r="IIB205" s="17"/>
      <c r="IIC205" s="17"/>
      <c r="IID205" s="17"/>
      <c r="IIE205" s="17"/>
      <c r="IIF205" s="17"/>
      <c r="IIG205" s="17"/>
      <c r="IIH205" s="17"/>
      <c r="III205" s="17"/>
      <c r="IIJ205" s="17"/>
      <c r="IIK205" s="17"/>
      <c r="IIL205" s="17"/>
      <c r="IIM205" s="17"/>
      <c r="IIN205" s="17"/>
      <c r="IIO205" s="17"/>
      <c r="IIP205" s="17"/>
      <c r="IIQ205" s="17"/>
      <c r="IIR205" s="17"/>
      <c r="IIS205" s="17"/>
      <c r="IIT205" s="17"/>
      <c r="IIU205" s="17"/>
      <c r="IIV205" s="17"/>
      <c r="IIW205" s="17"/>
      <c r="IIX205" s="17"/>
      <c r="IIY205" s="17"/>
      <c r="IIZ205" s="17"/>
      <c r="IJA205" s="17"/>
      <c r="IJB205" s="17"/>
      <c r="IJC205" s="17"/>
      <c r="IJD205" s="17"/>
      <c r="IJE205" s="17"/>
      <c r="IJF205" s="17"/>
      <c r="IJG205" s="17"/>
      <c r="IJH205" s="17"/>
      <c r="IJI205" s="17"/>
      <c r="IJJ205" s="17"/>
      <c r="IJK205" s="17"/>
      <c r="IJL205" s="17"/>
      <c r="IJM205" s="17"/>
      <c r="IJN205" s="17"/>
      <c r="IJO205" s="17"/>
      <c r="IJP205" s="17"/>
      <c r="IJQ205" s="17"/>
      <c r="IJR205" s="17"/>
      <c r="IJS205" s="17"/>
      <c r="IJT205" s="17"/>
      <c r="IJU205" s="17"/>
      <c r="IJV205" s="17"/>
      <c r="IJW205" s="17"/>
      <c r="IJX205" s="17"/>
      <c r="IJY205" s="17"/>
      <c r="IJZ205" s="17"/>
      <c r="IKA205" s="17"/>
      <c r="IKB205" s="17"/>
      <c r="IKC205" s="17"/>
      <c r="IKD205" s="17"/>
      <c r="IKE205" s="17"/>
      <c r="IKF205" s="17"/>
      <c r="IKG205" s="17"/>
      <c r="IKH205" s="17"/>
      <c r="IKI205" s="17"/>
      <c r="IKJ205" s="17"/>
      <c r="IKK205" s="17"/>
      <c r="IKL205" s="17"/>
      <c r="IKM205" s="17"/>
      <c r="IKN205" s="17"/>
      <c r="IKO205" s="17"/>
      <c r="IKP205" s="17"/>
      <c r="IKQ205" s="17"/>
      <c r="IKR205" s="17"/>
      <c r="IKS205" s="17"/>
      <c r="IKT205" s="17"/>
      <c r="IKU205" s="17"/>
      <c r="IKV205" s="17"/>
      <c r="IKW205" s="17"/>
      <c r="IKX205" s="17"/>
      <c r="IKY205" s="17"/>
      <c r="IKZ205" s="17"/>
      <c r="ILA205" s="17"/>
      <c r="ILB205" s="17"/>
      <c r="ILC205" s="17"/>
      <c r="ILD205" s="17"/>
      <c r="ILE205" s="17"/>
      <c r="ILF205" s="17"/>
      <c r="ILG205" s="17"/>
      <c r="ILH205" s="17"/>
      <c r="ILI205" s="17"/>
      <c r="ILJ205" s="17"/>
      <c r="ILK205" s="17"/>
      <c r="ILL205" s="17"/>
      <c r="ILM205" s="17"/>
      <c r="ILN205" s="17"/>
      <c r="ILO205" s="17"/>
      <c r="ILP205" s="17"/>
      <c r="ILQ205" s="17"/>
      <c r="ILR205" s="17"/>
      <c r="ILS205" s="17"/>
      <c r="ILT205" s="17"/>
      <c r="ILU205" s="17"/>
      <c r="ILV205" s="17"/>
      <c r="ILW205" s="17"/>
      <c r="ILX205" s="17"/>
      <c r="ILY205" s="17"/>
      <c r="ILZ205" s="17"/>
      <c r="IMA205" s="17"/>
      <c r="IMB205" s="17"/>
      <c r="IMC205" s="17"/>
      <c r="IMD205" s="17"/>
      <c r="IME205" s="17"/>
      <c r="IMF205" s="17"/>
      <c r="IMG205" s="17"/>
      <c r="IMH205" s="17"/>
      <c r="IMI205" s="17"/>
      <c r="IMJ205" s="17"/>
      <c r="IMK205" s="17"/>
      <c r="IML205" s="17"/>
      <c r="IMM205" s="17"/>
      <c r="IMN205" s="17"/>
      <c r="IMO205" s="17"/>
      <c r="IMP205" s="17"/>
      <c r="IMQ205" s="17"/>
      <c r="IMR205" s="17"/>
      <c r="IMS205" s="17"/>
      <c r="IMT205" s="17"/>
      <c r="IMU205" s="17"/>
      <c r="IMV205" s="17"/>
      <c r="IMW205" s="17"/>
      <c r="IMX205" s="17"/>
      <c r="IMY205" s="17"/>
      <c r="IMZ205" s="17"/>
      <c r="INA205" s="17"/>
      <c r="INB205" s="17"/>
      <c r="INC205" s="17"/>
      <c r="IND205" s="17"/>
      <c r="INE205" s="17"/>
      <c r="INF205" s="17"/>
      <c r="ING205" s="17"/>
      <c r="INH205" s="17"/>
      <c r="INI205" s="17"/>
      <c r="INJ205" s="17"/>
      <c r="INK205" s="17"/>
      <c r="INL205" s="17"/>
      <c r="INM205" s="17"/>
      <c r="INN205" s="17"/>
      <c r="INO205" s="17"/>
      <c r="INP205" s="17"/>
      <c r="INQ205" s="17"/>
      <c r="INR205" s="17"/>
      <c r="INS205" s="17"/>
      <c r="INT205" s="17"/>
      <c r="INU205" s="17"/>
      <c r="INV205" s="17"/>
      <c r="INW205" s="17"/>
      <c r="INX205" s="17"/>
      <c r="INY205" s="17"/>
      <c r="INZ205" s="17"/>
      <c r="IOA205" s="17"/>
      <c r="IOB205" s="17"/>
      <c r="IOC205" s="17"/>
      <c r="IOD205" s="17"/>
      <c r="IOE205" s="17"/>
      <c r="IOF205" s="17"/>
      <c r="IOG205" s="17"/>
      <c r="IOH205" s="17"/>
      <c r="IOI205" s="17"/>
      <c r="IOJ205" s="17"/>
      <c r="IOK205" s="17"/>
      <c r="IOL205" s="17"/>
      <c r="IOM205" s="17"/>
      <c r="ION205" s="17"/>
      <c r="IOO205" s="17"/>
      <c r="IOP205" s="17"/>
      <c r="IOQ205" s="17"/>
      <c r="IOR205" s="17"/>
      <c r="IOS205" s="17"/>
      <c r="IOT205" s="17"/>
      <c r="IOU205" s="17"/>
      <c r="IOV205" s="17"/>
      <c r="IOW205" s="17"/>
      <c r="IOX205" s="17"/>
      <c r="IOY205" s="17"/>
      <c r="IOZ205" s="17"/>
      <c r="IPA205" s="17"/>
      <c r="IPB205" s="17"/>
      <c r="IPC205" s="17"/>
      <c r="IPD205" s="17"/>
      <c r="IPE205" s="17"/>
      <c r="IPF205" s="17"/>
      <c r="IPG205" s="17"/>
      <c r="IPH205" s="17"/>
      <c r="IPI205" s="17"/>
      <c r="IPJ205" s="17"/>
      <c r="IPK205" s="17"/>
      <c r="IPL205" s="17"/>
      <c r="IPM205" s="17"/>
      <c r="IPN205" s="17"/>
      <c r="IPO205" s="17"/>
      <c r="IPP205" s="17"/>
      <c r="IPQ205" s="17"/>
      <c r="IPR205" s="17"/>
      <c r="IPS205" s="17"/>
      <c r="IPT205" s="17"/>
      <c r="IPU205" s="17"/>
      <c r="IPV205" s="17"/>
      <c r="IPW205" s="17"/>
      <c r="IPX205" s="17"/>
      <c r="IPY205" s="17"/>
      <c r="IPZ205" s="17"/>
      <c r="IQA205" s="17"/>
      <c r="IQB205" s="17"/>
      <c r="IQC205" s="17"/>
      <c r="IQD205" s="17"/>
      <c r="IQE205" s="17"/>
      <c r="IQF205" s="17"/>
      <c r="IQG205" s="17"/>
      <c r="IQH205" s="17"/>
      <c r="IQI205" s="17"/>
      <c r="IQJ205" s="17"/>
      <c r="IQK205" s="17"/>
      <c r="IQL205" s="17"/>
      <c r="IQM205" s="17"/>
      <c r="IQN205" s="17"/>
      <c r="IQO205" s="17"/>
      <c r="IQP205" s="17"/>
      <c r="IQQ205" s="17"/>
      <c r="IQR205" s="17"/>
      <c r="IQS205" s="17"/>
      <c r="IQT205" s="17"/>
      <c r="IQU205" s="17"/>
      <c r="IQV205" s="17"/>
      <c r="IQW205" s="17"/>
      <c r="IQX205" s="17"/>
      <c r="IQY205" s="17"/>
      <c r="IQZ205" s="17"/>
      <c r="IRA205" s="17"/>
      <c r="IRB205" s="17"/>
      <c r="IRC205" s="17"/>
      <c r="IRD205" s="17"/>
      <c r="IRE205" s="17"/>
      <c r="IRF205" s="17"/>
      <c r="IRG205" s="17"/>
      <c r="IRH205" s="17"/>
      <c r="IRI205" s="17"/>
      <c r="IRJ205" s="17"/>
      <c r="IRK205" s="17"/>
      <c r="IRL205" s="17"/>
      <c r="IRM205" s="17"/>
      <c r="IRN205" s="17"/>
      <c r="IRO205" s="17"/>
      <c r="IRP205" s="17"/>
      <c r="IRQ205" s="17"/>
      <c r="IRR205" s="17"/>
      <c r="IRS205" s="17"/>
      <c r="IRT205" s="17"/>
      <c r="IRU205" s="17"/>
      <c r="IRV205" s="17"/>
      <c r="IRW205" s="17"/>
      <c r="IRX205" s="17"/>
      <c r="IRY205" s="17"/>
      <c r="IRZ205" s="17"/>
      <c r="ISA205" s="17"/>
      <c r="ISB205" s="17"/>
      <c r="ISC205" s="17"/>
      <c r="ISD205" s="17"/>
      <c r="ISE205" s="17"/>
      <c r="ISF205" s="17"/>
      <c r="ISG205" s="17"/>
      <c r="ISH205" s="17"/>
      <c r="ISI205" s="17"/>
      <c r="ISJ205" s="17"/>
      <c r="ISK205" s="17"/>
      <c r="ISL205" s="17"/>
      <c r="ISM205" s="17"/>
      <c r="ISN205" s="17"/>
      <c r="ISO205" s="17"/>
      <c r="ISP205" s="17"/>
      <c r="ISQ205" s="17"/>
      <c r="ISR205" s="17"/>
      <c r="ISS205" s="17"/>
      <c r="IST205" s="17"/>
      <c r="ISU205" s="17"/>
      <c r="ISV205" s="17"/>
      <c r="ISW205" s="17"/>
      <c r="ISX205" s="17"/>
      <c r="ISY205" s="17"/>
      <c r="ISZ205" s="17"/>
      <c r="ITA205" s="17"/>
      <c r="ITB205" s="17"/>
      <c r="ITC205" s="17"/>
      <c r="ITD205" s="17"/>
      <c r="ITE205" s="17"/>
      <c r="ITF205" s="17"/>
      <c r="ITG205" s="17"/>
      <c r="ITH205" s="17"/>
      <c r="ITI205" s="17"/>
      <c r="ITJ205" s="17"/>
      <c r="ITK205" s="17"/>
      <c r="ITL205" s="17"/>
      <c r="ITM205" s="17"/>
      <c r="ITN205" s="17"/>
      <c r="ITO205" s="17"/>
      <c r="ITP205" s="17"/>
      <c r="ITQ205" s="17"/>
      <c r="ITR205" s="17"/>
      <c r="ITS205" s="17"/>
      <c r="ITT205" s="17"/>
      <c r="ITU205" s="17"/>
      <c r="ITV205" s="17"/>
      <c r="ITW205" s="17"/>
      <c r="ITX205" s="17"/>
      <c r="ITY205" s="17"/>
      <c r="ITZ205" s="17"/>
      <c r="IUA205" s="17"/>
      <c r="IUB205" s="17"/>
      <c r="IUC205" s="17"/>
      <c r="IUD205" s="17"/>
      <c r="IUE205" s="17"/>
      <c r="IUF205" s="17"/>
      <c r="IUG205" s="17"/>
      <c r="IUH205" s="17"/>
      <c r="IUI205" s="17"/>
      <c r="IUJ205" s="17"/>
      <c r="IUK205" s="17"/>
      <c r="IUL205" s="17"/>
      <c r="IUM205" s="17"/>
      <c r="IUN205" s="17"/>
      <c r="IUO205" s="17"/>
      <c r="IUP205" s="17"/>
      <c r="IUQ205" s="17"/>
      <c r="IUR205" s="17"/>
      <c r="IUS205" s="17"/>
      <c r="IUT205" s="17"/>
      <c r="IUU205" s="17"/>
      <c r="IUV205" s="17"/>
      <c r="IUW205" s="17"/>
      <c r="IUX205" s="17"/>
      <c r="IUY205" s="17"/>
      <c r="IUZ205" s="17"/>
      <c r="IVA205" s="17"/>
      <c r="IVB205" s="17"/>
      <c r="IVC205" s="17"/>
      <c r="IVD205" s="17"/>
      <c r="IVE205" s="17"/>
      <c r="IVF205" s="17"/>
      <c r="IVG205" s="17"/>
      <c r="IVH205" s="17"/>
      <c r="IVI205" s="17"/>
      <c r="IVJ205" s="17"/>
      <c r="IVK205" s="17"/>
      <c r="IVL205" s="17"/>
      <c r="IVM205" s="17"/>
      <c r="IVN205" s="17"/>
      <c r="IVO205" s="17"/>
      <c r="IVP205" s="17"/>
      <c r="IVQ205" s="17"/>
      <c r="IVR205" s="17"/>
      <c r="IVS205" s="17"/>
      <c r="IVT205" s="17"/>
      <c r="IVU205" s="17"/>
      <c r="IVV205" s="17"/>
      <c r="IVW205" s="17"/>
      <c r="IVX205" s="17"/>
      <c r="IVY205" s="17"/>
      <c r="IVZ205" s="17"/>
      <c r="IWA205" s="17"/>
      <c r="IWB205" s="17"/>
      <c r="IWC205" s="17"/>
      <c r="IWD205" s="17"/>
      <c r="IWE205" s="17"/>
      <c r="IWF205" s="17"/>
      <c r="IWG205" s="17"/>
      <c r="IWH205" s="17"/>
      <c r="IWI205" s="17"/>
      <c r="IWJ205" s="17"/>
      <c r="IWK205" s="17"/>
      <c r="IWL205" s="17"/>
      <c r="IWM205" s="17"/>
      <c r="IWN205" s="17"/>
      <c r="IWO205" s="17"/>
      <c r="IWP205" s="17"/>
      <c r="IWQ205" s="17"/>
      <c r="IWR205" s="17"/>
      <c r="IWS205" s="17"/>
      <c r="IWT205" s="17"/>
      <c r="IWU205" s="17"/>
      <c r="IWV205" s="17"/>
      <c r="IWW205" s="17"/>
      <c r="IWX205" s="17"/>
      <c r="IWY205" s="17"/>
      <c r="IWZ205" s="17"/>
      <c r="IXA205" s="17"/>
      <c r="IXB205" s="17"/>
      <c r="IXC205" s="17"/>
      <c r="IXD205" s="17"/>
      <c r="IXE205" s="17"/>
      <c r="IXF205" s="17"/>
      <c r="IXG205" s="17"/>
      <c r="IXH205" s="17"/>
      <c r="IXI205" s="17"/>
      <c r="IXJ205" s="17"/>
      <c r="IXK205" s="17"/>
      <c r="IXL205" s="17"/>
      <c r="IXM205" s="17"/>
      <c r="IXN205" s="17"/>
      <c r="IXO205" s="17"/>
      <c r="IXP205" s="17"/>
      <c r="IXQ205" s="17"/>
      <c r="IXR205" s="17"/>
      <c r="IXS205" s="17"/>
      <c r="IXT205" s="17"/>
      <c r="IXU205" s="17"/>
      <c r="IXV205" s="17"/>
      <c r="IXW205" s="17"/>
      <c r="IXX205" s="17"/>
      <c r="IXY205" s="17"/>
      <c r="IXZ205" s="17"/>
      <c r="IYA205" s="17"/>
      <c r="IYB205" s="17"/>
      <c r="IYC205" s="17"/>
      <c r="IYD205" s="17"/>
      <c r="IYE205" s="17"/>
      <c r="IYF205" s="17"/>
      <c r="IYG205" s="17"/>
      <c r="IYH205" s="17"/>
      <c r="IYI205" s="17"/>
      <c r="IYJ205" s="17"/>
      <c r="IYK205" s="17"/>
      <c r="IYL205" s="17"/>
      <c r="IYM205" s="17"/>
      <c r="IYN205" s="17"/>
      <c r="IYO205" s="17"/>
      <c r="IYP205" s="17"/>
      <c r="IYQ205" s="17"/>
      <c r="IYR205" s="17"/>
      <c r="IYS205" s="17"/>
      <c r="IYT205" s="17"/>
      <c r="IYU205" s="17"/>
      <c r="IYV205" s="17"/>
      <c r="IYW205" s="17"/>
      <c r="IYX205" s="17"/>
      <c r="IYY205" s="17"/>
      <c r="IYZ205" s="17"/>
      <c r="IZA205" s="17"/>
      <c r="IZB205" s="17"/>
      <c r="IZC205" s="17"/>
      <c r="IZD205" s="17"/>
      <c r="IZE205" s="17"/>
      <c r="IZF205" s="17"/>
      <c r="IZG205" s="17"/>
      <c r="IZH205" s="17"/>
      <c r="IZI205" s="17"/>
      <c r="IZJ205" s="17"/>
      <c r="IZK205" s="17"/>
      <c r="IZL205" s="17"/>
      <c r="IZM205" s="17"/>
      <c r="IZN205" s="17"/>
      <c r="IZO205" s="17"/>
      <c r="IZP205" s="17"/>
      <c r="IZQ205" s="17"/>
      <c r="IZR205" s="17"/>
      <c r="IZS205" s="17"/>
      <c r="IZT205" s="17"/>
      <c r="IZU205" s="17"/>
      <c r="IZV205" s="17"/>
      <c r="IZW205" s="17"/>
      <c r="IZX205" s="17"/>
      <c r="IZY205" s="17"/>
      <c r="IZZ205" s="17"/>
      <c r="JAA205" s="17"/>
      <c r="JAB205" s="17"/>
      <c r="JAC205" s="17"/>
      <c r="JAD205" s="17"/>
      <c r="JAE205" s="17"/>
      <c r="JAF205" s="17"/>
      <c r="JAG205" s="17"/>
      <c r="JAH205" s="17"/>
      <c r="JAI205" s="17"/>
      <c r="JAJ205" s="17"/>
      <c r="JAK205" s="17"/>
      <c r="JAL205" s="17"/>
      <c r="JAM205" s="17"/>
      <c r="JAN205" s="17"/>
      <c r="JAO205" s="17"/>
      <c r="JAP205" s="17"/>
      <c r="JAQ205" s="17"/>
      <c r="JAR205" s="17"/>
      <c r="JAS205" s="17"/>
      <c r="JAT205" s="17"/>
      <c r="JAU205" s="17"/>
      <c r="JAV205" s="17"/>
      <c r="JAW205" s="17"/>
      <c r="JAX205" s="17"/>
      <c r="JAY205" s="17"/>
      <c r="JAZ205" s="17"/>
      <c r="JBA205" s="17"/>
      <c r="JBB205" s="17"/>
      <c r="JBC205" s="17"/>
      <c r="JBD205" s="17"/>
      <c r="JBE205" s="17"/>
      <c r="JBF205" s="17"/>
      <c r="JBG205" s="17"/>
      <c r="JBH205" s="17"/>
      <c r="JBI205" s="17"/>
      <c r="JBJ205" s="17"/>
      <c r="JBK205" s="17"/>
      <c r="JBL205" s="17"/>
      <c r="JBM205" s="17"/>
      <c r="JBN205" s="17"/>
      <c r="JBO205" s="17"/>
      <c r="JBP205" s="17"/>
      <c r="JBQ205" s="17"/>
      <c r="JBR205" s="17"/>
      <c r="JBS205" s="17"/>
      <c r="JBT205" s="17"/>
      <c r="JBU205" s="17"/>
      <c r="JBV205" s="17"/>
      <c r="JBW205" s="17"/>
      <c r="JBX205" s="17"/>
      <c r="JBY205" s="17"/>
      <c r="JBZ205" s="17"/>
      <c r="JCA205" s="17"/>
      <c r="JCB205" s="17"/>
      <c r="JCC205" s="17"/>
      <c r="JCD205" s="17"/>
      <c r="JCE205" s="17"/>
      <c r="JCF205" s="17"/>
      <c r="JCG205" s="17"/>
      <c r="JCH205" s="17"/>
      <c r="JCI205" s="17"/>
      <c r="JCJ205" s="17"/>
      <c r="JCK205" s="17"/>
      <c r="JCL205" s="17"/>
      <c r="JCM205" s="17"/>
      <c r="JCN205" s="17"/>
      <c r="JCO205" s="17"/>
      <c r="JCP205" s="17"/>
      <c r="JCQ205" s="17"/>
      <c r="JCR205" s="17"/>
      <c r="JCS205" s="17"/>
      <c r="JCT205" s="17"/>
      <c r="JCU205" s="17"/>
      <c r="JCV205" s="17"/>
      <c r="JCW205" s="17"/>
      <c r="JCX205" s="17"/>
      <c r="JCY205" s="17"/>
      <c r="JCZ205" s="17"/>
      <c r="JDA205" s="17"/>
      <c r="JDB205" s="17"/>
      <c r="JDC205" s="17"/>
      <c r="JDD205" s="17"/>
      <c r="JDE205" s="17"/>
      <c r="JDF205" s="17"/>
      <c r="JDG205" s="17"/>
      <c r="JDH205" s="17"/>
      <c r="JDI205" s="17"/>
      <c r="JDJ205" s="17"/>
      <c r="JDK205" s="17"/>
      <c r="JDL205" s="17"/>
      <c r="JDM205" s="17"/>
      <c r="JDN205" s="17"/>
      <c r="JDO205" s="17"/>
      <c r="JDP205" s="17"/>
      <c r="JDQ205" s="17"/>
      <c r="JDR205" s="17"/>
      <c r="JDS205" s="17"/>
      <c r="JDT205" s="17"/>
      <c r="JDU205" s="17"/>
      <c r="JDV205" s="17"/>
      <c r="JDW205" s="17"/>
      <c r="JDX205" s="17"/>
      <c r="JDY205" s="17"/>
      <c r="JDZ205" s="17"/>
      <c r="JEA205" s="17"/>
      <c r="JEB205" s="17"/>
      <c r="JEC205" s="17"/>
      <c r="JED205" s="17"/>
      <c r="JEE205" s="17"/>
      <c r="JEF205" s="17"/>
      <c r="JEG205" s="17"/>
      <c r="JEH205" s="17"/>
      <c r="JEI205" s="17"/>
      <c r="JEJ205" s="17"/>
      <c r="JEK205" s="17"/>
      <c r="JEL205" s="17"/>
      <c r="JEM205" s="17"/>
      <c r="JEN205" s="17"/>
      <c r="JEO205" s="17"/>
      <c r="JEP205" s="17"/>
      <c r="JEQ205" s="17"/>
      <c r="JER205" s="17"/>
      <c r="JES205" s="17"/>
      <c r="JET205" s="17"/>
      <c r="JEU205" s="17"/>
      <c r="JEV205" s="17"/>
      <c r="JEW205" s="17"/>
      <c r="JEX205" s="17"/>
      <c r="JEY205" s="17"/>
      <c r="JEZ205" s="17"/>
      <c r="JFA205" s="17"/>
      <c r="JFB205" s="17"/>
      <c r="JFC205" s="17"/>
      <c r="JFD205" s="17"/>
      <c r="JFE205" s="17"/>
      <c r="JFF205" s="17"/>
      <c r="JFG205" s="17"/>
      <c r="JFH205" s="17"/>
      <c r="JFI205" s="17"/>
      <c r="JFJ205" s="17"/>
      <c r="JFK205" s="17"/>
      <c r="JFL205" s="17"/>
      <c r="JFM205" s="17"/>
      <c r="JFN205" s="17"/>
      <c r="JFO205" s="17"/>
      <c r="JFP205" s="17"/>
      <c r="JFQ205" s="17"/>
      <c r="JFR205" s="17"/>
      <c r="JFS205" s="17"/>
      <c r="JFT205" s="17"/>
      <c r="JFU205" s="17"/>
      <c r="JFV205" s="17"/>
      <c r="JFW205" s="17"/>
      <c r="JFX205" s="17"/>
      <c r="JFY205" s="17"/>
      <c r="JFZ205" s="17"/>
      <c r="JGA205" s="17"/>
      <c r="JGB205" s="17"/>
      <c r="JGC205" s="17"/>
      <c r="JGD205" s="17"/>
      <c r="JGE205" s="17"/>
      <c r="JGF205" s="17"/>
      <c r="JGG205" s="17"/>
      <c r="JGH205" s="17"/>
      <c r="JGI205" s="17"/>
      <c r="JGJ205" s="17"/>
      <c r="JGK205" s="17"/>
      <c r="JGL205" s="17"/>
      <c r="JGM205" s="17"/>
      <c r="JGN205" s="17"/>
      <c r="JGO205" s="17"/>
      <c r="JGP205" s="17"/>
      <c r="JGQ205" s="17"/>
      <c r="JGR205" s="17"/>
      <c r="JGS205" s="17"/>
      <c r="JGT205" s="17"/>
      <c r="JGU205" s="17"/>
      <c r="JGV205" s="17"/>
      <c r="JGW205" s="17"/>
      <c r="JGX205" s="17"/>
      <c r="JGY205" s="17"/>
      <c r="JGZ205" s="17"/>
      <c r="JHA205" s="17"/>
      <c r="JHB205" s="17"/>
      <c r="JHC205" s="17"/>
      <c r="JHD205" s="17"/>
      <c r="JHE205" s="17"/>
      <c r="JHF205" s="17"/>
      <c r="JHG205" s="17"/>
      <c r="JHH205" s="17"/>
      <c r="JHI205" s="17"/>
      <c r="JHJ205" s="17"/>
      <c r="JHK205" s="17"/>
      <c r="JHL205" s="17"/>
      <c r="JHM205" s="17"/>
      <c r="JHN205" s="17"/>
      <c r="JHO205" s="17"/>
      <c r="JHP205" s="17"/>
      <c r="JHQ205" s="17"/>
      <c r="JHR205" s="17"/>
      <c r="JHS205" s="17"/>
      <c r="JHT205" s="17"/>
      <c r="JHU205" s="17"/>
      <c r="JHV205" s="17"/>
      <c r="JHW205" s="17"/>
      <c r="JHX205" s="17"/>
      <c r="JHY205" s="17"/>
      <c r="JHZ205" s="17"/>
      <c r="JIA205" s="17"/>
      <c r="JIB205" s="17"/>
      <c r="JIC205" s="17"/>
      <c r="JID205" s="17"/>
      <c r="JIE205" s="17"/>
      <c r="JIF205" s="17"/>
      <c r="JIG205" s="17"/>
      <c r="JIH205" s="17"/>
      <c r="JII205" s="17"/>
      <c r="JIJ205" s="17"/>
      <c r="JIK205" s="17"/>
      <c r="JIL205" s="17"/>
      <c r="JIM205" s="17"/>
      <c r="JIN205" s="17"/>
      <c r="JIO205" s="17"/>
      <c r="JIP205" s="17"/>
      <c r="JIQ205" s="17"/>
      <c r="JIR205" s="17"/>
      <c r="JIS205" s="17"/>
      <c r="JIT205" s="17"/>
      <c r="JIU205" s="17"/>
      <c r="JIV205" s="17"/>
      <c r="JIW205" s="17"/>
      <c r="JIX205" s="17"/>
      <c r="JIY205" s="17"/>
      <c r="JIZ205" s="17"/>
      <c r="JJA205" s="17"/>
      <c r="JJB205" s="17"/>
      <c r="JJC205" s="17"/>
      <c r="JJD205" s="17"/>
      <c r="JJE205" s="17"/>
      <c r="JJF205" s="17"/>
      <c r="JJG205" s="17"/>
      <c r="JJH205" s="17"/>
      <c r="JJI205" s="17"/>
      <c r="JJJ205" s="17"/>
      <c r="JJK205" s="17"/>
      <c r="JJL205" s="17"/>
      <c r="JJM205" s="17"/>
      <c r="JJN205" s="17"/>
      <c r="JJO205" s="17"/>
      <c r="JJP205" s="17"/>
      <c r="JJQ205" s="17"/>
      <c r="JJR205" s="17"/>
      <c r="JJS205" s="17"/>
      <c r="JJT205" s="17"/>
      <c r="JJU205" s="17"/>
      <c r="JJV205" s="17"/>
      <c r="JJW205" s="17"/>
      <c r="JJX205" s="17"/>
      <c r="JJY205" s="17"/>
      <c r="JJZ205" s="17"/>
      <c r="JKA205" s="17"/>
      <c r="JKB205" s="17"/>
      <c r="JKC205" s="17"/>
      <c r="JKD205" s="17"/>
      <c r="JKE205" s="17"/>
      <c r="JKF205" s="17"/>
      <c r="JKG205" s="17"/>
      <c r="JKH205" s="17"/>
      <c r="JKI205" s="17"/>
      <c r="JKJ205" s="17"/>
      <c r="JKK205" s="17"/>
      <c r="JKL205" s="17"/>
      <c r="JKM205" s="17"/>
      <c r="JKN205" s="17"/>
      <c r="JKO205" s="17"/>
      <c r="JKP205" s="17"/>
      <c r="JKQ205" s="17"/>
      <c r="JKR205" s="17"/>
      <c r="JKS205" s="17"/>
      <c r="JKT205" s="17"/>
      <c r="JKU205" s="17"/>
      <c r="JKV205" s="17"/>
      <c r="JKW205" s="17"/>
      <c r="JKX205" s="17"/>
      <c r="JKY205" s="17"/>
      <c r="JKZ205" s="17"/>
      <c r="JLA205" s="17"/>
      <c r="JLB205" s="17"/>
      <c r="JLC205" s="17"/>
      <c r="JLD205" s="17"/>
      <c r="JLE205" s="17"/>
      <c r="JLF205" s="17"/>
      <c r="JLG205" s="17"/>
      <c r="JLH205" s="17"/>
      <c r="JLI205" s="17"/>
      <c r="JLJ205" s="17"/>
      <c r="JLK205" s="17"/>
      <c r="JLL205" s="17"/>
      <c r="JLM205" s="17"/>
      <c r="JLN205" s="17"/>
      <c r="JLO205" s="17"/>
      <c r="JLP205" s="17"/>
      <c r="JLQ205" s="17"/>
      <c r="JLR205" s="17"/>
      <c r="JLS205" s="17"/>
      <c r="JLT205" s="17"/>
      <c r="JLU205" s="17"/>
      <c r="JLV205" s="17"/>
      <c r="JLW205" s="17"/>
      <c r="JLX205" s="17"/>
      <c r="JLY205" s="17"/>
      <c r="JLZ205" s="17"/>
      <c r="JMA205" s="17"/>
      <c r="JMB205" s="17"/>
      <c r="JMC205" s="17"/>
      <c r="JMD205" s="17"/>
      <c r="JME205" s="17"/>
      <c r="JMF205" s="17"/>
      <c r="JMG205" s="17"/>
      <c r="JMH205" s="17"/>
      <c r="JMI205" s="17"/>
      <c r="JMJ205" s="17"/>
      <c r="JMK205" s="17"/>
      <c r="JML205" s="17"/>
      <c r="JMM205" s="17"/>
      <c r="JMN205" s="17"/>
      <c r="JMO205" s="17"/>
      <c r="JMP205" s="17"/>
      <c r="JMQ205" s="17"/>
      <c r="JMR205" s="17"/>
      <c r="JMS205" s="17"/>
      <c r="JMT205" s="17"/>
      <c r="JMU205" s="17"/>
      <c r="JMV205" s="17"/>
      <c r="JMW205" s="17"/>
      <c r="JMX205" s="17"/>
      <c r="JMY205" s="17"/>
      <c r="JMZ205" s="17"/>
      <c r="JNA205" s="17"/>
      <c r="JNB205" s="17"/>
      <c r="JNC205" s="17"/>
      <c r="JND205" s="17"/>
      <c r="JNE205" s="17"/>
      <c r="JNF205" s="17"/>
      <c r="JNG205" s="17"/>
      <c r="JNH205" s="17"/>
      <c r="JNI205" s="17"/>
      <c r="JNJ205" s="17"/>
      <c r="JNK205" s="17"/>
      <c r="JNL205" s="17"/>
      <c r="JNM205" s="17"/>
      <c r="JNN205" s="17"/>
      <c r="JNO205" s="17"/>
      <c r="JNP205" s="17"/>
      <c r="JNQ205" s="17"/>
      <c r="JNR205" s="17"/>
      <c r="JNS205" s="17"/>
      <c r="JNT205" s="17"/>
      <c r="JNU205" s="17"/>
      <c r="JNV205" s="17"/>
      <c r="JNW205" s="17"/>
      <c r="JNX205" s="17"/>
      <c r="JNY205" s="17"/>
      <c r="JNZ205" s="17"/>
      <c r="JOA205" s="17"/>
      <c r="JOB205" s="17"/>
      <c r="JOC205" s="17"/>
      <c r="JOD205" s="17"/>
      <c r="JOE205" s="17"/>
      <c r="JOF205" s="17"/>
      <c r="JOG205" s="17"/>
      <c r="JOH205" s="17"/>
      <c r="JOI205" s="17"/>
      <c r="JOJ205" s="17"/>
      <c r="JOK205" s="17"/>
      <c r="JOL205" s="17"/>
      <c r="JOM205" s="17"/>
      <c r="JON205" s="17"/>
      <c r="JOO205" s="17"/>
      <c r="JOP205" s="17"/>
      <c r="JOQ205" s="17"/>
      <c r="JOR205" s="17"/>
      <c r="JOS205" s="17"/>
      <c r="JOT205" s="17"/>
      <c r="JOU205" s="17"/>
      <c r="JOV205" s="17"/>
      <c r="JOW205" s="17"/>
      <c r="JOX205" s="17"/>
      <c r="JOY205" s="17"/>
      <c r="JOZ205" s="17"/>
      <c r="JPA205" s="17"/>
      <c r="JPB205" s="17"/>
      <c r="JPC205" s="17"/>
      <c r="JPD205" s="17"/>
      <c r="JPE205" s="17"/>
      <c r="JPF205" s="17"/>
      <c r="JPG205" s="17"/>
      <c r="JPH205" s="17"/>
      <c r="JPI205" s="17"/>
      <c r="JPJ205" s="17"/>
      <c r="JPK205" s="17"/>
      <c r="JPL205" s="17"/>
      <c r="JPM205" s="17"/>
      <c r="JPN205" s="17"/>
      <c r="JPO205" s="17"/>
      <c r="JPP205" s="17"/>
      <c r="JPQ205" s="17"/>
      <c r="JPR205" s="17"/>
      <c r="JPS205" s="17"/>
      <c r="JPT205" s="17"/>
      <c r="JPU205" s="17"/>
      <c r="JPV205" s="17"/>
      <c r="JPW205" s="17"/>
      <c r="JPX205" s="17"/>
      <c r="JPY205" s="17"/>
      <c r="JPZ205" s="17"/>
      <c r="JQA205" s="17"/>
      <c r="JQB205" s="17"/>
      <c r="JQC205" s="17"/>
      <c r="JQD205" s="17"/>
      <c r="JQE205" s="17"/>
      <c r="JQF205" s="17"/>
      <c r="JQG205" s="17"/>
      <c r="JQH205" s="17"/>
      <c r="JQI205" s="17"/>
      <c r="JQJ205" s="17"/>
      <c r="JQK205" s="17"/>
      <c r="JQL205" s="17"/>
      <c r="JQM205" s="17"/>
      <c r="JQN205" s="17"/>
      <c r="JQO205" s="17"/>
      <c r="JQP205" s="17"/>
      <c r="JQQ205" s="17"/>
      <c r="JQR205" s="17"/>
      <c r="JQS205" s="17"/>
      <c r="JQT205" s="17"/>
      <c r="JQU205" s="17"/>
      <c r="JQV205" s="17"/>
      <c r="JQW205" s="17"/>
      <c r="JQX205" s="17"/>
      <c r="JQY205" s="17"/>
      <c r="JQZ205" s="17"/>
      <c r="JRA205" s="17"/>
      <c r="JRB205" s="17"/>
      <c r="JRC205" s="17"/>
      <c r="JRD205" s="17"/>
      <c r="JRE205" s="17"/>
      <c r="JRF205" s="17"/>
      <c r="JRG205" s="17"/>
      <c r="JRH205" s="17"/>
      <c r="JRI205" s="17"/>
      <c r="JRJ205" s="17"/>
      <c r="JRK205" s="17"/>
      <c r="JRL205" s="17"/>
      <c r="JRM205" s="17"/>
      <c r="JRN205" s="17"/>
      <c r="JRO205" s="17"/>
      <c r="JRP205" s="17"/>
      <c r="JRQ205" s="17"/>
      <c r="JRR205" s="17"/>
      <c r="JRS205" s="17"/>
      <c r="JRT205" s="17"/>
      <c r="JRU205" s="17"/>
      <c r="JRV205" s="17"/>
      <c r="JRW205" s="17"/>
      <c r="JRX205" s="17"/>
      <c r="JRY205" s="17"/>
      <c r="JRZ205" s="17"/>
      <c r="JSA205" s="17"/>
      <c r="JSB205" s="17"/>
      <c r="JSC205" s="17"/>
      <c r="JSD205" s="17"/>
      <c r="JSE205" s="17"/>
      <c r="JSF205" s="17"/>
      <c r="JSG205" s="17"/>
      <c r="JSH205" s="17"/>
      <c r="JSI205" s="17"/>
      <c r="JSJ205" s="17"/>
      <c r="JSK205" s="17"/>
      <c r="JSL205" s="17"/>
      <c r="JSM205" s="17"/>
      <c r="JSN205" s="17"/>
      <c r="JSO205" s="17"/>
      <c r="JSP205" s="17"/>
      <c r="JSQ205" s="17"/>
      <c r="JSR205" s="17"/>
      <c r="JSS205" s="17"/>
      <c r="JST205" s="17"/>
      <c r="JSU205" s="17"/>
      <c r="JSV205" s="17"/>
      <c r="JSW205" s="17"/>
      <c r="JSX205" s="17"/>
      <c r="JSY205" s="17"/>
      <c r="JSZ205" s="17"/>
      <c r="JTA205" s="17"/>
      <c r="JTB205" s="17"/>
      <c r="JTC205" s="17"/>
      <c r="JTD205" s="17"/>
      <c r="JTE205" s="17"/>
      <c r="JTF205" s="17"/>
      <c r="JTG205" s="17"/>
      <c r="JTH205" s="17"/>
      <c r="JTI205" s="17"/>
      <c r="JTJ205" s="17"/>
      <c r="JTK205" s="17"/>
      <c r="JTL205" s="17"/>
      <c r="JTM205" s="17"/>
      <c r="JTN205" s="17"/>
      <c r="JTO205" s="17"/>
      <c r="JTP205" s="17"/>
      <c r="JTQ205" s="17"/>
      <c r="JTR205" s="17"/>
      <c r="JTS205" s="17"/>
      <c r="JTT205" s="17"/>
      <c r="JTU205" s="17"/>
      <c r="JTV205" s="17"/>
      <c r="JTW205" s="17"/>
      <c r="JTX205" s="17"/>
      <c r="JTY205" s="17"/>
      <c r="JTZ205" s="17"/>
      <c r="JUA205" s="17"/>
      <c r="JUB205" s="17"/>
      <c r="JUC205" s="17"/>
      <c r="JUD205" s="17"/>
      <c r="JUE205" s="17"/>
      <c r="JUF205" s="17"/>
      <c r="JUG205" s="17"/>
      <c r="JUH205" s="17"/>
      <c r="JUI205" s="17"/>
      <c r="JUJ205" s="17"/>
      <c r="JUK205" s="17"/>
      <c r="JUL205" s="17"/>
      <c r="JUM205" s="17"/>
      <c r="JUN205" s="17"/>
      <c r="JUO205" s="17"/>
      <c r="JUP205" s="17"/>
      <c r="JUQ205" s="17"/>
      <c r="JUR205" s="17"/>
      <c r="JUS205" s="17"/>
      <c r="JUT205" s="17"/>
      <c r="JUU205" s="17"/>
      <c r="JUV205" s="17"/>
      <c r="JUW205" s="17"/>
      <c r="JUX205" s="17"/>
      <c r="JUY205" s="17"/>
      <c r="JUZ205" s="17"/>
      <c r="JVA205" s="17"/>
      <c r="JVB205" s="17"/>
      <c r="JVC205" s="17"/>
      <c r="JVD205" s="17"/>
      <c r="JVE205" s="17"/>
      <c r="JVF205" s="17"/>
      <c r="JVG205" s="17"/>
      <c r="JVH205" s="17"/>
      <c r="JVI205" s="17"/>
      <c r="JVJ205" s="17"/>
      <c r="JVK205" s="17"/>
      <c r="JVL205" s="17"/>
      <c r="JVM205" s="17"/>
      <c r="JVN205" s="17"/>
      <c r="JVO205" s="17"/>
      <c r="JVP205" s="17"/>
      <c r="JVQ205" s="17"/>
      <c r="JVR205" s="17"/>
      <c r="JVS205" s="17"/>
      <c r="JVT205" s="17"/>
      <c r="JVU205" s="17"/>
      <c r="JVV205" s="17"/>
      <c r="JVW205" s="17"/>
      <c r="JVX205" s="17"/>
      <c r="JVY205" s="17"/>
      <c r="JVZ205" s="17"/>
      <c r="JWA205" s="17"/>
      <c r="JWB205" s="17"/>
      <c r="JWC205" s="17"/>
      <c r="JWD205" s="17"/>
      <c r="JWE205" s="17"/>
      <c r="JWF205" s="17"/>
      <c r="JWG205" s="17"/>
      <c r="JWH205" s="17"/>
      <c r="JWI205" s="17"/>
      <c r="JWJ205" s="17"/>
      <c r="JWK205" s="17"/>
      <c r="JWL205" s="17"/>
      <c r="JWM205" s="17"/>
      <c r="JWN205" s="17"/>
      <c r="JWO205" s="17"/>
      <c r="JWP205" s="17"/>
      <c r="JWQ205" s="17"/>
      <c r="JWR205" s="17"/>
      <c r="JWS205" s="17"/>
      <c r="JWT205" s="17"/>
      <c r="JWU205" s="17"/>
      <c r="JWV205" s="17"/>
      <c r="JWW205" s="17"/>
      <c r="JWX205" s="17"/>
      <c r="JWY205" s="17"/>
      <c r="JWZ205" s="17"/>
      <c r="JXA205" s="17"/>
      <c r="JXB205" s="17"/>
      <c r="JXC205" s="17"/>
      <c r="JXD205" s="17"/>
      <c r="JXE205" s="17"/>
      <c r="JXF205" s="17"/>
      <c r="JXG205" s="17"/>
      <c r="JXH205" s="17"/>
      <c r="JXI205" s="17"/>
      <c r="JXJ205" s="17"/>
      <c r="JXK205" s="17"/>
      <c r="JXL205" s="17"/>
      <c r="JXM205" s="17"/>
      <c r="JXN205" s="17"/>
      <c r="JXO205" s="17"/>
      <c r="JXP205" s="17"/>
      <c r="JXQ205" s="17"/>
      <c r="JXR205" s="17"/>
      <c r="JXS205" s="17"/>
      <c r="JXT205" s="17"/>
      <c r="JXU205" s="17"/>
      <c r="JXV205" s="17"/>
      <c r="JXW205" s="17"/>
      <c r="JXX205" s="17"/>
      <c r="JXY205" s="17"/>
      <c r="JXZ205" s="17"/>
      <c r="JYA205" s="17"/>
      <c r="JYB205" s="17"/>
      <c r="JYC205" s="17"/>
      <c r="JYD205" s="17"/>
      <c r="JYE205" s="17"/>
      <c r="JYF205" s="17"/>
      <c r="JYG205" s="17"/>
      <c r="JYH205" s="17"/>
      <c r="JYI205" s="17"/>
      <c r="JYJ205" s="17"/>
      <c r="JYK205" s="17"/>
      <c r="JYL205" s="17"/>
      <c r="JYM205" s="17"/>
      <c r="JYN205" s="17"/>
      <c r="JYO205" s="17"/>
      <c r="JYP205" s="17"/>
      <c r="JYQ205" s="17"/>
      <c r="JYR205" s="17"/>
      <c r="JYS205" s="17"/>
      <c r="JYT205" s="17"/>
      <c r="JYU205" s="17"/>
      <c r="JYV205" s="17"/>
      <c r="JYW205" s="17"/>
      <c r="JYX205" s="17"/>
      <c r="JYY205" s="17"/>
      <c r="JYZ205" s="17"/>
      <c r="JZA205" s="17"/>
      <c r="JZB205" s="17"/>
      <c r="JZC205" s="17"/>
      <c r="JZD205" s="17"/>
      <c r="JZE205" s="17"/>
      <c r="JZF205" s="17"/>
      <c r="JZG205" s="17"/>
      <c r="JZH205" s="17"/>
      <c r="JZI205" s="17"/>
      <c r="JZJ205" s="17"/>
      <c r="JZK205" s="17"/>
      <c r="JZL205" s="17"/>
      <c r="JZM205" s="17"/>
      <c r="JZN205" s="17"/>
      <c r="JZO205" s="17"/>
      <c r="JZP205" s="17"/>
      <c r="JZQ205" s="17"/>
      <c r="JZR205" s="17"/>
      <c r="JZS205" s="17"/>
      <c r="JZT205" s="17"/>
      <c r="JZU205" s="17"/>
      <c r="JZV205" s="17"/>
      <c r="JZW205" s="17"/>
      <c r="JZX205" s="17"/>
      <c r="JZY205" s="17"/>
      <c r="JZZ205" s="17"/>
      <c r="KAA205" s="17"/>
      <c r="KAB205" s="17"/>
      <c r="KAC205" s="17"/>
      <c r="KAD205" s="17"/>
      <c r="KAE205" s="17"/>
      <c r="KAF205" s="17"/>
      <c r="KAG205" s="17"/>
      <c r="KAH205" s="17"/>
      <c r="KAI205" s="17"/>
      <c r="KAJ205" s="17"/>
      <c r="KAK205" s="17"/>
      <c r="KAL205" s="17"/>
      <c r="KAM205" s="17"/>
      <c r="KAN205" s="17"/>
      <c r="KAO205" s="17"/>
      <c r="KAP205" s="17"/>
      <c r="KAQ205" s="17"/>
      <c r="KAR205" s="17"/>
      <c r="KAS205" s="17"/>
      <c r="KAT205" s="17"/>
      <c r="KAU205" s="17"/>
      <c r="KAV205" s="17"/>
      <c r="KAW205" s="17"/>
      <c r="KAX205" s="17"/>
      <c r="KAY205" s="17"/>
      <c r="KAZ205" s="17"/>
      <c r="KBA205" s="17"/>
      <c r="KBB205" s="17"/>
      <c r="KBC205" s="17"/>
      <c r="KBD205" s="17"/>
      <c r="KBE205" s="17"/>
      <c r="KBF205" s="17"/>
      <c r="KBG205" s="17"/>
      <c r="KBH205" s="17"/>
      <c r="KBI205" s="17"/>
      <c r="KBJ205" s="17"/>
      <c r="KBK205" s="17"/>
      <c r="KBL205" s="17"/>
      <c r="KBM205" s="17"/>
      <c r="KBN205" s="17"/>
      <c r="KBO205" s="17"/>
      <c r="KBP205" s="17"/>
      <c r="KBQ205" s="17"/>
      <c r="KBR205" s="17"/>
      <c r="KBS205" s="17"/>
      <c r="KBT205" s="17"/>
      <c r="KBU205" s="17"/>
      <c r="KBV205" s="17"/>
      <c r="KBW205" s="17"/>
      <c r="KBX205" s="17"/>
      <c r="KBY205" s="17"/>
      <c r="KBZ205" s="17"/>
      <c r="KCA205" s="17"/>
      <c r="KCB205" s="17"/>
      <c r="KCC205" s="17"/>
      <c r="KCD205" s="17"/>
      <c r="KCE205" s="17"/>
      <c r="KCF205" s="17"/>
      <c r="KCG205" s="17"/>
      <c r="KCH205" s="17"/>
      <c r="KCI205" s="17"/>
      <c r="KCJ205" s="17"/>
      <c r="KCK205" s="17"/>
      <c r="KCL205" s="17"/>
      <c r="KCM205" s="17"/>
      <c r="KCN205" s="17"/>
      <c r="KCO205" s="17"/>
      <c r="KCP205" s="17"/>
      <c r="KCQ205" s="17"/>
      <c r="KCR205" s="17"/>
      <c r="KCS205" s="17"/>
      <c r="KCT205" s="17"/>
      <c r="KCU205" s="17"/>
      <c r="KCV205" s="17"/>
      <c r="KCW205" s="17"/>
      <c r="KCX205" s="17"/>
      <c r="KCY205" s="17"/>
      <c r="KCZ205" s="17"/>
      <c r="KDA205" s="17"/>
      <c r="KDB205" s="17"/>
      <c r="KDC205" s="17"/>
      <c r="KDD205" s="17"/>
      <c r="KDE205" s="17"/>
      <c r="KDF205" s="17"/>
      <c r="KDG205" s="17"/>
      <c r="KDH205" s="17"/>
      <c r="KDI205" s="17"/>
      <c r="KDJ205" s="17"/>
      <c r="KDK205" s="17"/>
      <c r="KDL205" s="17"/>
      <c r="KDM205" s="17"/>
      <c r="KDN205" s="17"/>
      <c r="KDO205" s="17"/>
      <c r="KDP205" s="17"/>
      <c r="KDQ205" s="17"/>
      <c r="KDR205" s="17"/>
      <c r="KDS205" s="17"/>
      <c r="KDT205" s="17"/>
      <c r="KDU205" s="17"/>
      <c r="KDV205" s="17"/>
      <c r="KDW205" s="17"/>
      <c r="KDX205" s="17"/>
      <c r="KDY205" s="17"/>
      <c r="KDZ205" s="17"/>
      <c r="KEA205" s="17"/>
      <c r="KEB205" s="17"/>
      <c r="KEC205" s="17"/>
      <c r="KED205" s="17"/>
      <c r="KEE205" s="17"/>
      <c r="KEF205" s="17"/>
      <c r="KEG205" s="17"/>
      <c r="KEH205" s="17"/>
      <c r="KEI205" s="17"/>
      <c r="KEJ205" s="17"/>
      <c r="KEK205" s="17"/>
      <c r="KEL205" s="17"/>
      <c r="KEM205" s="17"/>
      <c r="KEN205" s="17"/>
      <c r="KEO205" s="17"/>
      <c r="KEP205" s="17"/>
      <c r="KEQ205" s="17"/>
      <c r="KER205" s="17"/>
      <c r="KES205" s="17"/>
      <c r="KET205" s="17"/>
      <c r="KEU205" s="17"/>
      <c r="KEV205" s="17"/>
      <c r="KEW205" s="17"/>
      <c r="KEX205" s="17"/>
      <c r="KEY205" s="17"/>
      <c r="KEZ205" s="17"/>
      <c r="KFA205" s="17"/>
      <c r="KFB205" s="17"/>
      <c r="KFC205" s="17"/>
      <c r="KFD205" s="17"/>
      <c r="KFE205" s="17"/>
      <c r="KFF205" s="17"/>
      <c r="KFG205" s="17"/>
      <c r="KFH205" s="17"/>
      <c r="KFI205" s="17"/>
      <c r="KFJ205" s="17"/>
      <c r="KFK205" s="17"/>
      <c r="KFL205" s="17"/>
      <c r="KFM205" s="17"/>
      <c r="KFN205" s="17"/>
      <c r="KFO205" s="17"/>
      <c r="KFP205" s="17"/>
      <c r="KFQ205" s="17"/>
      <c r="KFR205" s="17"/>
      <c r="KFS205" s="17"/>
      <c r="KFT205" s="17"/>
      <c r="KFU205" s="17"/>
      <c r="KFV205" s="17"/>
      <c r="KFW205" s="17"/>
      <c r="KFX205" s="17"/>
      <c r="KFY205" s="17"/>
      <c r="KFZ205" s="17"/>
      <c r="KGA205" s="17"/>
      <c r="KGB205" s="17"/>
      <c r="KGC205" s="17"/>
      <c r="KGD205" s="17"/>
      <c r="KGE205" s="17"/>
      <c r="KGF205" s="17"/>
      <c r="KGG205" s="17"/>
      <c r="KGH205" s="17"/>
      <c r="KGI205" s="17"/>
      <c r="KGJ205" s="17"/>
      <c r="KGK205" s="17"/>
      <c r="KGL205" s="17"/>
      <c r="KGM205" s="17"/>
      <c r="KGN205" s="17"/>
      <c r="KGO205" s="17"/>
      <c r="KGP205" s="17"/>
      <c r="KGQ205" s="17"/>
      <c r="KGR205" s="17"/>
      <c r="KGS205" s="17"/>
      <c r="KGT205" s="17"/>
      <c r="KGU205" s="17"/>
      <c r="KGV205" s="17"/>
      <c r="KGW205" s="17"/>
      <c r="KGX205" s="17"/>
      <c r="KGY205" s="17"/>
      <c r="KGZ205" s="17"/>
      <c r="KHA205" s="17"/>
      <c r="KHB205" s="17"/>
      <c r="KHC205" s="17"/>
      <c r="KHD205" s="17"/>
      <c r="KHE205" s="17"/>
      <c r="KHF205" s="17"/>
      <c r="KHG205" s="17"/>
      <c r="KHH205" s="17"/>
      <c r="KHI205" s="17"/>
      <c r="KHJ205" s="17"/>
      <c r="KHK205" s="17"/>
      <c r="KHL205" s="17"/>
      <c r="KHM205" s="17"/>
      <c r="KHN205" s="17"/>
      <c r="KHO205" s="17"/>
      <c r="KHP205" s="17"/>
      <c r="KHQ205" s="17"/>
      <c r="KHR205" s="17"/>
      <c r="KHS205" s="17"/>
      <c r="KHT205" s="17"/>
      <c r="KHU205" s="17"/>
      <c r="KHV205" s="17"/>
      <c r="KHW205" s="17"/>
      <c r="KHX205" s="17"/>
      <c r="KHY205" s="17"/>
      <c r="KHZ205" s="17"/>
      <c r="KIA205" s="17"/>
      <c r="KIB205" s="17"/>
      <c r="KIC205" s="17"/>
      <c r="KID205" s="17"/>
      <c r="KIE205" s="17"/>
      <c r="KIF205" s="17"/>
      <c r="KIG205" s="17"/>
      <c r="KIH205" s="17"/>
      <c r="KII205" s="17"/>
      <c r="KIJ205" s="17"/>
      <c r="KIK205" s="17"/>
      <c r="KIL205" s="17"/>
      <c r="KIM205" s="17"/>
      <c r="KIN205" s="17"/>
      <c r="KIO205" s="17"/>
      <c r="KIP205" s="17"/>
      <c r="KIQ205" s="17"/>
      <c r="KIR205" s="17"/>
      <c r="KIS205" s="17"/>
      <c r="KIT205" s="17"/>
      <c r="KIU205" s="17"/>
      <c r="KIV205" s="17"/>
      <c r="KIW205" s="17"/>
      <c r="KIX205" s="17"/>
      <c r="KIY205" s="17"/>
      <c r="KIZ205" s="17"/>
      <c r="KJA205" s="17"/>
      <c r="KJB205" s="17"/>
      <c r="KJC205" s="17"/>
      <c r="KJD205" s="17"/>
      <c r="KJE205" s="17"/>
      <c r="KJF205" s="17"/>
      <c r="KJG205" s="17"/>
      <c r="KJH205" s="17"/>
      <c r="KJI205" s="17"/>
      <c r="KJJ205" s="17"/>
      <c r="KJK205" s="17"/>
      <c r="KJL205" s="17"/>
      <c r="KJM205" s="17"/>
      <c r="KJN205" s="17"/>
      <c r="KJO205" s="17"/>
      <c r="KJP205" s="17"/>
      <c r="KJQ205" s="17"/>
      <c r="KJR205" s="17"/>
      <c r="KJS205" s="17"/>
      <c r="KJT205" s="17"/>
      <c r="KJU205" s="17"/>
      <c r="KJV205" s="17"/>
      <c r="KJW205" s="17"/>
      <c r="KJX205" s="17"/>
      <c r="KJY205" s="17"/>
      <c r="KJZ205" s="17"/>
      <c r="KKA205" s="17"/>
      <c r="KKB205" s="17"/>
      <c r="KKC205" s="17"/>
      <c r="KKD205" s="17"/>
      <c r="KKE205" s="17"/>
      <c r="KKF205" s="17"/>
      <c r="KKG205" s="17"/>
      <c r="KKH205" s="17"/>
      <c r="KKI205" s="17"/>
      <c r="KKJ205" s="17"/>
      <c r="KKK205" s="17"/>
      <c r="KKL205" s="17"/>
      <c r="KKM205" s="17"/>
      <c r="KKN205" s="17"/>
      <c r="KKO205" s="17"/>
      <c r="KKP205" s="17"/>
      <c r="KKQ205" s="17"/>
      <c r="KKR205" s="17"/>
      <c r="KKS205" s="17"/>
      <c r="KKT205" s="17"/>
      <c r="KKU205" s="17"/>
      <c r="KKV205" s="17"/>
      <c r="KKW205" s="17"/>
      <c r="KKX205" s="17"/>
      <c r="KKY205" s="17"/>
      <c r="KKZ205" s="17"/>
      <c r="KLA205" s="17"/>
      <c r="KLB205" s="17"/>
      <c r="KLC205" s="17"/>
      <c r="KLD205" s="17"/>
      <c r="KLE205" s="17"/>
      <c r="KLF205" s="17"/>
      <c r="KLG205" s="17"/>
      <c r="KLH205" s="17"/>
      <c r="KLI205" s="17"/>
      <c r="KLJ205" s="17"/>
      <c r="KLK205" s="17"/>
      <c r="KLL205" s="17"/>
      <c r="KLM205" s="17"/>
      <c r="KLN205" s="17"/>
      <c r="KLO205" s="17"/>
      <c r="KLP205" s="17"/>
      <c r="KLQ205" s="17"/>
      <c r="KLR205" s="17"/>
      <c r="KLS205" s="17"/>
      <c r="KLT205" s="17"/>
      <c r="KLU205" s="17"/>
      <c r="KLV205" s="17"/>
      <c r="KLW205" s="17"/>
      <c r="KLX205" s="17"/>
      <c r="KLY205" s="17"/>
      <c r="KLZ205" s="17"/>
      <c r="KMA205" s="17"/>
      <c r="KMB205" s="17"/>
      <c r="KMC205" s="17"/>
      <c r="KMD205" s="17"/>
      <c r="KME205" s="17"/>
      <c r="KMF205" s="17"/>
      <c r="KMG205" s="17"/>
      <c r="KMH205" s="17"/>
      <c r="KMI205" s="17"/>
      <c r="KMJ205" s="17"/>
      <c r="KMK205" s="17"/>
      <c r="KML205" s="17"/>
      <c r="KMM205" s="17"/>
      <c r="KMN205" s="17"/>
      <c r="KMO205" s="17"/>
      <c r="KMP205" s="17"/>
      <c r="KMQ205" s="17"/>
      <c r="KMR205" s="17"/>
      <c r="KMS205" s="17"/>
      <c r="KMT205" s="17"/>
      <c r="KMU205" s="17"/>
      <c r="KMV205" s="17"/>
      <c r="KMW205" s="17"/>
      <c r="KMX205" s="17"/>
      <c r="KMY205" s="17"/>
      <c r="KMZ205" s="17"/>
      <c r="KNA205" s="17"/>
      <c r="KNB205" s="17"/>
      <c r="KNC205" s="17"/>
      <c r="KND205" s="17"/>
      <c r="KNE205" s="17"/>
      <c r="KNF205" s="17"/>
      <c r="KNG205" s="17"/>
      <c r="KNH205" s="17"/>
      <c r="KNI205" s="17"/>
      <c r="KNJ205" s="17"/>
      <c r="KNK205" s="17"/>
      <c r="KNL205" s="17"/>
      <c r="KNM205" s="17"/>
      <c r="KNN205" s="17"/>
      <c r="KNO205" s="17"/>
      <c r="KNP205" s="17"/>
      <c r="KNQ205" s="17"/>
      <c r="KNR205" s="17"/>
      <c r="KNS205" s="17"/>
      <c r="KNT205" s="17"/>
      <c r="KNU205" s="17"/>
      <c r="KNV205" s="17"/>
      <c r="KNW205" s="17"/>
      <c r="KNX205" s="17"/>
      <c r="KNY205" s="17"/>
      <c r="KNZ205" s="17"/>
      <c r="KOA205" s="17"/>
      <c r="KOB205" s="17"/>
      <c r="KOC205" s="17"/>
      <c r="KOD205" s="17"/>
      <c r="KOE205" s="17"/>
      <c r="KOF205" s="17"/>
      <c r="KOG205" s="17"/>
      <c r="KOH205" s="17"/>
      <c r="KOI205" s="17"/>
      <c r="KOJ205" s="17"/>
      <c r="KOK205" s="17"/>
      <c r="KOL205" s="17"/>
      <c r="KOM205" s="17"/>
      <c r="KON205" s="17"/>
      <c r="KOO205" s="17"/>
      <c r="KOP205" s="17"/>
      <c r="KOQ205" s="17"/>
      <c r="KOR205" s="17"/>
      <c r="KOS205" s="17"/>
      <c r="KOT205" s="17"/>
      <c r="KOU205" s="17"/>
      <c r="KOV205" s="17"/>
      <c r="KOW205" s="17"/>
      <c r="KOX205" s="17"/>
      <c r="KOY205" s="17"/>
      <c r="KOZ205" s="17"/>
      <c r="KPA205" s="17"/>
      <c r="KPB205" s="17"/>
      <c r="KPC205" s="17"/>
      <c r="KPD205" s="17"/>
      <c r="KPE205" s="17"/>
      <c r="KPF205" s="17"/>
      <c r="KPG205" s="17"/>
      <c r="KPH205" s="17"/>
      <c r="KPI205" s="17"/>
      <c r="KPJ205" s="17"/>
      <c r="KPK205" s="17"/>
      <c r="KPL205" s="17"/>
      <c r="KPM205" s="17"/>
      <c r="KPN205" s="17"/>
      <c r="KPO205" s="17"/>
      <c r="KPP205" s="17"/>
      <c r="KPQ205" s="17"/>
      <c r="KPR205" s="17"/>
      <c r="KPS205" s="17"/>
      <c r="KPT205" s="17"/>
      <c r="KPU205" s="17"/>
      <c r="KPV205" s="17"/>
      <c r="KPW205" s="17"/>
      <c r="KPX205" s="17"/>
      <c r="KPY205" s="17"/>
      <c r="KPZ205" s="17"/>
      <c r="KQA205" s="17"/>
      <c r="KQB205" s="17"/>
      <c r="KQC205" s="17"/>
      <c r="KQD205" s="17"/>
      <c r="KQE205" s="17"/>
      <c r="KQF205" s="17"/>
      <c r="KQG205" s="17"/>
      <c r="KQH205" s="17"/>
      <c r="KQI205" s="17"/>
      <c r="KQJ205" s="17"/>
      <c r="KQK205" s="17"/>
      <c r="KQL205" s="17"/>
      <c r="KQM205" s="17"/>
      <c r="KQN205" s="17"/>
      <c r="KQO205" s="17"/>
      <c r="KQP205" s="17"/>
      <c r="KQQ205" s="17"/>
      <c r="KQR205" s="17"/>
      <c r="KQS205" s="17"/>
      <c r="KQT205" s="17"/>
      <c r="KQU205" s="17"/>
      <c r="KQV205" s="17"/>
      <c r="KQW205" s="17"/>
      <c r="KQX205" s="17"/>
      <c r="KQY205" s="17"/>
      <c r="KQZ205" s="17"/>
      <c r="KRA205" s="17"/>
      <c r="KRB205" s="17"/>
      <c r="KRC205" s="17"/>
      <c r="KRD205" s="17"/>
      <c r="KRE205" s="17"/>
      <c r="KRF205" s="17"/>
      <c r="KRG205" s="17"/>
      <c r="KRH205" s="17"/>
      <c r="KRI205" s="17"/>
      <c r="KRJ205" s="17"/>
      <c r="KRK205" s="17"/>
      <c r="KRL205" s="17"/>
      <c r="KRM205" s="17"/>
      <c r="KRN205" s="17"/>
      <c r="KRO205" s="17"/>
      <c r="KRP205" s="17"/>
      <c r="KRQ205" s="17"/>
      <c r="KRR205" s="17"/>
      <c r="KRS205" s="17"/>
      <c r="KRT205" s="17"/>
      <c r="KRU205" s="17"/>
      <c r="KRV205" s="17"/>
      <c r="KRW205" s="17"/>
      <c r="KRX205" s="17"/>
      <c r="KRY205" s="17"/>
      <c r="KRZ205" s="17"/>
      <c r="KSA205" s="17"/>
      <c r="KSB205" s="17"/>
      <c r="KSC205" s="17"/>
      <c r="KSD205" s="17"/>
      <c r="KSE205" s="17"/>
      <c r="KSF205" s="17"/>
      <c r="KSG205" s="17"/>
      <c r="KSH205" s="17"/>
      <c r="KSI205" s="17"/>
      <c r="KSJ205" s="17"/>
      <c r="KSK205" s="17"/>
      <c r="KSL205" s="17"/>
      <c r="KSM205" s="17"/>
      <c r="KSN205" s="17"/>
      <c r="KSO205" s="17"/>
      <c r="KSP205" s="17"/>
      <c r="KSQ205" s="17"/>
      <c r="KSR205" s="17"/>
      <c r="KSS205" s="17"/>
      <c r="KST205" s="17"/>
      <c r="KSU205" s="17"/>
      <c r="KSV205" s="17"/>
      <c r="KSW205" s="17"/>
      <c r="KSX205" s="17"/>
      <c r="KSY205" s="17"/>
      <c r="KSZ205" s="17"/>
      <c r="KTA205" s="17"/>
      <c r="KTB205" s="17"/>
      <c r="KTC205" s="17"/>
      <c r="KTD205" s="17"/>
      <c r="KTE205" s="17"/>
      <c r="KTF205" s="17"/>
      <c r="KTG205" s="17"/>
      <c r="KTH205" s="17"/>
      <c r="KTI205" s="17"/>
      <c r="KTJ205" s="17"/>
      <c r="KTK205" s="17"/>
      <c r="KTL205" s="17"/>
      <c r="KTM205" s="17"/>
      <c r="KTN205" s="17"/>
      <c r="KTO205" s="17"/>
      <c r="KTP205" s="17"/>
      <c r="KTQ205" s="17"/>
      <c r="KTR205" s="17"/>
      <c r="KTS205" s="17"/>
      <c r="KTT205" s="17"/>
      <c r="KTU205" s="17"/>
      <c r="KTV205" s="17"/>
      <c r="KTW205" s="17"/>
      <c r="KTX205" s="17"/>
      <c r="KTY205" s="17"/>
      <c r="KTZ205" s="17"/>
      <c r="KUA205" s="17"/>
      <c r="KUB205" s="17"/>
      <c r="KUC205" s="17"/>
      <c r="KUD205" s="17"/>
      <c r="KUE205" s="17"/>
      <c r="KUF205" s="17"/>
      <c r="KUG205" s="17"/>
      <c r="KUH205" s="17"/>
      <c r="KUI205" s="17"/>
      <c r="KUJ205" s="17"/>
      <c r="KUK205" s="17"/>
      <c r="KUL205" s="17"/>
      <c r="KUM205" s="17"/>
      <c r="KUN205" s="17"/>
      <c r="KUO205" s="17"/>
      <c r="KUP205" s="17"/>
      <c r="KUQ205" s="17"/>
      <c r="KUR205" s="17"/>
      <c r="KUS205" s="17"/>
      <c r="KUT205" s="17"/>
      <c r="KUU205" s="17"/>
      <c r="KUV205" s="17"/>
      <c r="KUW205" s="17"/>
      <c r="KUX205" s="17"/>
      <c r="KUY205" s="17"/>
      <c r="KUZ205" s="17"/>
      <c r="KVA205" s="17"/>
      <c r="KVB205" s="17"/>
      <c r="KVC205" s="17"/>
      <c r="KVD205" s="17"/>
      <c r="KVE205" s="17"/>
      <c r="KVF205" s="17"/>
      <c r="KVG205" s="17"/>
      <c r="KVH205" s="17"/>
      <c r="KVI205" s="17"/>
      <c r="KVJ205" s="17"/>
      <c r="KVK205" s="17"/>
      <c r="KVL205" s="17"/>
      <c r="KVM205" s="17"/>
      <c r="KVN205" s="17"/>
      <c r="KVO205" s="17"/>
      <c r="KVP205" s="17"/>
      <c r="KVQ205" s="17"/>
      <c r="KVR205" s="17"/>
      <c r="KVS205" s="17"/>
      <c r="KVT205" s="17"/>
      <c r="KVU205" s="17"/>
      <c r="KVV205" s="17"/>
      <c r="KVW205" s="17"/>
      <c r="KVX205" s="17"/>
      <c r="KVY205" s="17"/>
      <c r="KVZ205" s="17"/>
      <c r="KWA205" s="17"/>
      <c r="KWB205" s="17"/>
      <c r="KWC205" s="17"/>
      <c r="KWD205" s="17"/>
      <c r="KWE205" s="17"/>
      <c r="KWF205" s="17"/>
      <c r="KWG205" s="17"/>
      <c r="KWH205" s="17"/>
      <c r="KWI205" s="17"/>
      <c r="KWJ205" s="17"/>
      <c r="KWK205" s="17"/>
      <c r="KWL205" s="17"/>
      <c r="KWM205" s="17"/>
      <c r="KWN205" s="17"/>
      <c r="KWO205" s="17"/>
      <c r="KWP205" s="17"/>
      <c r="KWQ205" s="17"/>
      <c r="KWR205" s="17"/>
      <c r="KWS205" s="17"/>
      <c r="KWT205" s="17"/>
      <c r="KWU205" s="17"/>
      <c r="KWV205" s="17"/>
      <c r="KWW205" s="17"/>
      <c r="KWX205" s="17"/>
      <c r="KWY205" s="17"/>
      <c r="KWZ205" s="17"/>
      <c r="KXA205" s="17"/>
      <c r="KXB205" s="17"/>
      <c r="KXC205" s="17"/>
      <c r="KXD205" s="17"/>
      <c r="KXE205" s="17"/>
      <c r="KXF205" s="17"/>
      <c r="KXG205" s="17"/>
      <c r="KXH205" s="17"/>
      <c r="KXI205" s="17"/>
      <c r="KXJ205" s="17"/>
      <c r="KXK205" s="17"/>
      <c r="KXL205" s="17"/>
      <c r="KXM205" s="17"/>
      <c r="KXN205" s="17"/>
      <c r="KXO205" s="17"/>
      <c r="KXP205" s="17"/>
      <c r="KXQ205" s="17"/>
      <c r="KXR205" s="17"/>
      <c r="KXS205" s="17"/>
      <c r="KXT205" s="17"/>
      <c r="KXU205" s="17"/>
      <c r="KXV205" s="17"/>
      <c r="KXW205" s="17"/>
      <c r="KXX205" s="17"/>
      <c r="KXY205" s="17"/>
      <c r="KXZ205" s="17"/>
      <c r="KYA205" s="17"/>
      <c r="KYB205" s="17"/>
      <c r="KYC205" s="17"/>
      <c r="KYD205" s="17"/>
      <c r="KYE205" s="17"/>
      <c r="KYF205" s="17"/>
      <c r="KYG205" s="17"/>
      <c r="KYH205" s="17"/>
      <c r="KYI205" s="17"/>
      <c r="KYJ205" s="17"/>
      <c r="KYK205" s="17"/>
      <c r="KYL205" s="17"/>
      <c r="KYM205" s="17"/>
      <c r="KYN205" s="17"/>
      <c r="KYO205" s="17"/>
      <c r="KYP205" s="17"/>
      <c r="KYQ205" s="17"/>
      <c r="KYR205" s="17"/>
      <c r="KYS205" s="17"/>
      <c r="KYT205" s="17"/>
      <c r="KYU205" s="17"/>
      <c r="KYV205" s="17"/>
      <c r="KYW205" s="17"/>
      <c r="KYX205" s="17"/>
      <c r="KYY205" s="17"/>
      <c r="KYZ205" s="17"/>
      <c r="KZA205" s="17"/>
      <c r="KZB205" s="17"/>
      <c r="KZC205" s="17"/>
      <c r="KZD205" s="17"/>
      <c r="KZE205" s="17"/>
      <c r="KZF205" s="17"/>
      <c r="KZG205" s="17"/>
      <c r="KZH205" s="17"/>
      <c r="KZI205" s="17"/>
      <c r="KZJ205" s="17"/>
      <c r="KZK205" s="17"/>
      <c r="KZL205" s="17"/>
      <c r="KZM205" s="17"/>
      <c r="KZN205" s="17"/>
      <c r="KZO205" s="17"/>
      <c r="KZP205" s="17"/>
      <c r="KZQ205" s="17"/>
      <c r="KZR205" s="17"/>
      <c r="KZS205" s="17"/>
      <c r="KZT205" s="17"/>
      <c r="KZU205" s="17"/>
      <c r="KZV205" s="17"/>
      <c r="KZW205" s="17"/>
      <c r="KZX205" s="17"/>
      <c r="KZY205" s="17"/>
      <c r="KZZ205" s="17"/>
      <c r="LAA205" s="17"/>
      <c r="LAB205" s="17"/>
      <c r="LAC205" s="17"/>
      <c r="LAD205" s="17"/>
      <c r="LAE205" s="17"/>
      <c r="LAF205" s="17"/>
      <c r="LAG205" s="17"/>
      <c r="LAH205" s="17"/>
      <c r="LAI205" s="17"/>
      <c r="LAJ205" s="17"/>
      <c r="LAK205" s="17"/>
      <c r="LAL205" s="17"/>
      <c r="LAM205" s="17"/>
      <c r="LAN205" s="17"/>
      <c r="LAO205" s="17"/>
      <c r="LAP205" s="17"/>
      <c r="LAQ205" s="17"/>
      <c r="LAR205" s="17"/>
      <c r="LAS205" s="17"/>
      <c r="LAT205" s="17"/>
      <c r="LAU205" s="17"/>
      <c r="LAV205" s="17"/>
      <c r="LAW205" s="17"/>
      <c r="LAX205" s="17"/>
      <c r="LAY205" s="17"/>
      <c r="LAZ205" s="17"/>
      <c r="LBA205" s="17"/>
      <c r="LBB205" s="17"/>
      <c r="LBC205" s="17"/>
      <c r="LBD205" s="17"/>
      <c r="LBE205" s="17"/>
      <c r="LBF205" s="17"/>
      <c r="LBG205" s="17"/>
      <c r="LBH205" s="17"/>
      <c r="LBI205" s="17"/>
      <c r="LBJ205" s="17"/>
      <c r="LBK205" s="17"/>
      <c r="LBL205" s="17"/>
      <c r="LBM205" s="17"/>
      <c r="LBN205" s="17"/>
      <c r="LBO205" s="17"/>
      <c r="LBP205" s="17"/>
      <c r="LBQ205" s="17"/>
      <c r="LBR205" s="17"/>
      <c r="LBS205" s="17"/>
      <c r="LBT205" s="17"/>
      <c r="LBU205" s="17"/>
      <c r="LBV205" s="17"/>
      <c r="LBW205" s="17"/>
      <c r="LBX205" s="17"/>
      <c r="LBY205" s="17"/>
      <c r="LBZ205" s="17"/>
      <c r="LCA205" s="17"/>
      <c r="LCB205" s="17"/>
      <c r="LCC205" s="17"/>
      <c r="LCD205" s="17"/>
      <c r="LCE205" s="17"/>
      <c r="LCF205" s="17"/>
      <c r="LCG205" s="17"/>
      <c r="LCH205" s="17"/>
      <c r="LCI205" s="17"/>
      <c r="LCJ205" s="17"/>
      <c r="LCK205" s="17"/>
      <c r="LCL205" s="17"/>
      <c r="LCM205" s="17"/>
      <c r="LCN205" s="17"/>
      <c r="LCO205" s="17"/>
      <c r="LCP205" s="17"/>
      <c r="LCQ205" s="17"/>
      <c r="LCR205" s="17"/>
      <c r="LCS205" s="17"/>
      <c r="LCT205" s="17"/>
      <c r="LCU205" s="17"/>
      <c r="LCV205" s="17"/>
      <c r="LCW205" s="17"/>
      <c r="LCX205" s="17"/>
      <c r="LCY205" s="17"/>
      <c r="LCZ205" s="17"/>
      <c r="LDA205" s="17"/>
      <c r="LDB205" s="17"/>
      <c r="LDC205" s="17"/>
      <c r="LDD205" s="17"/>
      <c r="LDE205" s="17"/>
      <c r="LDF205" s="17"/>
      <c r="LDG205" s="17"/>
      <c r="LDH205" s="17"/>
      <c r="LDI205" s="17"/>
      <c r="LDJ205" s="17"/>
      <c r="LDK205" s="17"/>
      <c r="LDL205" s="17"/>
      <c r="LDM205" s="17"/>
      <c r="LDN205" s="17"/>
      <c r="LDO205" s="17"/>
      <c r="LDP205" s="17"/>
      <c r="LDQ205" s="17"/>
      <c r="LDR205" s="17"/>
      <c r="LDS205" s="17"/>
      <c r="LDT205" s="17"/>
      <c r="LDU205" s="17"/>
      <c r="LDV205" s="17"/>
      <c r="LDW205" s="17"/>
      <c r="LDX205" s="17"/>
      <c r="LDY205" s="17"/>
      <c r="LDZ205" s="17"/>
      <c r="LEA205" s="17"/>
      <c r="LEB205" s="17"/>
      <c r="LEC205" s="17"/>
      <c r="LED205" s="17"/>
      <c r="LEE205" s="17"/>
      <c r="LEF205" s="17"/>
      <c r="LEG205" s="17"/>
      <c r="LEH205" s="17"/>
      <c r="LEI205" s="17"/>
      <c r="LEJ205" s="17"/>
      <c r="LEK205" s="17"/>
      <c r="LEL205" s="17"/>
      <c r="LEM205" s="17"/>
      <c r="LEN205" s="17"/>
      <c r="LEO205" s="17"/>
      <c r="LEP205" s="17"/>
      <c r="LEQ205" s="17"/>
      <c r="LER205" s="17"/>
      <c r="LES205" s="17"/>
      <c r="LET205" s="17"/>
      <c r="LEU205" s="17"/>
      <c r="LEV205" s="17"/>
      <c r="LEW205" s="17"/>
      <c r="LEX205" s="17"/>
      <c r="LEY205" s="17"/>
      <c r="LEZ205" s="17"/>
      <c r="LFA205" s="17"/>
      <c r="LFB205" s="17"/>
      <c r="LFC205" s="17"/>
      <c r="LFD205" s="17"/>
      <c r="LFE205" s="17"/>
      <c r="LFF205" s="17"/>
      <c r="LFG205" s="17"/>
      <c r="LFH205" s="17"/>
      <c r="LFI205" s="17"/>
      <c r="LFJ205" s="17"/>
      <c r="LFK205" s="17"/>
      <c r="LFL205" s="17"/>
      <c r="LFM205" s="17"/>
      <c r="LFN205" s="17"/>
      <c r="LFO205" s="17"/>
      <c r="LFP205" s="17"/>
      <c r="LFQ205" s="17"/>
      <c r="LFR205" s="17"/>
      <c r="LFS205" s="17"/>
      <c r="LFT205" s="17"/>
      <c r="LFU205" s="17"/>
      <c r="LFV205" s="17"/>
      <c r="LFW205" s="17"/>
      <c r="LFX205" s="17"/>
      <c r="LFY205" s="17"/>
      <c r="LFZ205" s="17"/>
      <c r="LGA205" s="17"/>
      <c r="LGB205" s="17"/>
      <c r="LGC205" s="17"/>
      <c r="LGD205" s="17"/>
      <c r="LGE205" s="17"/>
      <c r="LGF205" s="17"/>
      <c r="LGG205" s="17"/>
      <c r="LGH205" s="17"/>
      <c r="LGI205" s="17"/>
      <c r="LGJ205" s="17"/>
      <c r="LGK205" s="17"/>
      <c r="LGL205" s="17"/>
      <c r="LGM205" s="17"/>
      <c r="LGN205" s="17"/>
      <c r="LGO205" s="17"/>
      <c r="LGP205" s="17"/>
      <c r="LGQ205" s="17"/>
      <c r="LGR205" s="17"/>
      <c r="LGS205" s="17"/>
      <c r="LGT205" s="17"/>
      <c r="LGU205" s="17"/>
      <c r="LGV205" s="17"/>
      <c r="LGW205" s="17"/>
      <c r="LGX205" s="17"/>
      <c r="LGY205" s="17"/>
      <c r="LGZ205" s="17"/>
      <c r="LHA205" s="17"/>
      <c r="LHB205" s="17"/>
      <c r="LHC205" s="17"/>
      <c r="LHD205" s="17"/>
      <c r="LHE205" s="17"/>
      <c r="LHF205" s="17"/>
      <c r="LHG205" s="17"/>
      <c r="LHH205" s="17"/>
      <c r="LHI205" s="17"/>
      <c r="LHJ205" s="17"/>
      <c r="LHK205" s="17"/>
      <c r="LHL205" s="17"/>
      <c r="LHM205" s="17"/>
      <c r="LHN205" s="17"/>
      <c r="LHO205" s="17"/>
      <c r="LHP205" s="17"/>
      <c r="LHQ205" s="17"/>
      <c r="LHR205" s="17"/>
      <c r="LHS205" s="17"/>
      <c r="LHT205" s="17"/>
      <c r="LHU205" s="17"/>
      <c r="LHV205" s="17"/>
      <c r="LHW205" s="17"/>
      <c r="LHX205" s="17"/>
      <c r="LHY205" s="17"/>
      <c r="LHZ205" s="17"/>
      <c r="LIA205" s="17"/>
      <c r="LIB205" s="17"/>
      <c r="LIC205" s="17"/>
      <c r="LID205" s="17"/>
      <c r="LIE205" s="17"/>
      <c r="LIF205" s="17"/>
      <c r="LIG205" s="17"/>
      <c r="LIH205" s="17"/>
      <c r="LII205" s="17"/>
      <c r="LIJ205" s="17"/>
      <c r="LIK205" s="17"/>
      <c r="LIL205" s="17"/>
      <c r="LIM205" s="17"/>
      <c r="LIN205" s="17"/>
      <c r="LIO205" s="17"/>
      <c r="LIP205" s="17"/>
      <c r="LIQ205" s="17"/>
      <c r="LIR205" s="17"/>
      <c r="LIS205" s="17"/>
      <c r="LIT205" s="17"/>
      <c r="LIU205" s="17"/>
      <c r="LIV205" s="17"/>
      <c r="LIW205" s="17"/>
      <c r="LIX205" s="17"/>
      <c r="LIY205" s="17"/>
      <c r="LIZ205" s="17"/>
      <c r="LJA205" s="17"/>
      <c r="LJB205" s="17"/>
      <c r="LJC205" s="17"/>
      <c r="LJD205" s="17"/>
      <c r="LJE205" s="17"/>
      <c r="LJF205" s="17"/>
      <c r="LJG205" s="17"/>
      <c r="LJH205" s="17"/>
      <c r="LJI205" s="17"/>
      <c r="LJJ205" s="17"/>
      <c r="LJK205" s="17"/>
      <c r="LJL205" s="17"/>
      <c r="LJM205" s="17"/>
      <c r="LJN205" s="17"/>
      <c r="LJO205" s="17"/>
      <c r="LJP205" s="17"/>
      <c r="LJQ205" s="17"/>
      <c r="LJR205" s="17"/>
      <c r="LJS205" s="17"/>
      <c r="LJT205" s="17"/>
      <c r="LJU205" s="17"/>
      <c r="LJV205" s="17"/>
      <c r="LJW205" s="17"/>
      <c r="LJX205" s="17"/>
      <c r="LJY205" s="17"/>
      <c r="LJZ205" s="17"/>
      <c r="LKA205" s="17"/>
      <c r="LKB205" s="17"/>
      <c r="LKC205" s="17"/>
      <c r="LKD205" s="17"/>
      <c r="LKE205" s="17"/>
      <c r="LKF205" s="17"/>
      <c r="LKG205" s="17"/>
      <c r="LKH205" s="17"/>
      <c r="LKI205" s="17"/>
      <c r="LKJ205" s="17"/>
      <c r="LKK205" s="17"/>
      <c r="LKL205" s="17"/>
      <c r="LKM205" s="17"/>
      <c r="LKN205" s="17"/>
      <c r="LKO205" s="17"/>
      <c r="LKP205" s="17"/>
      <c r="LKQ205" s="17"/>
      <c r="LKR205" s="17"/>
      <c r="LKS205" s="17"/>
      <c r="LKT205" s="17"/>
      <c r="LKU205" s="17"/>
      <c r="LKV205" s="17"/>
      <c r="LKW205" s="17"/>
      <c r="LKX205" s="17"/>
      <c r="LKY205" s="17"/>
      <c r="LKZ205" s="17"/>
      <c r="LLA205" s="17"/>
      <c r="LLB205" s="17"/>
      <c r="LLC205" s="17"/>
      <c r="LLD205" s="17"/>
      <c r="LLE205" s="17"/>
      <c r="LLF205" s="17"/>
      <c r="LLG205" s="17"/>
      <c r="LLH205" s="17"/>
      <c r="LLI205" s="17"/>
      <c r="LLJ205" s="17"/>
      <c r="LLK205" s="17"/>
      <c r="LLL205" s="17"/>
      <c r="LLM205" s="17"/>
      <c r="LLN205" s="17"/>
      <c r="LLO205" s="17"/>
      <c r="LLP205" s="17"/>
      <c r="LLQ205" s="17"/>
      <c r="LLR205" s="17"/>
      <c r="LLS205" s="17"/>
      <c r="LLT205" s="17"/>
      <c r="LLU205" s="17"/>
      <c r="LLV205" s="17"/>
      <c r="LLW205" s="17"/>
      <c r="LLX205" s="17"/>
      <c r="LLY205" s="17"/>
      <c r="LLZ205" s="17"/>
      <c r="LMA205" s="17"/>
      <c r="LMB205" s="17"/>
      <c r="LMC205" s="17"/>
      <c r="LMD205" s="17"/>
      <c r="LME205" s="17"/>
      <c r="LMF205" s="17"/>
      <c r="LMG205" s="17"/>
      <c r="LMH205" s="17"/>
      <c r="LMI205" s="17"/>
      <c r="LMJ205" s="17"/>
      <c r="LMK205" s="17"/>
      <c r="LML205" s="17"/>
      <c r="LMM205" s="17"/>
      <c r="LMN205" s="17"/>
      <c r="LMO205" s="17"/>
      <c r="LMP205" s="17"/>
      <c r="LMQ205" s="17"/>
      <c r="LMR205" s="17"/>
      <c r="LMS205" s="17"/>
      <c r="LMT205" s="17"/>
      <c r="LMU205" s="17"/>
      <c r="LMV205" s="17"/>
      <c r="LMW205" s="17"/>
      <c r="LMX205" s="17"/>
      <c r="LMY205" s="17"/>
      <c r="LMZ205" s="17"/>
      <c r="LNA205" s="17"/>
      <c r="LNB205" s="17"/>
      <c r="LNC205" s="17"/>
      <c r="LND205" s="17"/>
      <c r="LNE205" s="17"/>
      <c r="LNF205" s="17"/>
      <c r="LNG205" s="17"/>
      <c r="LNH205" s="17"/>
      <c r="LNI205" s="17"/>
      <c r="LNJ205" s="17"/>
      <c r="LNK205" s="17"/>
      <c r="LNL205" s="17"/>
      <c r="LNM205" s="17"/>
      <c r="LNN205" s="17"/>
      <c r="LNO205" s="17"/>
      <c r="LNP205" s="17"/>
      <c r="LNQ205" s="17"/>
      <c r="LNR205" s="17"/>
      <c r="LNS205" s="17"/>
      <c r="LNT205" s="17"/>
      <c r="LNU205" s="17"/>
      <c r="LNV205" s="17"/>
      <c r="LNW205" s="17"/>
      <c r="LNX205" s="17"/>
      <c r="LNY205" s="17"/>
      <c r="LNZ205" s="17"/>
      <c r="LOA205" s="17"/>
      <c r="LOB205" s="17"/>
      <c r="LOC205" s="17"/>
      <c r="LOD205" s="17"/>
      <c r="LOE205" s="17"/>
      <c r="LOF205" s="17"/>
      <c r="LOG205" s="17"/>
      <c r="LOH205" s="17"/>
      <c r="LOI205" s="17"/>
      <c r="LOJ205" s="17"/>
      <c r="LOK205" s="17"/>
      <c r="LOL205" s="17"/>
      <c r="LOM205" s="17"/>
      <c r="LON205" s="17"/>
      <c r="LOO205" s="17"/>
      <c r="LOP205" s="17"/>
      <c r="LOQ205" s="17"/>
      <c r="LOR205" s="17"/>
      <c r="LOS205" s="17"/>
      <c r="LOT205" s="17"/>
      <c r="LOU205" s="17"/>
      <c r="LOV205" s="17"/>
      <c r="LOW205" s="17"/>
      <c r="LOX205" s="17"/>
      <c r="LOY205" s="17"/>
      <c r="LOZ205" s="17"/>
      <c r="LPA205" s="17"/>
      <c r="LPB205" s="17"/>
      <c r="LPC205" s="17"/>
      <c r="LPD205" s="17"/>
      <c r="LPE205" s="17"/>
      <c r="LPF205" s="17"/>
      <c r="LPG205" s="17"/>
      <c r="LPH205" s="17"/>
      <c r="LPI205" s="17"/>
      <c r="LPJ205" s="17"/>
      <c r="LPK205" s="17"/>
      <c r="LPL205" s="17"/>
      <c r="LPM205" s="17"/>
      <c r="LPN205" s="17"/>
      <c r="LPO205" s="17"/>
      <c r="LPP205" s="17"/>
      <c r="LPQ205" s="17"/>
      <c r="LPR205" s="17"/>
      <c r="LPS205" s="17"/>
      <c r="LPT205" s="17"/>
      <c r="LPU205" s="17"/>
      <c r="LPV205" s="17"/>
      <c r="LPW205" s="17"/>
      <c r="LPX205" s="17"/>
      <c r="LPY205" s="17"/>
      <c r="LPZ205" s="17"/>
      <c r="LQA205" s="17"/>
      <c r="LQB205" s="17"/>
      <c r="LQC205" s="17"/>
      <c r="LQD205" s="17"/>
      <c r="LQE205" s="17"/>
      <c r="LQF205" s="17"/>
      <c r="LQG205" s="17"/>
      <c r="LQH205" s="17"/>
      <c r="LQI205" s="17"/>
      <c r="LQJ205" s="17"/>
      <c r="LQK205" s="17"/>
      <c r="LQL205" s="17"/>
      <c r="LQM205" s="17"/>
      <c r="LQN205" s="17"/>
      <c r="LQO205" s="17"/>
      <c r="LQP205" s="17"/>
      <c r="LQQ205" s="17"/>
      <c r="LQR205" s="17"/>
      <c r="LQS205" s="17"/>
      <c r="LQT205" s="17"/>
      <c r="LQU205" s="17"/>
      <c r="LQV205" s="17"/>
      <c r="LQW205" s="17"/>
      <c r="LQX205" s="17"/>
      <c r="LQY205" s="17"/>
      <c r="LQZ205" s="17"/>
      <c r="LRA205" s="17"/>
      <c r="LRB205" s="17"/>
      <c r="LRC205" s="17"/>
      <c r="LRD205" s="17"/>
      <c r="LRE205" s="17"/>
      <c r="LRF205" s="17"/>
      <c r="LRG205" s="17"/>
      <c r="LRH205" s="17"/>
      <c r="LRI205" s="17"/>
      <c r="LRJ205" s="17"/>
      <c r="LRK205" s="17"/>
      <c r="LRL205" s="17"/>
      <c r="LRM205" s="17"/>
      <c r="LRN205" s="17"/>
      <c r="LRO205" s="17"/>
      <c r="LRP205" s="17"/>
      <c r="LRQ205" s="17"/>
      <c r="LRR205" s="17"/>
      <c r="LRS205" s="17"/>
      <c r="LRT205" s="17"/>
      <c r="LRU205" s="17"/>
      <c r="LRV205" s="17"/>
      <c r="LRW205" s="17"/>
      <c r="LRX205" s="17"/>
      <c r="LRY205" s="17"/>
      <c r="LRZ205" s="17"/>
      <c r="LSA205" s="17"/>
      <c r="LSB205" s="17"/>
      <c r="LSC205" s="17"/>
      <c r="LSD205" s="17"/>
      <c r="LSE205" s="17"/>
      <c r="LSF205" s="17"/>
      <c r="LSG205" s="17"/>
      <c r="LSH205" s="17"/>
      <c r="LSI205" s="17"/>
      <c r="LSJ205" s="17"/>
      <c r="LSK205" s="17"/>
      <c r="LSL205" s="17"/>
      <c r="LSM205" s="17"/>
      <c r="LSN205" s="17"/>
      <c r="LSO205" s="17"/>
      <c r="LSP205" s="17"/>
      <c r="LSQ205" s="17"/>
      <c r="LSR205" s="17"/>
      <c r="LSS205" s="17"/>
      <c r="LST205" s="17"/>
      <c r="LSU205" s="17"/>
      <c r="LSV205" s="17"/>
      <c r="LSW205" s="17"/>
      <c r="LSX205" s="17"/>
      <c r="LSY205" s="17"/>
      <c r="LSZ205" s="17"/>
      <c r="LTA205" s="17"/>
      <c r="LTB205" s="17"/>
      <c r="LTC205" s="17"/>
      <c r="LTD205" s="17"/>
      <c r="LTE205" s="17"/>
      <c r="LTF205" s="17"/>
      <c r="LTG205" s="17"/>
      <c r="LTH205" s="17"/>
      <c r="LTI205" s="17"/>
      <c r="LTJ205" s="17"/>
      <c r="LTK205" s="17"/>
      <c r="LTL205" s="17"/>
      <c r="LTM205" s="17"/>
      <c r="LTN205" s="17"/>
      <c r="LTO205" s="17"/>
      <c r="LTP205" s="17"/>
      <c r="LTQ205" s="17"/>
      <c r="LTR205" s="17"/>
      <c r="LTS205" s="17"/>
      <c r="LTT205" s="17"/>
      <c r="LTU205" s="17"/>
      <c r="LTV205" s="17"/>
      <c r="LTW205" s="17"/>
      <c r="LTX205" s="17"/>
      <c r="LTY205" s="17"/>
      <c r="LTZ205" s="17"/>
      <c r="LUA205" s="17"/>
      <c r="LUB205" s="17"/>
      <c r="LUC205" s="17"/>
      <c r="LUD205" s="17"/>
      <c r="LUE205" s="17"/>
      <c r="LUF205" s="17"/>
      <c r="LUG205" s="17"/>
      <c r="LUH205" s="17"/>
      <c r="LUI205" s="17"/>
      <c r="LUJ205" s="17"/>
      <c r="LUK205" s="17"/>
      <c r="LUL205" s="17"/>
      <c r="LUM205" s="17"/>
      <c r="LUN205" s="17"/>
      <c r="LUO205" s="17"/>
      <c r="LUP205" s="17"/>
      <c r="LUQ205" s="17"/>
      <c r="LUR205" s="17"/>
      <c r="LUS205" s="17"/>
      <c r="LUT205" s="17"/>
      <c r="LUU205" s="17"/>
      <c r="LUV205" s="17"/>
      <c r="LUW205" s="17"/>
      <c r="LUX205" s="17"/>
      <c r="LUY205" s="17"/>
      <c r="LUZ205" s="17"/>
      <c r="LVA205" s="17"/>
      <c r="LVB205" s="17"/>
      <c r="LVC205" s="17"/>
      <c r="LVD205" s="17"/>
      <c r="LVE205" s="17"/>
      <c r="LVF205" s="17"/>
      <c r="LVG205" s="17"/>
      <c r="LVH205" s="17"/>
      <c r="LVI205" s="17"/>
      <c r="LVJ205" s="17"/>
      <c r="LVK205" s="17"/>
      <c r="LVL205" s="17"/>
      <c r="LVM205" s="17"/>
      <c r="LVN205" s="17"/>
      <c r="LVO205" s="17"/>
      <c r="LVP205" s="17"/>
      <c r="LVQ205" s="17"/>
      <c r="LVR205" s="17"/>
      <c r="LVS205" s="17"/>
      <c r="LVT205" s="17"/>
      <c r="LVU205" s="17"/>
      <c r="LVV205" s="17"/>
      <c r="LVW205" s="17"/>
      <c r="LVX205" s="17"/>
      <c r="LVY205" s="17"/>
      <c r="LVZ205" s="17"/>
      <c r="LWA205" s="17"/>
      <c r="LWB205" s="17"/>
      <c r="LWC205" s="17"/>
      <c r="LWD205" s="17"/>
      <c r="LWE205" s="17"/>
      <c r="LWF205" s="17"/>
      <c r="LWG205" s="17"/>
      <c r="LWH205" s="17"/>
      <c r="LWI205" s="17"/>
      <c r="LWJ205" s="17"/>
      <c r="LWK205" s="17"/>
      <c r="LWL205" s="17"/>
      <c r="LWM205" s="17"/>
      <c r="LWN205" s="17"/>
      <c r="LWO205" s="17"/>
      <c r="LWP205" s="17"/>
      <c r="LWQ205" s="17"/>
      <c r="LWR205" s="17"/>
      <c r="LWS205" s="17"/>
      <c r="LWT205" s="17"/>
      <c r="LWU205" s="17"/>
      <c r="LWV205" s="17"/>
      <c r="LWW205" s="17"/>
      <c r="LWX205" s="17"/>
      <c r="LWY205" s="17"/>
      <c r="LWZ205" s="17"/>
      <c r="LXA205" s="17"/>
      <c r="LXB205" s="17"/>
      <c r="LXC205" s="17"/>
      <c r="LXD205" s="17"/>
      <c r="LXE205" s="17"/>
      <c r="LXF205" s="17"/>
      <c r="LXG205" s="17"/>
      <c r="LXH205" s="17"/>
      <c r="LXI205" s="17"/>
      <c r="LXJ205" s="17"/>
      <c r="LXK205" s="17"/>
      <c r="LXL205" s="17"/>
      <c r="LXM205" s="17"/>
      <c r="LXN205" s="17"/>
      <c r="LXO205" s="17"/>
      <c r="LXP205" s="17"/>
      <c r="LXQ205" s="17"/>
      <c r="LXR205" s="17"/>
      <c r="LXS205" s="17"/>
      <c r="LXT205" s="17"/>
      <c r="LXU205" s="17"/>
      <c r="LXV205" s="17"/>
      <c r="LXW205" s="17"/>
      <c r="LXX205" s="17"/>
      <c r="LXY205" s="17"/>
      <c r="LXZ205" s="17"/>
      <c r="LYA205" s="17"/>
      <c r="LYB205" s="17"/>
      <c r="LYC205" s="17"/>
      <c r="LYD205" s="17"/>
      <c r="LYE205" s="17"/>
      <c r="LYF205" s="17"/>
      <c r="LYG205" s="17"/>
      <c r="LYH205" s="17"/>
      <c r="LYI205" s="17"/>
      <c r="LYJ205" s="17"/>
      <c r="LYK205" s="17"/>
      <c r="LYL205" s="17"/>
      <c r="LYM205" s="17"/>
      <c r="LYN205" s="17"/>
      <c r="LYO205" s="17"/>
      <c r="LYP205" s="17"/>
      <c r="LYQ205" s="17"/>
      <c r="LYR205" s="17"/>
      <c r="LYS205" s="17"/>
      <c r="LYT205" s="17"/>
      <c r="LYU205" s="17"/>
      <c r="LYV205" s="17"/>
      <c r="LYW205" s="17"/>
      <c r="LYX205" s="17"/>
      <c r="LYY205" s="17"/>
      <c r="LYZ205" s="17"/>
      <c r="LZA205" s="17"/>
      <c r="LZB205" s="17"/>
      <c r="LZC205" s="17"/>
      <c r="LZD205" s="17"/>
      <c r="LZE205" s="17"/>
      <c r="LZF205" s="17"/>
      <c r="LZG205" s="17"/>
      <c r="LZH205" s="17"/>
      <c r="LZI205" s="17"/>
      <c r="LZJ205" s="17"/>
      <c r="LZK205" s="17"/>
      <c r="LZL205" s="17"/>
      <c r="LZM205" s="17"/>
      <c r="LZN205" s="17"/>
      <c r="LZO205" s="17"/>
      <c r="LZP205" s="17"/>
      <c r="LZQ205" s="17"/>
      <c r="LZR205" s="17"/>
      <c r="LZS205" s="17"/>
      <c r="LZT205" s="17"/>
      <c r="LZU205" s="17"/>
      <c r="LZV205" s="17"/>
      <c r="LZW205" s="17"/>
      <c r="LZX205" s="17"/>
      <c r="LZY205" s="17"/>
      <c r="LZZ205" s="17"/>
      <c r="MAA205" s="17"/>
      <c r="MAB205" s="17"/>
      <c r="MAC205" s="17"/>
      <c r="MAD205" s="17"/>
      <c r="MAE205" s="17"/>
      <c r="MAF205" s="17"/>
      <c r="MAG205" s="17"/>
      <c r="MAH205" s="17"/>
      <c r="MAI205" s="17"/>
      <c r="MAJ205" s="17"/>
      <c r="MAK205" s="17"/>
      <c r="MAL205" s="17"/>
      <c r="MAM205" s="17"/>
      <c r="MAN205" s="17"/>
      <c r="MAO205" s="17"/>
      <c r="MAP205" s="17"/>
      <c r="MAQ205" s="17"/>
      <c r="MAR205" s="17"/>
      <c r="MAS205" s="17"/>
      <c r="MAT205" s="17"/>
      <c r="MAU205" s="17"/>
      <c r="MAV205" s="17"/>
      <c r="MAW205" s="17"/>
      <c r="MAX205" s="17"/>
      <c r="MAY205" s="17"/>
      <c r="MAZ205" s="17"/>
      <c r="MBA205" s="17"/>
      <c r="MBB205" s="17"/>
      <c r="MBC205" s="17"/>
      <c r="MBD205" s="17"/>
      <c r="MBE205" s="17"/>
      <c r="MBF205" s="17"/>
      <c r="MBG205" s="17"/>
      <c r="MBH205" s="17"/>
      <c r="MBI205" s="17"/>
      <c r="MBJ205" s="17"/>
      <c r="MBK205" s="17"/>
      <c r="MBL205" s="17"/>
      <c r="MBM205" s="17"/>
      <c r="MBN205" s="17"/>
      <c r="MBO205" s="17"/>
      <c r="MBP205" s="17"/>
      <c r="MBQ205" s="17"/>
      <c r="MBR205" s="17"/>
      <c r="MBS205" s="17"/>
      <c r="MBT205" s="17"/>
      <c r="MBU205" s="17"/>
      <c r="MBV205" s="17"/>
      <c r="MBW205" s="17"/>
      <c r="MBX205" s="17"/>
      <c r="MBY205" s="17"/>
      <c r="MBZ205" s="17"/>
      <c r="MCA205" s="17"/>
      <c r="MCB205" s="17"/>
      <c r="MCC205" s="17"/>
      <c r="MCD205" s="17"/>
      <c r="MCE205" s="17"/>
      <c r="MCF205" s="17"/>
      <c r="MCG205" s="17"/>
      <c r="MCH205" s="17"/>
      <c r="MCI205" s="17"/>
      <c r="MCJ205" s="17"/>
      <c r="MCK205" s="17"/>
      <c r="MCL205" s="17"/>
      <c r="MCM205" s="17"/>
      <c r="MCN205" s="17"/>
      <c r="MCO205" s="17"/>
      <c r="MCP205" s="17"/>
      <c r="MCQ205" s="17"/>
      <c r="MCR205" s="17"/>
      <c r="MCS205" s="17"/>
      <c r="MCT205" s="17"/>
      <c r="MCU205" s="17"/>
      <c r="MCV205" s="17"/>
      <c r="MCW205" s="17"/>
      <c r="MCX205" s="17"/>
      <c r="MCY205" s="17"/>
      <c r="MCZ205" s="17"/>
      <c r="MDA205" s="17"/>
      <c r="MDB205" s="17"/>
      <c r="MDC205" s="17"/>
      <c r="MDD205" s="17"/>
      <c r="MDE205" s="17"/>
      <c r="MDF205" s="17"/>
      <c r="MDG205" s="17"/>
      <c r="MDH205" s="17"/>
      <c r="MDI205" s="17"/>
      <c r="MDJ205" s="17"/>
      <c r="MDK205" s="17"/>
      <c r="MDL205" s="17"/>
      <c r="MDM205" s="17"/>
      <c r="MDN205" s="17"/>
      <c r="MDO205" s="17"/>
      <c r="MDP205" s="17"/>
      <c r="MDQ205" s="17"/>
      <c r="MDR205" s="17"/>
      <c r="MDS205" s="17"/>
      <c r="MDT205" s="17"/>
      <c r="MDU205" s="17"/>
      <c r="MDV205" s="17"/>
      <c r="MDW205" s="17"/>
      <c r="MDX205" s="17"/>
      <c r="MDY205" s="17"/>
      <c r="MDZ205" s="17"/>
      <c r="MEA205" s="17"/>
      <c r="MEB205" s="17"/>
      <c r="MEC205" s="17"/>
      <c r="MED205" s="17"/>
      <c r="MEE205" s="17"/>
      <c r="MEF205" s="17"/>
      <c r="MEG205" s="17"/>
      <c r="MEH205" s="17"/>
      <c r="MEI205" s="17"/>
      <c r="MEJ205" s="17"/>
      <c r="MEK205" s="17"/>
      <c r="MEL205" s="17"/>
      <c r="MEM205" s="17"/>
      <c r="MEN205" s="17"/>
      <c r="MEO205" s="17"/>
      <c r="MEP205" s="17"/>
      <c r="MEQ205" s="17"/>
      <c r="MER205" s="17"/>
      <c r="MES205" s="17"/>
      <c r="MET205" s="17"/>
      <c r="MEU205" s="17"/>
      <c r="MEV205" s="17"/>
      <c r="MEW205" s="17"/>
      <c r="MEX205" s="17"/>
      <c r="MEY205" s="17"/>
      <c r="MEZ205" s="17"/>
      <c r="MFA205" s="17"/>
      <c r="MFB205" s="17"/>
      <c r="MFC205" s="17"/>
      <c r="MFD205" s="17"/>
      <c r="MFE205" s="17"/>
      <c r="MFF205" s="17"/>
      <c r="MFG205" s="17"/>
      <c r="MFH205" s="17"/>
      <c r="MFI205" s="17"/>
      <c r="MFJ205" s="17"/>
      <c r="MFK205" s="17"/>
      <c r="MFL205" s="17"/>
      <c r="MFM205" s="17"/>
      <c r="MFN205" s="17"/>
      <c r="MFO205" s="17"/>
      <c r="MFP205" s="17"/>
      <c r="MFQ205" s="17"/>
      <c r="MFR205" s="17"/>
      <c r="MFS205" s="17"/>
      <c r="MFT205" s="17"/>
      <c r="MFU205" s="17"/>
      <c r="MFV205" s="17"/>
      <c r="MFW205" s="17"/>
      <c r="MFX205" s="17"/>
      <c r="MFY205" s="17"/>
      <c r="MFZ205" s="17"/>
      <c r="MGA205" s="17"/>
      <c r="MGB205" s="17"/>
      <c r="MGC205" s="17"/>
      <c r="MGD205" s="17"/>
      <c r="MGE205" s="17"/>
      <c r="MGF205" s="17"/>
      <c r="MGG205" s="17"/>
      <c r="MGH205" s="17"/>
      <c r="MGI205" s="17"/>
      <c r="MGJ205" s="17"/>
      <c r="MGK205" s="17"/>
      <c r="MGL205" s="17"/>
      <c r="MGM205" s="17"/>
      <c r="MGN205" s="17"/>
      <c r="MGO205" s="17"/>
      <c r="MGP205" s="17"/>
      <c r="MGQ205" s="17"/>
      <c r="MGR205" s="17"/>
      <c r="MGS205" s="17"/>
      <c r="MGT205" s="17"/>
      <c r="MGU205" s="17"/>
      <c r="MGV205" s="17"/>
      <c r="MGW205" s="17"/>
      <c r="MGX205" s="17"/>
      <c r="MGY205" s="17"/>
      <c r="MGZ205" s="17"/>
      <c r="MHA205" s="17"/>
      <c r="MHB205" s="17"/>
      <c r="MHC205" s="17"/>
      <c r="MHD205" s="17"/>
      <c r="MHE205" s="17"/>
      <c r="MHF205" s="17"/>
      <c r="MHG205" s="17"/>
      <c r="MHH205" s="17"/>
      <c r="MHI205" s="17"/>
      <c r="MHJ205" s="17"/>
      <c r="MHK205" s="17"/>
      <c r="MHL205" s="17"/>
      <c r="MHM205" s="17"/>
      <c r="MHN205" s="17"/>
      <c r="MHO205" s="17"/>
      <c r="MHP205" s="17"/>
      <c r="MHQ205" s="17"/>
      <c r="MHR205" s="17"/>
      <c r="MHS205" s="17"/>
      <c r="MHT205" s="17"/>
      <c r="MHU205" s="17"/>
      <c r="MHV205" s="17"/>
      <c r="MHW205" s="17"/>
      <c r="MHX205" s="17"/>
      <c r="MHY205" s="17"/>
      <c r="MHZ205" s="17"/>
      <c r="MIA205" s="17"/>
      <c r="MIB205" s="17"/>
      <c r="MIC205" s="17"/>
      <c r="MID205" s="17"/>
      <c r="MIE205" s="17"/>
      <c r="MIF205" s="17"/>
      <c r="MIG205" s="17"/>
      <c r="MIH205" s="17"/>
      <c r="MII205" s="17"/>
      <c r="MIJ205" s="17"/>
      <c r="MIK205" s="17"/>
      <c r="MIL205" s="17"/>
      <c r="MIM205" s="17"/>
      <c r="MIN205" s="17"/>
      <c r="MIO205" s="17"/>
      <c r="MIP205" s="17"/>
      <c r="MIQ205" s="17"/>
      <c r="MIR205" s="17"/>
      <c r="MIS205" s="17"/>
      <c r="MIT205" s="17"/>
      <c r="MIU205" s="17"/>
      <c r="MIV205" s="17"/>
      <c r="MIW205" s="17"/>
      <c r="MIX205" s="17"/>
      <c r="MIY205" s="17"/>
      <c r="MIZ205" s="17"/>
      <c r="MJA205" s="17"/>
      <c r="MJB205" s="17"/>
      <c r="MJC205" s="17"/>
      <c r="MJD205" s="17"/>
      <c r="MJE205" s="17"/>
      <c r="MJF205" s="17"/>
      <c r="MJG205" s="17"/>
      <c r="MJH205" s="17"/>
      <c r="MJI205" s="17"/>
      <c r="MJJ205" s="17"/>
      <c r="MJK205" s="17"/>
      <c r="MJL205" s="17"/>
      <c r="MJM205" s="17"/>
      <c r="MJN205" s="17"/>
      <c r="MJO205" s="17"/>
      <c r="MJP205" s="17"/>
      <c r="MJQ205" s="17"/>
      <c r="MJR205" s="17"/>
      <c r="MJS205" s="17"/>
      <c r="MJT205" s="17"/>
      <c r="MJU205" s="17"/>
      <c r="MJV205" s="17"/>
      <c r="MJW205" s="17"/>
      <c r="MJX205" s="17"/>
      <c r="MJY205" s="17"/>
      <c r="MJZ205" s="17"/>
      <c r="MKA205" s="17"/>
      <c r="MKB205" s="17"/>
      <c r="MKC205" s="17"/>
      <c r="MKD205" s="17"/>
      <c r="MKE205" s="17"/>
      <c r="MKF205" s="17"/>
      <c r="MKG205" s="17"/>
      <c r="MKH205" s="17"/>
      <c r="MKI205" s="17"/>
      <c r="MKJ205" s="17"/>
      <c r="MKK205" s="17"/>
      <c r="MKL205" s="17"/>
      <c r="MKM205" s="17"/>
      <c r="MKN205" s="17"/>
      <c r="MKO205" s="17"/>
      <c r="MKP205" s="17"/>
      <c r="MKQ205" s="17"/>
      <c r="MKR205" s="17"/>
      <c r="MKS205" s="17"/>
      <c r="MKT205" s="17"/>
      <c r="MKU205" s="17"/>
      <c r="MKV205" s="17"/>
      <c r="MKW205" s="17"/>
      <c r="MKX205" s="17"/>
      <c r="MKY205" s="17"/>
      <c r="MKZ205" s="17"/>
      <c r="MLA205" s="17"/>
      <c r="MLB205" s="17"/>
      <c r="MLC205" s="17"/>
      <c r="MLD205" s="17"/>
      <c r="MLE205" s="17"/>
      <c r="MLF205" s="17"/>
      <c r="MLG205" s="17"/>
      <c r="MLH205" s="17"/>
      <c r="MLI205" s="17"/>
      <c r="MLJ205" s="17"/>
      <c r="MLK205" s="17"/>
      <c r="MLL205" s="17"/>
      <c r="MLM205" s="17"/>
      <c r="MLN205" s="17"/>
      <c r="MLO205" s="17"/>
      <c r="MLP205" s="17"/>
      <c r="MLQ205" s="17"/>
      <c r="MLR205" s="17"/>
      <c r="MLS205" s="17"/>
      <c r="MLT205" s="17"/>
      <c r="MLU205" s="17"/>
      <c r="MLV205" s="17"/>
      <c r="MLW205" s="17"/>
      <c r="MLX205" s="17"/>
      <c r="MLY205" s="17"/>
      <c r="MLZ205" s="17"/>
      <c r="MMA205" s="17"/>
      <c r="MMB205" s="17"/>
      <c r="MMC205" s="17"/>
      <c r="MMD205" s="17"/>
      <c r="MME205" s="17"/>
      <c r="MMF205" s="17"/>
      <c r="MMG205" s="17"/>
      <c r="MMH205" s="17"/>
      <c r="MMI205" s="17"/>
      <c r="MMJ205" s="17"/>
      <c r="MMK205" s="17"/>
      <c r="MML205" s="17"/>
      <c r="MMM205" s="17"/>
      <c r="MMN205" s="17"/>
      <c r="MMO205" s="17"/>
      <c r="MMP205" s="17"/>
      <c r="MMQ205" s="17"/>
      <c r="MMR205" s="17"/>
      <c r="MMS205" s="17"/>
      <c r="MMT205" s="17"/>
      <c r="MMU205" s="17"/>
      <c r="MMV205" s="17"/>
      <c r="MMW205" s="17"/>
      <c r="MMX205" s="17"/>
      <c r="MMY205" s="17"/>
      <c r="MMZ205" s="17"/>
      <c r="MNA205" s="17"/>
      <c r="MNB205" s="17"/>
      <c r="MNC205" s="17"/>
      <c r="MND205" s="17"/>
      <c r="MNE205" s="17"/>
      <c r="MNF205" s="17"/>
      <c r="MNG205" s="17"/>
      <c r="MNH205" s="17"/>
      <c r="MNI205" s="17"/>
      <c r="MNJ205" s="17"/>
      <c r="MNK205" s="17"/>
      <c r="MNL205" s="17"/>
      <c r="MNM205" s="17"/>
      <c r="MNN205" s="17"/>
      <c r="MNO205" s="17"/>
      <c r="MNP205" s="17"/>
      <c r="MNQ205" s="17"/>
      <c r="MNR205" s="17"/>
      <c r="MNS205" s="17"/>
      <c r="MNT205" s="17"/>
      <c r="MNU205" s="17"/>
      <c r="MNV205" s="17"/>
      <c r="MNW205" s="17"/>
      <c r="MNX205" s="17"/>
      <c r="MNY205" s="17"/>
      <c r="MNZ205" s="17"/>
      <c r="MOA205" s="17"/>
      <c r="MOB205" s="17"/>
      <c r="MOC205" s="17"/>
      <c r="MOD205" s="17"/>
      <c r="MOE205" s="17"/>
      <c r="MOF205" s="17"/>
      <c r="MOG205" s="17"/>
      <c r="MOH205" s="17"/>
      <c r="MOI205" s="17"/>
      <c r="MOJ205" s="17"/>
      <c r="MOK205" s="17"/>
      <c r="MOL205" s="17"/>
      <c r="MOM205" s="17"/>
      <c r="MON205" s="17"/>
      <c r="MOO205" s="17"/>
      <c r="MOP205" s="17"/>
      <c r="MOQ205" s="17"/>
      <c r="MOR205" s="17"/>
      <c r="MOS205" s="17"/>
      <c r="MOT205" s="17"/>
      <c r="MOU205" s="17"/>
      <c r="MOV205" s="17"/>
      <c r="MOW205" s="17"/>
      <c r="MOX205" s="17"/>
      <c r="MOY205" s="17"/>
      <c r="MOZ205" s="17"/>
      <c r="MPA205" s="17"/>
      <c r="MPB205" s="17"/>
      <c r="MPC205" s="17"/>
      <c r="MPD205" s="17"/>
      <c r="MPE205" s="17"/>
      <c r="MPF205" s="17"/>
      <c r="MPG205" s="17"/>
      <c r="MPH205" s="17"/>
      <c r="MPI205" s="17"/>
      <c r="MPJ205" s="17"/>
      <c r="MPK205" s="17"/>
      <c r="MPL205" s="17"/>
      <c r="MPM205" s="17"/>
      <c r="MPN205" s="17"/>
      <c r="MPO205" s="17"/>
      <c r="MPP205" s="17"/>
      <c r="MPQ205" s="17"/>
      <c r="MPR205" s="17"/>
      <c r="MPS205" s="17"/>
      <c r="MPT205" s="17"/>
      <c r="MPU205" s="17"/>
      <c r="MPV205" s="17"/>
      <c r="MPW205" s="17"/>
      <c r="MPX205" s="17"/>
      <c r="MPY205" s="17"/>
      <c r="MPZ205" s="17"/>
      <c r="MQA205" s="17"/>
      <c r="MQB205" s="17"/>
      <c r="MQC205" s="17"/>
      <c r="MQD205" s="17"/>
      <c r="MQE205" s="17"/>
      <c r="MQF205" s="17"/>
      <c r="MQG205" s="17"/>
      <c r="MQH205" s="17"/>
      <c r="MQI205" s="17"/>
      <c r="MQJ205" s="17"/>
      <c r="MQK205" s="17"/>
      <c r="MQL205" s="17"/>
      <c r="MQM205" s="17"/>
      <c r="MQN205" s="17"/>
      <c r="MQO205" s="17"/>
      <c r="MQP205" s="17"/>
      <c r="MQQ205" s="17"/>
      <c r="MQR205" s="17"/>
      <c r="MQS205" s="17"/>
      <c r="MQT205" s="17"/>
      <c r="MQU205" s="17"/>
      <c r="MQV205" s="17"/>
      <c r="MQW205" s="17"/>
      <c r="MQX205" s="17"/>
      <c r="MQY205" s="17"/>
      <c r="MQZ205" s="17"/>
      <c r="MRA205" s="17"/>
      <c r="MRB205" s="17"/>
      <c r="MRC205" s="17"/>
      <c r="MRD205" s="17"/>
      <c r="MRE205" s="17"/>
      <c r="MRF205" s="17"/>
      <c r="MRG205" s="17"/>
      <c r="MRH205" s="17"/>
      <c r="MRI205" s="17"/>
      <c r="MRJ205" s="17"/>
      <c r="MRK205" s="17"/>
      <c r="MRL205" s="17"/>
      <c r="MRM205" s="17"/>
      <c r="MRN205" s="17"/>
      <c r="MRO205" s="17"/>
      <c r="MRP205" s="17"/>
      <c r="MRQ205" s="17"/>
      <c r="MRR205" s="17"/>
      <c r="MRS205" s="17"/>
      <c r="MRT205" s="17"/>
      <c r="MRU205" s="17"/>
      <c r="MRV205" s="17"/>
      <c r="MRW205" s="17"/>
      <c r="MRX205" s="17"/>
      <c r="MRY205" s="17"/>
      <c r="MRZ205" s="17"/>
      <c r="MSA205" s="17"/>
      <c r="MSB205" s="17"/>
      <c r="MSC205" s="17"/>
      <c r="MSD205" s="17"/>
      <c r="MSE205" s="17"/>
      <c r="MSF205" s="17"/>
      <c r="MSG205" s="17"/>
      <c r="MSH205" s="17"/>
      <c r="MSI205" s="17"/>
      <c r="MSJ205" s="17"/>
      <c r="MSK205" s="17"/>
      <c r="MSL205" s="17"/>
      <c r="MSM205" s="17"/>
      <c r="MSN205" s="17"/>
      <c r="MSO205" s="17"/>
      <c r="MSP205" s="17"/>
      <c r="MSQ205" s="17"/>
      <c r="MSR205" s="17"/>
      <c r="MSS205" s="17"/>
      <c r="MST205" s="17"/>
      <c r="MSU205" s="17"/>
      <c r="MSV205" s="17"/>
      <c r="MSW205" s="17"/>
      <c r="MSX205" s="17"/>
      <c r="MSY205" s="17"/>
      <c r="MSZ205" s="17"/>
      <c r="MTA205" s="17"/>
      <c r="MTB205" s="17"/>
      <c r="MTC205" s="17"/>
      <c r="MTD205" s="17"/>
      <c r="MTE205" s="17"/>
      <c r="MTF205" s="17"/>
      <c r="MTG205" s="17"/>
      <c r="MTH205" s="17"/>
      <c r="MTI205" s="17"/>
      <c r="MTJ205" s="17"/>
      <c r="MTK205" s="17"/>
      <c r="MTL205" s="17"/>
      <c r="MTM205" s="17"/>
      <c r="MTN205" s="17"/>
      <c r="MTO205" s="17"/>
      <c r="MTP205" s="17"/>
      <c r="MTQ205" s="17"/>
      <c r="MTR205" s="17"/>
      <c r="MTS205" s="17"/>
      <c r="MTT205" s="17"/>
      <c r="MTU205" s="17"/>
      <c r="MTV205" s="17"/>
      <c r="MTW205" s="17"/>
      <c r="MTX205" s="17"/>
      <c r="MTY205" s="17"/>
      <c r="MTZ205" s="17"/>
      <c r="MUA205" s="17"/>
      <c r="MUB205" s="17"/>
      <c r="MUC205" s="17"/>
      <c r="MUD205" s="17"/>
      <c r="MUE205" s="17"/>
      <c r="MUF205" s="17"/>
      <c r="MUG205" s="17"/>
      <c r="MUH205" s="17"/>
      <c r="MUI205" s="17"/>
      <c r="MUJ205" s="17"/>
      <c r="MUK205" s="17"/>
      <c r="MUL205" s="17"/>
      <c r="MUM205" s="17"/>
      <c r="MUN205" s="17"/>
      <c r="MUO205" s="17"/>
      <c r="MUP205" s="17"/>
      <c r="MUQ205" s="17"/>
      <c r="MUR205" s="17"/>
      <c r="MUS205" s="17"/>
      <c r="MUT205" s="17"/>
      <c r="MUU205" s="17"/>
      <c r="MUV205" s="17"/>
      <c r="MUW205" s="17"/>
      <c r="MUX205" s="17"/>
      <c r="MUY205" s="17"/>
      <c r="MUZ205" s="17"/>
      <c r="MVA205" s="17"/>
      <c r="MVB205" s="17"/>
      <c r="MVC205" s="17"/>
      <c r="MVD205" s="17"/>
      <c r="MVE205" s="17"/>
      <c r="MVF205" s="17"/>
      <c r="MVG205" s="17"/>
      <c r="MVH205" s="17"/>
      <c r="MVI205" s="17"/>
      <c r="MVJ205" s="17"/>
      <c r="MVK205" s="17"/>
      <c r="MVL205" s="17"/>
      <c r="MVM205" s="17"/>
      <c r="MVN205" s="17"/>
      <c r="MVO205" s="17"/>
      <c r="MVP205" s="17"/>
      <c r="MVQ205" s="17"/>
      <c r="MVR205" s="17"/>
      <c r="MVS205" s="17"/>
      <c r="MVT205" s="17"/>
      <c r="MVU205" s="17"/>
      <c r="MVV205" s="17"/>
      <c r="MVW205" s="17"/>
      <c r="MVX205" s="17"/>
      <c r="MVY205" s="17"/>
      <c r="MVZ205" s="17"/>
      <c r="MWA205" s="17"/>
      <c r="MWB205" s="17"/>
      <c r="MWC205" s="17"/>
      <c r="MWD205" s="17"/>
      <c r="MWE205" s="17"/>
      <c r="MWF205" s="17"/>
      <c r="MWG205" s="17"/>
      <c r="MWH205" s="17"/>
      <c r="MWI205" s="17"/>
      <c r="MWJ205" s="17"/>
      <c r="MWK205" s="17"/>
      <c r="MWL205" s="17"/>
      <c r="MWM205" s="17"/>
      <c r="MWN205" s="17"/>
      <c r="MWO205" s="17"/>
      <c r="MWP205" s="17"/>
      <c r="MWQ205" s="17"/>
      <c r="MWR205" s="17"/>
      <c r="MWS205" s="17"/>
      <c r="MWT205" s="17"/>
      <c r="MWU205" s="17"/>
      <c r="MWV205" s="17"/>
      <c r="MWW205" s="17"/>
      <c r="MWX205" s="17"/>
      <c r="MWY205" s="17"/>
      <c r="MWZ205" s="17"/>
      <c r="MXA205" s="17"/>
      <c r="MXB205" s="17"/>
      <c r="MXC205" s="17"/>
      <c r="MXD205" s="17"/>
      <c r="MXE205" s="17"/>
      <c r="MXF205" s="17"/>
      <c r="MXG205" s="17"/>
      <c r="MXH205" s="17"/>
      <c r="MXI205" s="17"/>
      <c r="MXJ205" s="17"/>
      <c r="MXK205" s="17"/>
      <c r="MXL205" s="17"/>
      <c r="MXM205" s="17"/>
      <c r="MXN205" s="17"/>
      <c r="MXO205" s="17"/>
      <c r="MXP205" s="17"/>
      <c r="MXQ205" s="17"/>
      <c r="MXR205" s="17"/>
      <c r="MXS205" s="17"/>
      <c r="MXT205" s="17"/>
      <c r="MXU205" s="17"/>
      <c r="MXV205" s="17"/>
      <c r="MXW205" s="17"/>
      <c r="MXX205" s="17"/>
      <c r="MXY205" s="17"/>
      <c r="MXZ205" s="17"/>
      <c r="MYA205" s="17"/>
      <c r="MYB205" s="17"/>
      <c r="MYC205" s="17"/>
      <c r="MYD205" s="17"/>
      <c r="MYE205" s="17"/>
      <c r="MYF205" s="17"/>
      <c r="MYG205" s="17"/>
      <c r="MYH205" s="17"/>
      <c r="MYI205" s="17"/>
      <c r="MYJ205" s="17"/>
      <c r="MYK205" s="17"/>
      <c r="MYL205" s="17"/>
      <c r="MYM205" s="17"/>
      <c r="MYN205" s="17"/>
      <c r="MYO205" s="17"/>
      <c r="MYP205" s="17"/>
      <c r="MYQ205" s="17"/>
      <c r="MYR205" s="17"/>
      <c r="MYS205" s="17"/>
      <c r="MYT205" s="17"/>
      <c r="MYU205" s="17"/>
      <c r="MYV205" s="17"/>
      <c r="MYW205" s="17"/>
      <c r="MYX205" s="17"/>
      <c r="MYY205" s="17"/>
      <c r="MYZ205" s="17"/>
      <c r="MZA205" s="17"/>
      <c r="MZB205" s="17"/>
      <c r="MZC205" s="17"/>
      <c r="MZD205" s="17"/>
      <c r="MZE205" s="17"/>
      <c r="MZF205" s="17"/>
      <c r="MZG205" s="17"/>
      <c r="MZH205" s="17"/>
      <c r="MZI205" s="17"/>
      <c r="MZJ205" s="17"/>
      <c r="MZK205" s="17"/>
      <c r="MZL205" s="17"/>
      <c r="MZM205" s="17"/>
      <c r="MZN205" s="17"/>
      <c r="MZO205" s="17"/>
      <c r="MZP205" s="17"/>
      <c r="MZQ205" s="17"/>
      <c r="MZR205" s="17"/>
      <c r="MZS205" s="17"/>
      <c r="MZT205" s="17"/>
      <c r="MZU205" s="17"/>
      <c r="MZV205" s="17"/>
      <c r="MZW205" s="17"/>
      <c r="MZX205" s="17"/>
      <c r="MZY205" s="17"/>
      <c r="MZZ205" s="17"/>
      <c r="NAA205" s="17"/>
      <c r="NAB205" s="17"/>
      <c r="NAC205" s="17"/>
      <c r="NAD205" s="17"/>
      <c r="NAE205" s="17"/>
      <c r="NAF205" s="17"/>
      <c r="NAG205" s="17"/>
      <c r="NAH205" s="17"/>
      <c r="NAI205" s="17"/>
      <c r="NAJ205" s="17"/>
      <c r="NAK205" s="17"/>
      <c r="NAL205" s="17"/>
      <c r="NAM205" s="17"/>
      <c r="NAN205" s="17"/>
      <c r="NAO205" s="17"/>
      <c r="NAP205" s="17"/>
      <c r="NAQ205" s="17"/>
      <c r="NAR205" s="17"/>
      <c r="NAS205" s="17"/>
      <c r="NAT205" s="17"/>
      <c r="NAU205" s="17"/>
      <c r="NAV205" s="17"/>
      <c r="NAW205" s="17"/>
      <c r="NAX205" s="17"/>
      <c r="NAY205" s="17"/>
      <c r="NAZ205" s="17"/>
      <c r="NBA205" s="17"/>
      <c r="NBB205" s="17"/>
      <c r="NBC205" s="17"/>
      <c r="NBD205" s="17"/>
      <c r="NBE205" s="17"/>
      <c r="NBF205" s="17"/>
      <c r="NBG205" s="17"/>
      <c r="NBH205" s="17"/>
      <c r="NBI205" s="17"/>
      <c r="NBJ205" s="17"/>
      <c r="NBK205" s="17"/>
      <c r="NBL205" s="17"/>
      <c r="NBM205" s="17"/>
      <c r="NBN205" s="17"/>
      <c r="NBO205" s="17"/>
      <c r="NBP205" s="17"/>
      <c r="NBQ205" s="17"/>
      <c r="NBR205" s="17"/>
      <c r="NBS205" s="17"/>
      <c r="NBT205" s="17"/>
      <c r="NBU205" s="17"/>
      <c r="NBV205" s="17"/>
      <c r="NBW205" s="17"/>
      <c r="NBX205" s="17"/>
      <c r="NBY205" s="17"/>
      <c r="NBZ205" s="17"/>
      <c r="NCA205" s="17"/>
      <c r="NCB205" s="17"/>
      <c r="NCC205" s="17"/>
      <c r="NCD205" s="17"/>
      <c r="NCE205" s="17"/>
      <c r="NCF205" s="17"/>
      <c r="NCG205" s="17"/>
      <c r="NCH205" s="17"/>
      <c r="NCI205" s="17"/>
      <c r="NCJ205" s="17"/>
      <c r="NCK205" s="17"/>
      <c r="NCL205" s="17"/>
      <c r="NCM205" s="17"/>
      <c r="NCN205" s="17"/>
      <c r="NCO205" s="17"/>
      <c r="NCP205" s="17"/>
      <c r="NCQ205" s="17"/>
      <c r="NCR205" s="17"/>
      <c r="NCS205" s="17"/>
      <c r="NCT205" s="17"/>
      <c r="NCU205" s="17"/>
      <c r="NCV205" s="17"/>
      <c r="NCW205" s="17"/>
      <c r="NCX205" s="17"/>
      <c r="NCY205" s="17"/>
      <c r="NCZ205" s="17"/>
      <c r="NDA205" s="17"/>
      <c r="NDB205" s="17"/>
      <c r="NDC205" s="17"/>
      <c r="NDD205" s="17"/>
      <c r="NDE205" s="17"/>
      <c r="NDF205" s="17"/>
      <c r="NDG205" s="17"/>
      <c r="NDH205" s="17"/>
      <c r="NDI205" s="17"/>
      <c r="NDJ205" s="17"/>
      <c r="NDK205" s="17"/>
      <c r="NDL205" s="17"/>
      <c r="NDM205" s="17"/>
      <c r="NDN205" s="17"/>
      <c r="NDO205" s="17"/>
      <c r="NDP205" s="17"/>
      <c r="NDQ205" s="17"/>
      <c r="NDR205" s="17"/>
      <c r="NDS205" s="17"/>
      <c r="NDT205" s="17"/>
      <c r="NDU205" s="17"/>
      <c r="NDV205" s="17"/>
      <c r="NDW205" s="17"/>
      <c r="NDX205" s="17"/>
      <c r="NDY205" s="17"/>
      <c r="NDZ205" s="17"/>
      <c r="NEA205" s="17"/>
      <c r="NEB205" s="17"/>
      <c r="NEC205" s="17"/>
      <c r="NED205" s="17"/>
      <c r="NEE205" s="17"/>
      <c r="NEF205" s="17"/>
      <c r="NEG205" s="17"/>
      <c r="NEH205" s="17"/>
      <c r="NEI205" s="17"/>
      <c r="NEJ205" s="17"/>
      <c r="NEK205" s="17"/>
      <c r="NEL205" s="17"/>
      <c r="NEM205" s="17"/>
      <c r="NEN205" s="17"/>
      <c r="NEO205" s="17"/>
      <c r="NEP205" s="17"/>
      <c r="NEQ205" s="17"/>
      <c r="NER205" s="17"/>
      <c r="NES205" s="17"/>
      <c r="NET205" s="17"/>
      <c r="NEU205" s="17"/>
      <c r="NEV205" s="17"/>
      <c r="NEW205" s="17"/>
      <c r="NEX205" s="17"/>
      <c r="NEY205" s="17"/>
      <c r="NEZ205" s="17"/>
      <c r="NFA205" s="17"/>
      <c r="NFB205" s="17"/>
      <c r="NFC205" s="17"/>
      <c r="NFD205" s="17"/>
      <c r="NFE205" s="17"/>
      <c r="NFF205" s="17"/>
      <c r="NFG205" s="17"/>
      <c r="NFH205" s="17"/>
      <c r="NFI205" s="17"/>
      <c r="NFJ205" s="17"/>
      <c r="NFK205" s="17"/>
      <c r="NFL205" s="17"/>
      <c r="NFM205" s="17"/>
      <c r="NFN205" s="17"/>
      <c r="NFO205" s="17"/>
      <c r="NFP205" s="17"/>
      <c r="NFQ205" s="17"/>
      <c r="NFR205" s="17"/>
      <c r="NFS205" s="17"/>
      <c r="NFT205" s="17"/>
      <c r="NFU205" s="17"/>
      <c r="NFV205" s="17"/>
      <c r="NFW205" s="17"/>
      <c r="NFX205" s="17"/>
      <c r="NFY205" s="17"/>
      <c r="NFZ205" s="17"/>
      <c r="NGA205" s="17"/>
      <c r="NGB205" s="17"/>
      <c r="NGC205" s="17"/>
      <c r="NGD205" s="17"/>
      <c r="NGE205" s="17"/>
      <c r="NGF205" s="17"/>
      <c r="NGG205" s="17"/>
      <c r="NGH205" s="17"/>
      <c r="NGI205" s="17"/>
      <c r="NGJ205" s="17"/>
      <c r="NGK205" s="17"/>
      <c r="NGL205" s="17"/>
      <c r="NGM205" s="17"/>
      <c r="NGN205" s="17"/>
      <c r="NGO205" s="17"/>
      <c r="NGP205" s="17"/>
      <c r="NGQ205" s="17"/>
      <c r="NGR205" s="17"/>
      <c r="NGS205" s="17"/>
      <c r="NGT205" s="17"/>
      <c r="NGU205" s="17"/>
      <c r="NGV205" s="17"/>
      <c r="NGW205" s="17"/>
      <c r="NGX205" s="17"/>
      <c r="NGY205" s="17"/>
      <c r="NGZ205" s="17"/>
      <c r="NHA205" s="17"/>
      <c r="NHB205" s="17"/>
      <c r="NHC205" s="17"/>
      <c r="NHD205" s="17"/>
      <c r="NHE205" s="17"/>
      <c r="NHF205" s="17"/>
      <c r="NHG205" s="17"/>
      <c r="NHH205" s="17"/>
      <c r="NHI205" s="17"/>
      <c r="NHJ205" s="17"/>
      <c r="NHK205" s="17"/>
      <c r="NHL205" s="17"/>
      <c r="NHM205" s="17"/>
      <c r="NHN205" s="17"/>
      <c r="NHO205" s="17"/>
      <c r="NHP205" s="17"/>
      <c r="NHQ205" s="17"/>
      <c r="NHR205" s="17"/>
      <c r="NHS205" s="17"/>
      <c r="NHT205" s="17"/>
      <c r="NHU205" s="17"/>
      <c r="NHV205" s="17"/>
      <c r="NHW205" s="17"/>
      <c r="NHX205" s="17"/>
      <c r="NHY205" s="17"/>
      <c r="NHZ205" s="17"/>
      <c r="NIA205" s="17"/>
      <c r="NIB205" s="17"/>
      <c r="NIC205" s="17"/>
      <c r="NID205" s="17"/>
      <c r="NIE205" s="17"/>
      <c r="NIF205" s="17"/>
      <c r="NIG205" s="17"/>
      <c r="NIH205" s="17"/>
      <c r="NII205" s="17"/>
      <c r="NIJ205" s="17"/>
      <c r="NIK205" s="17"/>
      <c r="NIL205" s="17"/>
      <c r="NIM205" s="17"/>
      <c r="NIN205" s="17"/>
      <c r="NIO205" s="17"/>
      <c r="NIP205" s="17"/>
      <c r="NIQ205" s="17"/>
      <c r="NIR205" s="17"/>
      <c r="NIS205" s="17"/>
      <c r="NIT205" s="17"/>
      <c r="NIU205" s="17"/>
      <c r="NIV205" s="17"/>
      <c r="NIW205" s="17"/>
      <c r="NIX205" s="17"/>
      <c r="NIY205" s="17"/>
      <c r="NIZ205" s="17"/>
      <c r="NJA205" s="17"/>
      <c r="NJB205" s="17"/>
      <c r="NJC205" s="17"/>
      <c r="NJD205" s="17"/>
      <c r="NJE205" s="17"/>
      <c r="NJF205" s="17"/>
      <c r="NJG205" s="17"/>
      <c r="NJH205" s="17"/>
      <c r="NJI205" s="17"/>
      <c r="NJJ205" s="17"/>
      <c r="NJK205" s="17"/>
      <c r="NJL205" s="17"/>
      <c r="NJM205" s="17"/>
      <c r="NJN205" s="17"/>
      <c r="NJO205" s="17"/>
      <c r="NJP205" s="17"/>
      <c r="NJQ205" s="17"/>
      <c r="NJR205" s="17"/>
      <c r="NJS205" s="17"/>
      <c r="NJT205" s="17"/>
      <c r="NJU205" s="17"/>
      <c r="NJV205" s="17"/>
      <c r="NJW205" s="17"/>
      <c r="NJX205" s="17"/>
      <c r="NJY205" s="17"/>
      <c r="NJZ205" s="17"/>
      <c r="NKA205" s="17"/>
      <c r="NKB205" s="17"/>
      <c r="NKC205" s="17"/>
      <c r="NKD205" s="17"/>
      <c r="NKE205" s="17"/>
      <c r="NKF205" s="17"/>
      <c r="NKG205" s="17"/>
      <c r="NKH205" s="17"/>
      <c r="NKI205" s="17"/>
      <c r="NKJ205" s="17"/>
      <c r="NKK205" s="17"/>
      <c r="NKL205" s="17"/>
      <c r="NKM205" s="17"/>
      <c r="NKN205" s="17"/>
      <c r="NKO205" s="17"/>
      <c r="NKP205" s="17"/>
      <c r="NKQ205" s="17"/>
      <c r="NKR205" s="17"/>
      <c r="NKS205" s="17"/>
      <c r="NKT205" s="17"/>
      <c r="NKU205" s="17"/>
      <c r="NKV205" s="17"/>
      <c r="NKW205" s="17"/>
      <c r="NKX205" s="17"/>
      <c r="NKY205" s="17"/>
      <c r="NKZ205" s="17"/>
      <c r="NLA205" s="17"/>
      <c r="NLB205" s="17"/>
      <c r="NLC205" s="17"/>
      <c r="NLD205" s="17"/>
      <c r="NLE205" s="17"/>
      <c r="NLF205" s="17"/>
      <c r="NLG205" s="17"/>
      <c r="NLH205" s="17"/>
      <c r="NLI205" s="17"/>
      <c r="NLJ205" s="17"/>
      <c r="NLK205" s="17"/>
      <c r="NLL205" s="17"/>
      <c r="NLM205" s="17"/>
      <c r="NLN205" s="17"/>
      <c r="NLO205" s="17"/>
      <c r="NLP205" s="17"/>
      <c r="NLQ205" s="17"/>
      <c r="NLR205" s="17"/>
      <c r="NLS205" s="17"/>
      <c r="NLT205" s="17"/>
      <c r="NLU205" s="17"/>
      <c r="NLV205" s="17"/>
      <c r="NLW205" s="17"/>
      <c r="NLX205" s="17"/>
      <c r="NLY205" s="17"/>
      <c r="NLZ205" s="17"/>
      <c r="NMA205" s="17"/>
      <c r="NMB205" s="17"/>
      <c r="NMC205" s="17"/>
      <c r="NMD205" s="17"/>
      <c r="NME205" s="17"/>
      <c r="NMF205" s="17"/>
      <c r="NMG205" s="17"/>
      <c r="NMH205" s="17"/>
      <c r="NMI205" s="17"/>
      <c r="NMJ205" s="17"/>
      <c r="NMK205" s="17"/>
      <c r="NML205" s="17"/>
      <c r="NMM205" s="17"/>
      <c r="NMN205" s="17"/>
      <c r="NMO205" s="17"/>
      <c r="NMP205" s="17"/>
      <c r="NMQ205" s="17"/>
      <c r="NMR205" s="17"/>
      <c r="NMS205" s="17"/>
      <c r="NMT205" s="17"/>
      <c r="NMU205" s="17"/>
      <c r="NMV205" s="17"/>
      <c r="NMW205" s="17"/>
      <c r="NMX205" s="17"/>
      <c r="NMY205" s="17"/>
      <c r="NMZ205" s="17"/>
      <c r="NNA205" s="17"/>
      <c r="NNB205" s="17"/>
      <c r="NNC205" s="17"/>
      <c r="NND205" s="17"/>
      <c r="NNE205" s="17"/>
      <c r="NNF205" s="17"/>
      <c r="NNG205" s="17"/>
      <c r="NNH205" s="17"/>
      <c r="NNI205" s="17"/>
      <c r="NNJ205" s="17"/>
      <c r="NNK205" s="17"/>
      <c r="NNL205" s="17"/>
      <c r="NNM205" s="17"/>
      <c r="NNN205" s="17"/>
      <c r="NNO205" s="17"/>
      <c r="NNP205" s="17"/>
      <c r="NNQ205" s="17"/>
      <c r="NNR205" s="17"/>
      <c r="NNS205" s="17"/>
      <c r="NNT205" s="17"/>
      <c r="NNU205" s="17"/>
      <c r="NNV205" s="17"/>
      <c r="NNW205" s="17"/>
      <c r="NNX205" s="17"/>
      <c r="NNY205" s="17"/>
      <c r="NNZ205" s="17"/>
      <c r="NOA205" s="17"/>
      <c r="NOB205" s="17"/>
      <c r="NOC205" s="17"/>
      <c r="NOD205" s="17"/>
      <c r="NOE205" s="17"/>
      <c r="NOF205" s="17"/>
      <c r="NOG205" s="17"/>
      <c r="NOH205" s="17"/>
      <c r="NOI205" s="17"/>
      <c r="NOJ205" s="17"/>
      <c r="NOK205" s="17"/>
      <c r="NOL205" s="17"/>
      <c r="NOM205" s="17"/>
      <c r="NON205" s="17"/>
      <c r="NOO205" s="17"/>
      <c r="NOP205" s="17"/>
      <c r="NOQ205" s="17"/>
      <c r="NOR205" s="17"/>
      <c r="NOS205" s="17"/>
      <c r="NOT205" s="17"/>
      <c r="NOU205" s="17"/>
      <c r="NOV205" s="17"/>
      <c r="NOW205" s="17"/>
      <c r="NOX205" s="17"/>
      <c r="NOY205" s="17"/>
      <c r="NOZ205" s="17"/>
      <c r="NPA205" s="17"/>
      <c r="NPB205" s="17"/>
      <c r="NPC205" s="17"/>
      <c r="NPD205" s="17"/>
      <c r="NPE205" s="17"/>
      <c r="NPF205" s="17"/>
      <c r="NPG205" s="17"/>
      <c r="NPH205" s="17"/>
      <c r="NPI205" s="17"/>
      <c r="NPJ205" s="17"/>
      <c r="NPK205" s="17"/>
      <c r="NPL205" s="17"/>
      <c r="NPM205" s="17"/>
      <c r="NPN205" s="17"/>
      <c r="NPO205" s="17"/>
      <c r="NPP205" s="17"/>
      <c r="NPQ205" s="17"/>
      <c r="NPR205" s="17"/>
      <c r="NPS205" s="17"/>
      <c r="NPT205" s="17"/>
      <c r="NPU205" s="17"/>
      <c r="NPV205" s="17"/>
      <c r="NPW205" s="17"/>
      <c r="NPX205" s="17"/>
      <c r="NPY205" s="17"/>
      <c r="NPZ205" s="17"/>
      <c r="NQA205" s="17"/>
      <c r="NQB205" s="17"/>
      <c r="NQC205" s="17"/>
      <c r="NQD205" s="17"/>
      <c r="NQE205" s="17"/>
      <c r="NQF205" s="17"/>
      <c r="NQG205" s="17"/>
      <c r="NQH205" s="17"/>
      <c r="NQI205" s="17"/>
      <c r="NQJ205" s="17"/>
      <c r="NQK205" s="17"/>
      <c r="NQL205" s="17"/>
      <c r="NQM205" s="17"/>
      <c r="NQN205" s="17"/>
      <c r="NQO205" s="17"/>
      <c r="NQP205" s="17"/>
      <c r="NQQ205" s="17"/>
      <c r="NQR205" s="17"/>
      <c r="NQS205" s="17"/>
      <c r="NQT205" s="17"/>
      <c r="NQU205" s="17"/>
      <c r="NQV205" s="17"/>
      <c r="NQW205" s="17"/>
      <c r="NQX205" s="17"/>
      <c r="NQY205" s="17"/>
      <c r="NQZ205" s="17"/>
      <c r="NRA205" s="17"/>
      <c r="NRB205" s="17"/>
      <c r="NRC205" s="17"/>
      <c r="NRD205" s="17"/>
      <c r="NRE205" s="17"/>
      <c r="NRF205" s="17"/>
      <c r="NRG205" s="17"/>
      <c r="NRH205" s="17"/>
      <c r="NRI205" s="17"/>
      <c r="NRJ205" s="17"/>
      <c r="NRK205" s="17"/>
      <c r="NRL205" s="17"/>
      <c r="NRM205" s="17"/>
      <c r="NRN205" s="17"/>
      <c r="NRO205" s="17"/>
      <c r="NRP205" s="17"/>
      <c r="NRQ205" s="17"/>
      <c r="NRR205" s="17"/>
      <c r="NRS205" s="17"/>
      <c r="NRT205" s="17"/>
      <c r="NRU205" s="17"/>
      <c r="NRV205" s="17"/>
      <c r="NRW205" s="17"/>
      <c r="NRX205" s="17"/>
      <c r="NRY205" s="17"/>
      <c r="NRZ205" s="17"/>
      <c r="NSA205" s="17"/>
      <c r="NSB205" s="17"/>
      <c r="NSC205" s="17"/>
      <c r="NSD205" s="17"/>
      <c r="NSE205" s="17"/>
      <c r="NSF205" s="17"/>
      <c r="NSG205" s="17"/>
      <c r="NSH205" s="17"/>
      <c r="NSI205" s="17"/>
      <c r="NSJ205" s="17"/>
      <c r="NSK205" s="17"/>
      <c r="NSL205" s="17"/>
      <c r="NSM205" s="17"/>
      <c r="NSN205" s="17"/>
      <c r="NSO205" s="17"/>
      <c r="NSP205" s="17"/>
      <c r="NSQ205" s="17"/>
      <c r="NSR205" s="17"/>
      <c r="NSS205" s="17"/>
      <c r="NST205" s="17"/>
      <c r="NSU205" s="17"/>
      <c r="NSV205" s="17"/>
      <c r="NSW205" s="17"/>
      <c r="NSX205" s="17"/>
      <c r="NSY205" s="17"/>
      <c r="NSZ205" s="17"/>
      <c r="NTA205" s="17"/>
      <c r="NTB205" s="17"/>
      <c r="NTC205" s="17"/>
      <c r="NTD205" s="17"/>
      <c r="NTE205" s="17"/>
      <c r="NTF205" s="17"/>
      <c r="NTG205" s="17"/>
      <c r="NTH205" s="17"/>
      <c r="NTI205" s="17"/>
      <c r="NTJ205" s="17"/>
      <c r="NTK205" s="17"/>
      <c r="NTL205" s="17"/>
      <c r="NTM205" s="17"/>
      <c r="NTN205" s="17"/>
      <c r="NTO205" s="17"/>
      <c r="NTP205" s="17"/>
      <c r="NTQ205" s="17"/>
      <c r="NTR205" s="17"/>
      <c r="NTS205" s="17"/>
      <c r="NTT205" s="17"/>
      <c r="NTU205" s="17"/>
      <c r="NTV205" s="17"/>
      <c r="NTW205" s="17"/>
      <c r="NTX205" s="17"/>
      <c r="NTY205" s="17"/>
      <c r="NTZ205" s="17"/>
      <c r="NUA205" s="17"/>
      <c r="NUB205" s="17"/>
      <c r="NUC205" s="17"/>
      <c r="NUD205" s="17"/>
      <c r="NUE205" s="17"/>
      <c r="NUF205" s="17"/>
      <c r="NUG205" s="17"/>
      <c r="NUH205" s="17"/>
      <c r="NUI205" s="17"/>
      <c r="NUJ205" s="17"/>
      <c r="NUK205" s="17"/>
      <c r="NUL205" s="17"/>
      <c r="NUM205" s="17"/>
      <c r="NUN205" s="17"/>
      <c r="NUO205" s="17"/>
      <c r="NUP205" s="17"/>
      <c r="NUQ205" s="17"/>
      <c r="NUR205" s="17"/>
      <c r="NUS205" s="17"/>
      <c r="NUT205" s="17"/>
      <c r="NUU205" s="17"/>
      <c r="NUV205" s="17"/>
      <c r="NUW205" s="17"/>
      <c r="NUX205" s="17"/>
      <c r="NUY205" s="17"/>
      <c r="NUZ205" s="17"/>
      <c r="NVA205" s="17"/>
      <c r="NVB205" s="17"/>
      <c r="NVC205" s="17"/>
      <c r="NVD205" s="17"/>
      <c r="NVE205" s="17"/>
      <c r="NVF205" s="17"/>
      <c r="NVG205" s="17"/>
      <c r="NVH205" s="17"/>
      <c r="NVI205" s="17"/>
      <c r="NVJ205" s="17"/>
      <c r="NVK205" s="17"/>
      <c r="NVL205" s="17"/>
      <c r="NVM205" s="17"/>
      <c r="NVN205" s="17"/>
      <c r="NVO205" s="17"/>
      <c r="NVP205" s="17"/>
      <c r="NVQ205" s="17"/>
      <c r="NVR205" s="17"/>
      <c r="NVS205" s="17"/>
      <c r="NVT205" s="17"/>
      <c r="NVU205" s="17"/>
      <c r="NVV205" s="17"/>
      <c r="NVW205" s="17"/>
      <c r="NVX205" s="17"/>
      <c r="NVY205" s="17"/>
      <c r="NVZ205" s="17"/>
      <c r="NWA205" s="17"/>
      <c r="NWB205" s="17"/>
      <c r="NWC205" s="17"/>
      <c r="NWD205" s="17"/>
      <c r="NWE205" s="17"/>
      <c r="NWF205" s="17"/>
      <c r="NWG205" s="17"/>
      <c r="NWH205" s="17"/>
      <c r="NWI205" s="17"/>
      <c r="NWJ205" s="17"/>
      <c r="NWK205" s="17"/>
      <c r="NWL205" s="17"/>
      <c r="NWM205" s="17"/>
      <c r="NWN205" s="17"/>
      <c r="NWO205" s="17"/>
      <c r="NWP205" s="17"/>
      <c r="NWQ205" s="17"/>
      <c r="NWR205" s="17"/>
      <c r="NWS205" s="17"/>
      <c r="NWT205" s="17"/>
      <c r="NWU205" s="17"/>
      <c r="NWV205" s="17"/>
      <c r="NWW205" s="17"/>
      <c r="NWX205" s="17"/>
      <c r="NWY205" s="17"/>
      <c r="NWZ205" s="17"/>
      <c r="NXA205" s="17"/>
      <c r="NXB205" s="17"/>
      <c r="NXC205" s="17"/>
      <c r="NXD205" s="17"/>
      <c r="NXE205" s="17"/>
      <c r="NXF205" s="17"/>
      <c r="NXG205" s="17"/>
      <c r="NXH205" s="17"/>
      <c r="NXI205" s="17"/>
      <c r="NXJ205" s="17"/>
      <c r="NXK205" s="17"/>
      <c r="NXL205" s="17"/>
      <c r="NXM205" s="17"/>
      <c r="NXN205" s="17"/>
      <c r="NXO205" s="17"/>
      <c r="NXP205" s="17"/>
      <c r="NXQ205" s="17"/>
      <c r="NXR205" s="17"/>
      <c r="NXS205" s="17"/>
      <c r="NXT205" s="17"/>
      <c r="NXU205" s="17"/>
      <c r="NXV205" s="17"/>
      <c r="NXW205" s="17"/>
      <c r="NXX205" s="17"/>
      <c r="NXY205" s="17"/>
      <c r="NXZ205" s="17"/>
      <c r="NYA205" s="17"/>
      <c r="NYB205" s="17"/>
      <c r="NYC205" s="17"/>
      <c r="NYD205" s="17"/>
      <c r="NYE205" s="17"/>
      <c r="NYF205" s="17"/>
      <c r="NYG205" s="17"/>
      <c r="NYH205" s="17"/>
      <c r="NYI205" s="17"/>
      <c r="NYJ205" s="17"/>
      <c r="NYK205" s="17"/>
      <c r="NYL205" s="17"/>
      <c r="NYM205" s="17"/>
      <c r="NYN205" s="17"/>
      <c r="NYO205" s="17"/>
      <c r="NYP205" s="17"/>
      <c r="NYQ205" s="17"/>
      <c r="NYR205" s="17"/>
      <c r="NYS205" s="17"/>
      <c r="NYT205" s="17"/>
      <c r="NYU205" s="17"/>
      <c r="NYV205" s="17"/>
      <c r="NYW205" s="17"/>
      <c r="NYX205" s="17"/>
      <c r="NYY205" s="17"/>
      <c r="NYZ205" s="17"/>
      <c r="NZA205" s="17"/>
      <c r="NZB205" s="17"/>
      <c r="NZC205" s="17"/>
      <c r="NZD205" s="17"/>
      <c r="NZE205" s="17"/>
      <c r="NZF205" s="17"/>
      <c r="NZG205" s="17"/>
      <c r="NZH205" s="17"/>
      <c r="NZI205" s="17"/>
      <c r="NZJ205" s="17"/>
      <c r="NZK205" s="17"/>
      <c r="NZL205" s="17"/>
      <c r="NZM205" s="17"/>
      <c r="NZN205" s="17"/>
      <c r="NZO205" s="17"/>
      <c r="NZP205" s="17"/>
      <c r="NZQ205" s="17"/>
      <c r="NZR205" s="17"/>
      <c r="NZS205" s="17"/>
      <c r="NZT205" s="17"/>
      <c r="NZU205" s="17"/>
      <c r="NZV205" s="17"/>
      <c r="NZW205" s="17"/>
      <c r="NZX205" s="17"/>
      <c r="NZY205" s="17"/>
      <c r="NZZ205" s="17"/>
      <c r="OAA205" s="17"/>
      <c r="OAB205" s="17"/>
      <c r="OAC205" s="17"/>
      <c r="OAD205" s="17"/>
      <c r="OAE205" s="17"/>
      <c r="OAF205" s="17"/>
      <c r="OAG205" s="17"/>
      <c r="OAH205" s="17"/>
      <c r="OAI205" s="17"/>
      <c r="OAJ205" s="17"/>
      <c r="OAK205" s="17"/>
      <c r="OAL205" s="17"/>
      <c r="OAM205" s="17"/>
      <c r="OAN205" s="17"/>
      <c r="OAO205" s="17"/>
      <c r="OAP205" s="17"/>
      <c r="OAQ205" s="17"/>
      <c r="OAR205" s="17"/>
      <c r="OAS205" s="17"/>
      <c r="OAT205" s="17"/>
      <c r="OAU205" s="17"/>
      <c r="OAV205" s="17"/>
      <c r="OAW205" s="17"/>
      <c r="OAX205" s="17"/>
      <c r="OAY205" s="17"/>
      <c r="OAZ205" s="17"/>
      <c r="OBA205" s="17"/>
      <c r="OBB205" s="17"/>
      <c r="OBC205" s="17"/>
      <c r="OBD205" s="17"/>
      <c r="OBE205" s="17"/>
      <c r="OBF205" s="17"/>
      <c r="OBG205" s="17"/>
      <c r="OBH205" s="17"/>
      <c r="OBI205" s="17"/>
      <c r="OBJ205" s="17"/>
      <c r="OBK205" s="17"/>
      <c r="OBL205" s="17"/>
      <c r="OBM205" s="17"/>
      <c r="OBN205" s="17"/>
      <c r="OBO205" s="17"/>
      <c r="OBP205" s="17"/>
      <c r="OBQ205" s="17"/>
      <c r="OBR205" s="17"/>
      <c r="OBS205" s="17"/>
      <c r="OBT205" s="17"/>
      <c r="OBU205" s="17"/>
      <c r="OBV205" s="17"/>
      <c r="OBW205" s="17"/>
      <c r="OBX205" s="17"/>
      <c r="OBY205" s="17"/>
      <c r="OBZ205" s="17"/>
      <c r="OCA205" s="17"/>
      <c r="OCB205" s="17"/>
      <c r="OCC205" s="17"/>
      <c r="OCD205" s="17"/>
      <c r="OCE205" s="17"/>
      <c r="OCF205" s="17"/>
      <c r="OCG205" s="17"/>
      <c r="OCH205" s="17"/>
      <c r="OCI205" s="17"/>
      <c r="OCJ205" s="17"/>
      <c r="OCK205" s="17"/>
      <c r="OCL205" s="17"/>
      <c r="OCM205" s="17"/>
      <c r="OCN205" s="17"/>
      <c r="OCO205" s="17"/>
      <c r="OCP205" s="17"/>
      <c r="OCQ205" s="17"/>
      <c r="OCR205" s="17"/>
      <c r="OCS205" s="17"/>
      <c r="OCT205" s="17"/>
      <c r="OCU205" s="17"/>
      <c r="OCV205" s="17"/>
      <c r="OCW205" s="17"/>
      <c r="OCX205" s="17"/>
      <c r="OCY205" s="17"/>
      <c r="OCZ205" s="17"/>
      <c r="ODA205" s="17"/>
      <c r="ODB205" s="17"/>
      <c r="ODC205" s="17"/>
      <c r="ODD205" s="17"/>
      <c r="ODE205" s="17"/>
      <c r="ODF205" s="17"/>
      <c r="ODG205" s="17"/>
      <c r="ODH205" s="17"/>
      <c r="ODI205" s="17"/>
      <c r="ODJ205" s="17"/>
      <c r="ODK205" s="17"/>
      <c r="ODL205" s="17"/>
      <c r="ODM205" s="17"/>
      <c r="ODN205" s="17"/>
      <c r="ODO205" s="17"/>
      <c r="ODP205" s="17"/>
      <c r="ODQ205" s="17"/>
      <c r="ODR205" s="17"/>
      <c r="ODS205" s="17"/>
      <c r="ODT205" s="17"/>
      <c r="ODU205" s="17"/>
      <c r="ODV205" s="17"/>
      <c r="ODW205" s="17"/>
      <c r="ODX205" s="17"/>
      <c r="ODY205" s="17"/>
      <c r="ODZ205" s="17"/>
      <c r="OEA205" s="17"/>
      <c r="OEB205" s="17"/>
      <c r="OEC205" s="17"/>
      <c r="OED205" s="17"/>
      <c r="OEE205" s="17"/>
      <c r="OEF205" s="17"/>
      <c r="OEG205" s="17"/>
      <c r="OEH205" s="17"/>
      <c r="OEI205" s="17"/>
      <c r="OEJ205" s="17"/>
      <c r="OEK205" s="17"/>
      <c r="OEL205" s="17"/>
      <c r="OEM205" s="17"/>
      <c r="OEN205" s="17"/>
      <c r="OEO205" s="17"/>
      <c r="OEP205" s="17"/>
      <c r="OEQ205" s="17"/>
      <c r="OER205" s="17"/>
      <c r="OES205" s="17"/>
      <c r="OET205" s="17"/>
      <c r="OEU205" s="17"/>
      <c r="OEV205" s="17"/>
      <c r="OEW205" s="17"/>
      <c r="OEX205" s="17"/>
      <c r="OEY205" s="17"/>
      <c r="OEZ205" s="17"/>
      <c r="OFA205" s="17"/>
      <c r="OFB205" s="17"/>
      <c r="OFC205" s="17"/>
      <c r="OFD205" s="17"/>
      <c r="OFE205" s="17"/>
      <c r="OFF205" s="17"/>
      <c r="OFG205" s="17"/>
      <c r="OFH205" s="17"/>
      <c r="OFI205" s="17"/>
      <c r="OFJ205" s="17"/>
      <c r="OFK205" s="17"/>
      <c r="OFL205" s="17"/>
      <c r="OFM205" s="17"/>
      <c r="OFN205" s="17"/>
      <c r="OFO205" s="17"/>
      <c r="OFP205" s="17"/>
      <c r="OFQ205" s="17"/>
      <c r="OFR205" s="17"/>
      <c r="OFS205" s="17"/>
      <c r="OFT205" s="17"/>
      <c r="OFU205" s="17"/>
      <c r="OFV205" s="17"/>
      <c r="OFW205" s="17"/>
      <c r="OFX205" s="17"/>
      <c r="OFY205" s="17"/>
      <c r="OFZ205" s="17"/>
      <c r="OGA205" s="17"/>
      <c r="OGB205" s="17"/>
      <c r="OGC205" s="17"/>
      <c r="OGD205" s="17"/>
      <c r="OGE205" s="17"/>
      <c r="OGF205" s="17"/>
      <c r="OGG205" s="17"/>
      <c r="OGH205" s="17"/>
      <c r="OGI205" s="17"/>
      <c r="OGJ205" s="17"/>
      <c r="OGK205" s="17"/>
      <c r="OGL205" s="17"/>
      <c r="OGM205" s="17"/>
      <c r="OGN205" s="17"/>
      <c r="OGO205" s="17"/>
      <c r="OGP205" s="17"/>
      <c r="OGQ205" s="17"/>
      <c r="OGR205" s="17"/>
      <c r="OGS205" s="17"/>
      <c r="OGT205" s="17"/>
      <c r="OGU205" s="17"/>
      <c r="OGV205" s="17"/>
      <c r="OGW205" s="17"/>
      <c r="OGX205" s="17"/>
      <c r="OGY205" s="17"/>
      <c r="OGZ205" s="17"/>
      <c r="OHA205" s="17"/>
      <c r="OHB205" s="17"/>
      <c r="OHC205" s="17"/>
      <c r="OHD205" s="17"/>
      <c r="OHE205" s="17"/>
      <c r="OHF205" s="17"/>
      <c r="OHG205" s="17"/>
      <c r="OHH205" s="17"/>
      <c r="OHI205" s="17"/>
      <c r="OHJ205" s="17"/>
      <c r="OHK205" s="17"/>
      <c r="OHL205" s="17"/>
      <c r="OHM205" s="17"/>
      <c r="OHN205" s="17"/>
      <c r="OHO205" s="17"/>
      <c r="OHP205" s="17"/>
      <c r="OHQ205" s="17"/>
      <c r="OHR205" s="17"/>
      <c r="OHS205" s="17"/>
      <c r="OHT205" s="17"/>
      <c r="OHU205" s="17"/>
      <c r="OHV205" s="17"/>
      <c r="OHW205" s="17"/>
      <c r="OHX205" s="17"/>
      <c r="OHY205" s="17"/>
      <c r="OHZ205" s="17"/>
      <c r="OIA205" s="17"/>
      <c r="OIB205" s="17"/>
      <c r="OIC205" s="17"/>
      <c r="OID205" s="17"/>
      <c r="OIE205" s="17"/>
      <c r="OIF205" s="17"/>
      <c r="OIG205" s="17"/>
      <c r="OIH205" s="17"/>
      <c r="OII205" s="17"/>
      <c r="OIJ205" s="17"/>
      <c r="OIK205" s="17"/>
      <c r="OIL205" s="17"/>
      <c r="OIM205" s="17"/>
      <c r="OIN205" s="17"/>
      <c r="OIO205" s="17"/>
      <c r="OIP205" s="17"/>
      <c r="OIQ205" s="17"/>
      <c r="OIR205" s="17"/>
      <c r="OIS205" s="17"/>
      <c r="OIT205" s="17"/>
      <c r="OIU205" s="17"/>
      <c r="OIV205" s="17"/>
      <c r="OIW205" s="17"/>
      <c r="OIX205" s="17"/>
      <c r="OIY205" s="17"/>
      <c r="OIZ205" s="17"/>
      <c r="OJA205" s="17"/>
      <c r="OJB205" s="17"/>
      <c r="OJC205" s="17"/>
      <c r="OJD205" s="17"/>
      <c r="OJE205" s="17"/>
      <c r="OJF205" s="17"/>
      <c r="OJG205" s="17"/>
      <c r="OJH205" s="17"/>
      <c r="OJI205" s="17"/>
      <c r="OJJ205" s="17"/>
      <c r="OJK205" s="17"/>
      <c r="OJL205" s="17"/>
      <c r="OJM205" s="17"/>
      <c r="OJN205" s="17"/>
      <c r="OJO205" s="17"/>
      <c r="OJP205" s="17"/>
      <c r="OJQ205" s="17"/>
      <c r="OJR205" s="17"/>
      <c r="OJS205" s="17"/>
      <c r="OJT205" s="17"/>
      <c r="OJU205" s="17"/>
      <c r="OJV205" s="17"/>
      <c r="OJW205" s="17"/>
      <c r="OJX205" s="17"/>
      <c r="OJY205" s="17"/>
      <c r="OJZ205" s="17"/>
      <c r="OKA205" s="17"/>
      <c r="OKB205" s="17"/>
      <c r="OKC205" s="17"/>
      <c r="OKD205" s="17"/>
      <c r="OKE205" s="17"/>
      <c r="OKF205" s="17"/>
      <c r="OKG205" s="17"/>
      <c r="OKH205" s="17"/>
      <c r="OKI205" s="17"/>
      <c r="OKJ205" s="17"/>
      <c r="OKK205" s="17"/>
      <c r="OKL205" s="17"/>
      <c r="OKM205" s="17"/>
      <c r="OKN205" s="17"/>
      <c r="OKO205" s="17"/>
      <c r="OKP205" s="17"/>
      <c r="OKQ205" s="17"/>
      <c r="OKR205" s="17"/>
      <c r="OKS205" s="17"/>
      <c r="OKT205" s="17"/>
      <c r="OKU205" s="17"/>
      <c r="OKV205" s="17"/>
      <c r="OKW205" s="17"/>
      <c r="OKX205" s="17"/>
      <c r="OKY205" s="17"/>
      <c r="OKZ205" s="17"/>
      <c r="OLA205" s="17"/>
      <c r="OLB205" s="17"/>
      <c r="OLC205" s="17"/>
      <c r="OLD205" s="17"/>
      <c r="OLE205" s="17"/>
      <c r="OLF205" s="17"/>
      <c r="OLG205" s="17"/>
      <c r="OLH205" s="17"/>
      <c r="OLI205" s="17"/>
      <c r="OLJ205" s="17"/>
      <c r="OLK205" s="17"/>
      <c r="OLL205" s="17"/>
      <c r="OLM205" s="17"/>
      <c r="OLN205" s="17"/>
      <c r="OLO205" s="17"/>
      <c r="OLP205" s="17"/>
      <c r="OLQ205" s="17"/>
      <c r="OLR205" s="17"/>
      <c r="OLS205" s="17"/>
      <c r="OLT205" s="17"/>
      <c r="OLU205" s="17"/>
      <c r="OLV205" s="17"/>
      <c r="OLW205" s="17"/>
      <c r="OLX205" s="17"/>
      <c r="OLY205" s="17"/>
      <c r="OLZ205" s="17"/>
      <c r="OMA205" s="17"/>
      <c r="OMB205" s="17"/>
      <c r="OMC205" s="17"/>
      <c r="OMD205" s="17"/>
      <c r="OME205" s="17"/>
      <c r="OMF205" s="17"/>
      <c r="OMG205" s="17"/>
      <c r="OMH205" s="17"/>
      <c r="OMI205" s="17"/>
      <c r="OMJ205" s="17"/>
      <c r="OMK205" s="17"/>
      <c r="OML205" s="17"/>
      <c r="OMM205" s="17"/>
      <c r="OMN205" s="17"/>
      <c r="OMO205" s="17"/>
      <c r="OMP205" s="17"/>
      <c r="OMQ205" s="17"/>
      <c r="OMR205" s="17"/>
      <c r="OMS205" s="17"/>
      <c r="OMT205" s="17"/>
      <c r="OMU205" s="17"/>
      <c r="OMV205" s="17"/>
      <c r="OMW205" s="17"/>
      <c r="OMX205" s="17"/>
      <c r="OMY205" s="17"/>
      <c r="OMZ205" s="17"/>
      <c r="ONA205" s="17"/>
      <c r="ONB205" s="17"/>
      <c r="ONC205" s="17"/>
      <c r="OND205" s="17"/>
      <c r="ONE205" s="17"/>
      <c r="ONF205" s="17"/>
      <c r="ONG205" s="17"/>
      <c r="ONH205" s="17"/>
      <c r="ONI205" s="17"/>
      <c r="ONJ205" s="17"/>
      <c r="ONK205" s="17"/>
      <c r="ONL205" s="17"/>
      <c r="ONM205" s="17"/>
      <c r="ONN205" s="17"/>
      <c r="ONO205" s="17"/>
      <c r="ONP205" s="17"/>
      <c r="ONQ205" s="17"/>
      <c r="ONR205" s="17"/>
      <c r="ONS205" s="17"/>
      <c r="ONT205" s="17"/>
      <c r="ONU205" s="17"/>
      <c r="ONV205" s="17"/>
      <c r="ONW205" s="17"/>
      <c r="ONX205" s="17"/>
      <c r="ONY205" s="17"/>
      <c r="ONZ205" s="17"/>
      <c r="OOA205" s="17"/>
      <c r="OOB205" s="17"/>
      <c r="OOC205" s="17"/>
      <c r="OOD205" s="17"/>
      <c r="OOE205" s="17"/>
      <c r="OOF205" s="17"/>
      <c r="OOG205" s="17"/>
      <c r="OOH205" s="17"/>
      <c r="OOI205" s="17"/>
      <c r="OOJ205" s="17"/>
      <c r="OOK205" s="17"/>
      <c r="OOL205" s="17"/>
      <c r="OOM205" s="17"/>
      <c r="OON205" s="17"/>
      <c r="OOO205" s="17"/>
      <c r="OOP205" s="17"/>
      <c r="OOQ205" s="17"/>
      <c r="OOR205" s="17"/>
      <c r="OOS205" s="17"/>
      <c r="OOT205" s="17"/>
      <c r="OOU205" s="17"/>
      <c r="OOV205" s="17"/>
      <c r="OOW205" s="17"/>
      <c r="OOX205" s="17"/>
      <c r="OOY205" s="17"/>
      <c r="OOZ205" s="17"/>
      <c r="OPA205" s="17"/>
      <c r="OPB205" s="17"/>
      <c r="OPC205" s="17"/>
      <c r="OPD205" s="17"/>
      <c r="OPE205" s="17"/>
      <c r="OPF205" s="17"/>
      <c r="OPG205" s="17"/>
      <c r="OPH205" s="17"/>
      <c r="OPI205" s="17"/>
      <c r="OPJ205" s="17"/>
      <c r="OPK205" s="17"/>
      <c r="OPL205" s="17"/>
      <c r="OPM205" s="17"/>
      <c r="OPN205" s="17"/>
      <c r="OPO205" s="17"/>
      <c r="OPP205" s="17"/>
      <c r="OPQ205" s="17"/>
      <c r="OPR205" s="17"/>
      <c r="OPS205" s="17"/>
      <c r="OPT205" s="17"/>
      <c r="OPU205" s="17"/>
      <c r="OPV205" s="17"/>
      <c r="OPW205" s="17"/>
      <c r="OPX205" s="17"/>
      <c r="OPY205" s="17"/>
      <c r="OPZ205" s="17"/>
      <c r="OQA205" s="17"/>
      <c r="OQB205" s="17"/>
      <c r="OQC205" s="17"/>
      <c r="OQD205" s="17"/>
      <c r="OQE205" s="17"/>
      <c r="OQF205" s="17"/>
      <c r="OQG205" s="17"/>
      <c r="OQH205" s="17"/>
      <c r="OQI205" s="17"/>
      <c r="OQJ205" s="17"/>
      <c r="OQK205" s="17"/>
      <c r="OQL205" s="17"/>
      <c r="OQM205" s="17"/>
      <c r="OQN205" s="17"/>
      <c r="OQO205" s="17"/>
      <c r="OQP205" s="17"/>
      <c r="OQQ205" s="17"/>
      <c r="OQR205" s="17"/>
      <c r="OQS205" s="17"/>
      <c r="OQT205" s="17"/>
      <c r="OQU205" s="17"/>
      <c r="OQV205" s="17"/>
      <c r="OQW205" s="17"/>
      <c r="OQX205" s="17"/>
      <c r="OQY205" s="17"/>
      <c r="OQZ205" s="17"/>
      <c r="ORA205" s="17"/>
      <c r="ORB205" s="17"/>
      <c r="ORC205" s="17"/>
      <c r="ORD205" s="17"/>
      <c r="ORE205" s="17"/>
      <c r="ORF205" s="17"/>
      <c r="ORG205" s="17"/>
      <c r="ORH205" s="17"/>
      <c r="ORI205" s="17"/>
      <c r="ORJ205" s="17"/>
      <c r="ORK205" s="17"/>
      <c r="ORL205" s="17"/>
      <c r="ORM205" s="17"/>
      <c r="ORN205" s="17"/>
      <c r="ORO205" s="17"/>
      <c r="ORP205" s="17"/>
      <c r="ORQ205" s="17"/>
      <c r="ORR205" s="17"/>
      <c r="ORS205" s="17"/>
      <c r="ORT205" s="17"/>
      <c r="ORU205" s="17"/>
      <c r="ORV205" s="17"/>
      <c r="ORW205" s="17"/>
      <c r="ORX205" s="17"/>
      <c r="ORY205" s="17"/>
      <c r="ORZ205" s="17"/>
      <c r="OSA205" s="17"/>
      <c r="OSB205" s="17"/>
      <c r="OSC205" s="17"/>
      <c r="OSD205" s="17"/>
      <c r="OSE205" s="17"/>
      <c r="OSF205" s="17"/>
      <c r="OSG205" s="17"/>
      <c r="OSH205" s="17"/>
      <c r="OSI205" s="17"/>
      <c r="OSJ205" s="17"/>
      <c r="OSK205" s="17"/>
      <c r="OSL205" s="17"/>
      <c r="OSM205" s="17"/>
      <c r="OSN205" s="17"/>
      <c r="OSO205" s="17"/>
      <c r="OSP205" s="17"/>
      <c r="OSQ205" s="17"/>
      <c r="OSR205" s="17"/>
      <c r="OSS205" s="17"/>
      <c r="OST205" s="17"/>
      <c r="OSU205" s="17"/>
      <c r="OSV205" s="17"/>
      <c r="OSW205" s="17"/>
      <c r="OSX205" s="17"/>
      <c r="OSY205" s="17"/>
      <c r="OSZ205" s="17"/>
      <c r="OTA205" s="17"/>
      <c r="OTB205" s="17"/>
      <c r="OTC205" s="17"/>
      <c r="OTD205" s="17"/>
      <c r="OTE205" s="17"/>
      <c r="OTF205" s="17"/>
      <c r="OTG205" s="17"/>
      <c r="OTH205" s="17"/>
      <c r="OTI205" s="17"/>
      <c r="OTJ205" s="17"/>
      <c r="OTK205" s="17"/>
      <c r="OTL205" s="17"/>
      <c r="OTM205" s="17"/>
      <c r="OTN205" s="17"/>
      <c r="OTO205" s="17"/>
      <c r="OTP205" s="17"/>
      <c r="OTQ205" s="17"/>
      <c r="OTR205" s="17"/>
      <c r="OTS205" s="17"/>
      <c r="OTT205" s="17"/>
      <c r="OTU205" s="17"/>
      <c r="OTV205" s="17"/>
      <c r="OTW205" s="17"/>
      <c r="OTX205" s="17"/>
      <c r="OTY205" s="17"/>
      <c r="OTZ205" s="17"/>
      <c r="OUA205" s="17"/>
      <c r="OUB205" s="17"/>
      <c r="OUC205" s="17"/>
      <c r="OUD205" s="17"/>
      <c r="OUE205" s="17"/>
      <c r="OUF205" s="17"/>
      <c r="OUG205" s="17"/>
      <c r="OUH205" s="17"/>
      <c r="OUI205" s="17"/>
      <c r="OUJ205" s="17"/>
      <c r="OUK205" s="17"/>
      <c r="OUL205" s="17"/>
      <c r="OUM205" s="17"/>
      <c r="OUN205" s="17"/>
      <c r="OUO205" s="17"/>
      <c r="OUP205" s="17"/>
      <c r="OUQ205" s="17"/>
      <c r="OUR205" s="17"/>
      <c r="OUS205" s="17"/>
      <c r="OUT205" s="17"/>
      <c r="OUU205" s="17"/>
      <c r="OUV205" s="17"/>
      <c r="OUW205" s="17"/>
      <c r="OUX205" s="17"/>
      <c r="OUY205" s="17"/>
      <c r="OUZ205" s="17"/>
      <c r="OVA205" s="17"/>
      <c r="OVB205" s="17"/>
      <c r="OVC205" s="17"/>
      <c r="OVD205" s="17"/>
      <c r="OVE205" s="17"/>
      <c r="OVF205" s="17"/>
      <c r="OVG205" s="17"/>
      <c r="OVH205" s="17"/>
      <c r="OVI205" s="17"/>
      <c r="OVJ205" s="17"/>
      <c r="OVK205" s="17"/>
      <c r="OVL205" s="17"/>
      <c r="OVM205" s="17"/>
      <c r="OVN205" s="17"/>
      <c r="OVO205" s="17"/>
      <c r="OVP205" s="17"/>
      <c r="OVQ205" s="17"/>
      <c r="OVR205" s="17"/>
      <c r="OVS205" s="17"/>
      <c r="OVT205" s="17"/>
      <c r="OVU205" s="17"/>
      <c r="OVV205" s="17"/>
      <c r="OVW205" s="17"/>
      <c r="OVX205" s="17"/>
      <c r="OVY205" s="17"/>
      <c r="OVZ205" s="17"/>
      <c r="OWA205" s="17"/>
      <c r="OWB205" s="17"/>
      <c r="OWC205" s="17"/>
      <c r="OWD205" s="17"/>
      <c r="OWE205" s="17"/>
      <c r="OWF205" s="17"/>
      <c r="OWG205" s="17"/>
      <c r="OWH205" s="17"/>
      <c r="OWI205" s="17"/>
      <c r="OWJ205" s="17"/>
      <c r="OWK205" s="17"/>
      <c r="OWL205" s="17"/>
      <c r="OWM205" s="17"/>
      <c r="OWN205" s="17"/>
      <c r="OWO205" s="17"/>
      <c r="OWP205" s="17"/>
      <c r="OWQ205" s="17"/>
      <c r="OWR205" s="17"/>
      <c r="OWS205" s="17"/>
      <c r="OWT205" s="17"/>
      <c r="OWU205" s="17"/>
      <c r="OWV205" s="17"/>
      <c r="OWW205" s="17"/>
      <c r="OWX205" s="17"/>
      <c r="OWY205" s="17"/>
      <c r="OWZ205" s="17"/>
      <c r="OXA205" s="17"/>
      <c r="OXB205" s="17"/>
      <c r="OXC205" s="17"/>
      <c r="OXD205" s="17"/>
      <c r="OXE205" s="17"/>
      <c r="OXF205" s="17"/>
      <c r="OXG205" s="17"/>
      <c r="OXH205" s="17"/>
      <c r="OXI205" s="17"/>
      <c r="OXJ205" s="17"/>
      <c r="OXK205" s="17"/>
      <c r="OXL205" s="17"/>
      <c r="OXM205" s="17"/>
      <c r="OXN205" s="17"/>
      <c r="OXO205" s="17"/>
      <c r="OXP205" s="17"/>
      <c r="OXQ205" s="17"/>
      <c r="OXR205" s="17"/>
      <c r="OXS205" s="17"/>
      <c r="OXT205" s="17"/>
      <c r="OXU205" s="17"/>
      <c r="OXV205" s="17"/>
      <c r="OXW205" s="17"/>
      <c r="OXX205" s="17"/>
      <c r="OXY205" s="17"/>
      <c r="OXZ205" s="17"/>
      <c r="OYA205" s="17"/>
      <c r="OYB205" s="17"/>
      <c r="OYC205" s="17"/>
      <c r="OYD205" s="17"/>
      <c r="OYE205" s="17"/>
      <c r="OYF205" s="17"/>
      <c r="OYG205" s="17"/>
      <c r="OYH205" s="17"/>
      <c r="OYI205" s="17"/>
      <c r="OYJ205" s="17"/>
      <c r="OYK205" s="17"/>
      <c r="OYL205" s="17"/>
      <c r="OYM205" s="17"/>
      <c r="OYN205" s="17"/>
      <c r="OYO205" s="17"/>
      <c r="OYP205" s="17"/>
      <c r="OYQ205" s="17"/>
      <c r="OYR205" s="17"/>
      <c r="OYS205" s="17"/>
      <c r="OYT205" s="17"/>
      <c r="OYU205" s="17"/>
      <c r="OYV205" s="17"/>
      <c r="OYW205" s="17"/>
      <c r="OYX205" s="17"/>
      <c r="OYY205" s="17"/>
      <c r="OYZ205" s="17"/>
      <c r="OZA205" s="17"/>
      <c r="OZB205" s="17"/>
      <c r="OZC205" s="17"/>
      <c r="OZD205" s="17"/>
      <c r="OZE205" s="17"/>
      <c r="OZF205" s="17"/>
      <c r="OZG205" s="17"/>
      <c r="OZH205" s="17"/>
      <c r="OZI205" s="17"/>
      <c r="OZJ205" s="17"/>
      <c r="OZK205" s="17"/>
      <c r="OZL205" s="17"/>
      <c r="OZM205" s="17"/>
      <c r="OZN205" s="17"/>
      <c r="OZO205" s="17"/>
      <c r="OZP205" s="17"/>
      <c r="OZQ205" s="17"/>
      <c r="OZR205" s="17"/>
      <c r="OZS205" s="17"/>
      <c r="OZT205" s="17"/>
      <c r="OZU205" s="17"/>
      <c r="OZV205" s="17"/>
      <c r="OZW205" s="17"/>
      <c r="OZX205" s="17"/>
      <c r="OZY205" s="17"/>
      <c r="OZZ205" s="17"/>
      <c r="PAA205" s="17"/>
      <c r="PAB205" s="17"/>
      <c r="PAC205" s="17"/>
      <c r="PAD205" s="17"/>
      <c r="PAE205" s="17"/>
      <c r="PAF205" s="17"/>
      <c r="PAG205" s="17"/>
      <c r="PAH205" s="17"/>
      <c r="PAI205" s="17"/>
      <c r="PAJ205" s="17"/>
      <c r="PAK205" s="17"/>
      <c r="PAL205" s="17"/>
      <c r="PAM205" s="17"/>
      <c r="PAN205" s="17"/>
      <c r="PAO205" s="17"/>
      <c r="PAP205" s="17"/>
      <c r="PAQ205" s="17"/>
      <c r="PAR205" s="17"/>
      <c r="PAS205" s="17"/>
      <c r="PAT205" s="17"/>
      <c r="PAU205" s="17"/>
      <c r="PAV205" s="17"/>
      <c r="PAW205" s="17"/>
      <c r="PAX205" s="17"/>
      <c r="PAY205" s="17"/>
      <c r="PAZ205" s="17"/>
      <c r="PBA205" s="17"/>
      <c r="PBB205" s="17"/>
      <c r="PBC205" s="17"/>
      <c r="PBD205" s="17"/>
      <c r="PBE205" s="17"/>
      <c r="PBF205" s="17"/>
      <c r="PBG205" s="17"/>
      <c r="PBH205" s="17"/>
      <c r="PBI205" s="17"/>
      <c r="PBJ205" s="17"/>
      <c r="PBK205" s="17"/>
      <c r="PBL205" s="17"/>
      <c r="PBM205" s="17"/>
      <c r="PBN205" s="17"/>
      <c r="PBO205" s="17"/>
      <c r="PBP205" s="17"/>
      <c r="PBQ205" s="17"/>
      <c r="PBR205" s="17"/>
      <c r="PBS205" s="17"/>
      <c r="PBT205" s="17"/>
      <c r="PBU205" s="17"/>
      <c r="PBV205" s="17"/>
      <c r="PBW205" s="17"/>
      <c r="PBX205" s="17"/>
      <c r="PBY205" s="17"/>
      <c r="PBZ205" s="17"/>
      <c r="PCA205" s="17"/>
      <c r="PCB205" s="17"/>
      <c r="PCC205" s="17"/>
      <c r="PCD205" s="17"/>
      <c r="PCE205" s="17"/>
      <c r="PCF205" s="17"/>
      <c r="PCG205" s="17"/>
      <c r="PCH205" s="17"/>
      <c r="PCI205" s="17"/>
      <c r="PCJ205" s="17"/>
      <c r="PCK205" s="17"/>
      <c r="PCL205" s="17"/>
      <c r="PCM205" s="17"/>
      <c r="PCN205" s="17"/>
      <c r="PCO205" s="17"/>
      <c r="PCP205" s="17"/>
      <c r="PCQ205" s="17"/>
      <c r="PCR205" s="17"/>
      <c r="PCS205" s="17"/>
      <c r="PCT205" s="17"/>
      <c r="PCU205" s="17"/>
      <c r="PCV205" s="17"/>
      <c r="PCW205" s="17"/>
      <c r="PCX205" s="17"/>
      <c r="PCY205" s="17"/>
      <c r="PCZ205" s="17"/>
      <c r="PDA205" s="17"/>
      <c r="PDB205" s="17"/>
      <c r="PDC205" s="17"/>
      <c r="PDD205" s="17"/>
      <c r="PDE205" s="17"/>
      <c r="PDF205" s="17"/>
      <c r="PDG205" s="17"/>
      <c r="PDH205" s="17"/>
      <c r="PDI205" s="17"/>
      <c r="PDJ205" s="17"/>
      <c r="PDK205" s="17"/>
      <c r="PDL205" s="17"/>
      <c r="PDM205" s="17"/>
      <c r="PDN205" s="17"/>
      <c r="PDO205" s="17"/>
      <c r="PDP205" s="17"/>
      <c r="PDQ205" s="17"/>
      <c r="PDR205" s="17"/>
      <c r="PDS205" s="17"/>
      <c r="PDT205" s="17"/>
      <c r="PDU205" s="17"/>
      <c r="PDV205" s="17"/>
      <c r="PDW205" s="17"/>
      <c r="PDX205" s="17"/>
      <c r="PDY205" s="17"/>
      <c r="PDZ205" s="17"/>
      <c r="PEA205" s="17"/>
      <c r="PEB205" s="17"/>
      <c r="PEC205" s="17"/>
      <c r="PED205" s="17"/>
      <c r="PEE205" s="17"/>
      <c r="PEF205" s="17"/>
      <c r="PEG205" s="17"/>
      <c r="PEH205" s="17"/>
      <c r="PEI205" s="17"/>
      <c r="PEJ205" s="17"/>
      <c r="PEK205" s="17"/>
      <c r="PEL205" s="17"/>
      <c r="PEM205" s="17"/>
      <c r="PEN205" s="17"/>
      <c r="PEO205" s="17"/>
      <c r="PEP205" s="17"/>
      <c r="PEQ205" s="17"/>
      <c r="PER205" s="17"/>
      <c r="PES205" s="17"/>
      <c r="PET205" s="17"/>
      <c r="PEU205" s="17"/>
      <c r="PEV205" s="17"/>
      <c r="PEW205" s="17"/>
      <c r="PEX205" s="17"/>
      <c r="PEY205" s="17"/>
      <c r="PEZ205" s="17"/>
      <c r="PFA205" s="17"/>
      <c r="PFB205" s="17"/>
      <c r="PFC205" s="17"/>
      <c r="PFD205" s="17"/>
      <c r="PFE205" s="17"/>
      <c r="PFF205" s="17"/>
      <c r="PFG205" s="17"/>
      <c r="PFH205" s="17"/>
      <c r="PFI205" s="17"/>
      <c r="PFJ205" s="17"/>
      <c r="PFK205" s="17"/>
      <c r="PFL205" s="17"/>
      <c r="PFM205" s="17"/>
      <c r="PFN205" s="17"/>
      <c r="PFO205" s="17"/>
      <c r="PFP205" s="17"/>
      <c r="PFQ205" s="17"/>
      <c r="PFR205" s="17"/>
      <c r="PFS205" s="17"/>
      <c r="PFT205" s="17"/>
      <c r="PFU205" s="17"/>
      <c r="PFV205" s="17"/>
      <c r="PFW205" s="17"/>
      <c r="PFX205" s="17"/>
      <c r="PFY205" s="17"/>
      <c r="PFZ205" s="17"/>
      <c r="PGA205" s="17"/>
      <c r="PGB205" s="17"/>
      <c r="PGC205" s="17"/>
      <c r="PGD205" s="17"/>
      <c r="PGE205" s="17"/>
      <c r="PGF205" s="17"/>
      <c r="PGG205" s="17"/>
      <c r="PGH205" s="17"/>
      <c r="PGI205" s="17"/>
      <c r="PGJ205" s="17"/>
      <c r="PGK205" s="17"/>
      <c r="PGL205" s="17"/>
      <c r="PGM205" s="17"/>
      <c r="PGN205" s="17"/>
      <c r="PGO205" s="17"/>
      <c r="PGP205" s="17"/>
      <c r="PGQ205" s="17"/>
      <c r="PGR205" s="17"/>
      <c r="PGS205" s="17"/>
      <c r="PGT205" s="17"/>
      <c r="PGU205" s="17"/>
      <c r="PGV205" s="17"/>
      <c r="PGW205" s="17"/>
      <c r="PGX205" s="17"/>
      <c r="PGY205" s="17"/>
      <c r="PGZ205" s="17"/>
      <c r="PHA205" s="17"/>
      <c r="PHB205" s="17"/>
      <c r="PHC205" s="17"/>
      <c r="PHD205" s="17"/>
      <c r="PHE205" s="17"/>
      <c r="PHF205" s="17"/>
      <c r="PHG205" s="17"/>
      <c r="PHH205" s="17"/>
      <c r="PHI205" s="17"/>
      <c r="PHJ205" s="17"/>
      <c r="PHK205" s="17"/>
      <c r="PHL205" s="17"/>
      <c r="PHM205" s="17"/>
      <c r="PHN205" s="17"/>
      <c r="PHO205" s="17"/>
      <c r="PHP205" s="17"/>
      <c r="PHQ205" s="17"/>
      <c r="PHR205" s="17"/>
      <c r="PHS205" s="17"/>
      <c r="PHT205" s="17"/>
      <c r="PHU205" s="17"/>
      <c r="PHV205" s="17"/>
      <c r="PHW205" s="17"/>
      <c r="PHX205" s="17"/>
      <c r="PHY205" s="17"/>
      <c r="PHZ205" s="17"/>
      <c r="PIA205" s="17"/>
      <c r="PIB205" s="17"/>
      <c r="PIC205" s="17"/>
      <c r="PID205" s="17"/>
      <c r="PIE205" s="17"/>
      <c r="PIF205" s="17"/>
      <c r="PIG205" s="17"/>
      <c r="PIH205" s="17"/>
      <c r="PII205" s="17"/>
      <c r="PIJ205" s="17"/>
      <c r="PIK205" s="17"/>
      <c r="PIL205" s="17"/>
      <c r="PIM205" s="17"/>
      <c r="PIN205" s="17"/>
      <c r="PIO205" s="17"/>
      <c r="PIP205" s="17"/>
      <c r="PIQ205" s="17"/>
      <c r="PIR205" s="17"/>
      <c r="PIS205" s="17"/>
      <c r="PIT205" s="17"/>
      <c r="PIU205" s="17"/>
      <c r="PIV205" s="17"/>
      <c r="PIW205" s="17"/>
      <c r="PIX205" s="17"/>
      <c r="PIY205" s="17"/>
      <c r="PIZ205" s="17"/>
      <c r="PJA205" s="17"/>
      <c r="PJB205" s="17"/>
      <c r="PJC205" s="17"/>
      <c r="PJD205" s="17"/>
      <c r="PJE205" s="17"/>
      <c r="PJF205" s="17"/>
      <c r="PJG205" s="17"/>
      <c r="PJH205" s="17"/>
      <c r="PJI205" s="17"/>
      <c r="PJJ205" s="17"/>
      <c r="PJK205" s="17"/>
      <c r="PJL205" s="17"/>
      <c r="PJM205" s="17"/>
      <c r="PJN205" s="17"/>
      <c r="PJO205" s="17"/>
      <c r="PJP205" s="17"/>
      <c r="PJQ205" s="17"/>
      <c r="PJR205" s="17"/>
      <c r="PJS205" s="17"/>
      <c r="PJT205" s="17"/>
      <c r="PJU205" s="17"/>
      <c r="PJV205" s="17"/>
      <c r="PJW205" s="17"/>
      <c r="PJX205" s="17"/>
      <c r="PJY205" s="17"/>
      <c r="PJZ205" s="17"/>
      <c r="PKA205" s="17"/>
      <c r="PKB205" s="17"/>
      <c r="PKC205" s="17"/>
      <c r="PKD205" s="17"/>
      <c r="PKE205" s="17"/>
      <c r="PKF205" s="17"/>
      <c r="PKG205" s="17"/>
      <c r="PKH205" s="17"/>
      <c r="PKI205" s="17"/>
      <c r="PKJ205" s="17"/>
      <c r="PKK205" s="17"/>
      <c r="PKL205" s="17"/>
      <c r="PKM205" s="17"/>
      <c r="PKN205" s="17"/>
      <c r="PKO205" s="17"/>
      <c r="PKP205" s="17"/>
      <c r="PKQ205" s="17"/>
      <c r="PKR205" s="17"/>
      <c r="PKS205" s="17"/>
      <c r="PKT205" s="17"/>
      <c r="PKU205" s="17"/>
      <c r="PKV205" s="17"/>
      <c r="PKW205" s="17"/>
      <c r="PKX205" s="17"/>
      <c r="PKY205" s="17"/>
      <c r="PKZ205" s="17"/>
      <c r="PLA205" s="17"/>
      <c r="PLB205" s="17"/>
      <c r="PLC205" s="17"/>
      <c r="PLD205" s="17"/>
      <c r="PLE205" s="17"/>
      <c r="PLF205" s="17"/>
      <c r="PLG205" s="17"/>
      <c r="PLH205" s="17"/>
      <c r="PLI205" s="17"/>
      <c r="PLJ205" s="17"/>
      <c r="PLK205" s="17"/>
      <c r="PLL205" s="17"/>
      <c r="PLM205" s="17"/>
      <c r="PLN205" s="17"/>
      <c r="PLO205" s="17"/>
      <c r="PLP205" s="17"/>
      <c r="PLQ205" s="17"/>
      <c r="PLR205" s="17"/>
      <c r="PLS205" s="17"/>
      <c r="PLT205" s="17"/>
      <c r="PLU205" s="17"/>
      <c r="PLV205" s="17"/>
      <c r="PLW205" s="17"/>
      <c r="PLX205" s="17"/>
      <c r="PLY205" s="17"/>
      <c r="PLZ205" s="17"/>
      <c r="PMA205" s="17"/>
      <c r="PMB205" s="17"/>
      <c r="PMC205" s="17"/>
      <c r="PMD205" s="17"/>
      <c r="PME205" s="17"/>
      <c r="PMF205" s="17"/>
      <c r="PMG205" s="17"/>
      <c r="PMH205" s="17"/>
      <c r="PMI205" s="17"/>
      <c r="PMJ205" s="17"/>
      <c r="PMK205" s="17"/>
      <c r="PML205" s="17"/>
      <c r="PMM205" s="17"/>
      <c r="PMN205" s="17"/>
      <c r="PMO205" s="17"/>
      <c r="PMP205" s="17"/>
      <c r="PMQ205" s="17"/>
      <c r="PMR205" s="17"/>
      <c r="PMS205" s="17"/>
      <c r="PMT205" s="17"/>
      <c r="PMU205" s="17"/>
      <c r="PMV205" s="17"/>
      <c r="PMW205" s="17"/>
      <c r="PMX205" s="17"/>
      <c r="PMY205" s="17"/>
      <c r="PMZ205" s="17"/>
      <c r="PNA205" s="17"/>
      <c r="PNB205" s="17"/>
      <c r="PNC205" s="17"/>
      <c r="PND205" s="17"/>
      <c r="PNE205" s="17"/>
      <c r="PNF205" s="17"/>
      <c r="PNG205" s="17"/>
      <c r="PNH205" s="17"/>
      <c r="PNI205" s="17"/>
      <c r="PNJ205" s="17"/>
      <c r="PNK205" s="17"/>
      <c r="PNL205" s="17"/>
      <c r="PNM205" s="17"/>
      <c r="PNN205" s="17"/>
      <c r="PNO205" s="17"/>
      <c r="PNP205" s="17"/>
      <c r="PNQ205" s="17"/>
      <c r="PNR205" s="17"/>
      <c r="PNS205" s="17"/>
      <c r="PNT205" s="17"/>
      <c r="PNU205" s="17"/>
      <c r="PNV205" s="17"/>
      <c r="PNW205" s="17"/>
      <c r="PNX205" s="17"/>
      <c r="PNY205" s="17"/>
      <c r="PNZ205" s="17"/>
      <c r="POA205" s="17"/>
      <c r="POB205" s="17"/>
      <c r="POC205" s="17"/>
      <c r="POD205" s="17"/>
      <c r="POE205" s="17"/>
      <c r="POF205" s="17"/>
      <c r="POG205" s="17"/>
      <c r="POH205" s="17"/>
      <c r="POI205" s="17"/>
      <c r="POJ205" s="17"/>
      <c r="POK205" s="17"/>
      <c r="POL205" s="17"/>
      <c r="POM205" s="17"/>
      <c r="PON205" s="17"/>
      <c r="POO205" s="17"/>
      <c r="POP205" s="17"/>
      <c r="POQ205" s="17"/>
      <c r="POR205" s="17"/>
      <c r="POS205" s="17"/>
      <c r="POT205" s="17"/>
      <c r="POU205" s="17"/>
      <c r="POV205" s="17"/>
      <c r="POW205" s="17"/>
      <c r="POX205" s="17"/>
      <c r="POY205" s="17"/>
      <c r="POZ205" s="17"/>
      <c r="PPA205" s="17"/>
      <c r="PPB205" s="17"/>
      <c r="PPC205" s="17"/>
      <c r="PPD205" s="17"/>
      <c r="PPE205" s="17"/>
      <c r="PPF205" s="17"/>
      <c r="PPG205" s="17"/>
      <c r="PPH205" s="17"/>
      <c r="PPI205" s="17"/>
      <c r="PPJ205" s="17"/>
      <c r="PPK205" s="17"/>
      <c r="PPL205" s="17"/>
      <c r="PPM205" s="17"/>
      <c r="PPN205" s="17"/>
      <c r="PPO205" s="17"/>
      <c r="PPP205" s="17"/>
      <c r="PPQ205" s="17"/>
      <c r="PPR205" s="17"/>
      <c r="PPS205" s="17"/>
      <c r="PPT205" s="17"/>
      <c r="PPU205" s="17"/>
      <c r="PPV205" s="17"/>
      <c r="PPW205" s="17"/>
      <c r="PPX205" s="17"/>
      <c r="PPY205" s="17"/>
      <c r="PPZ205" s="17"/>
      <c r="PQA205" s="17"/>
      <c r="PQB205" s="17"/>
      <c r="PQC205" s="17"/>
      <c r="PQD205" s="17"/>
      <c r="PQE205" s="17"/>
      <c r="PQF205" s="17"/>
      <c r="PQG205" s="17"/>
      <c r="PQH205" s="17"/>
      <c r="PQI205" s="17"/>
      <c r="PQJ205" s="17"/>
      <c r="PQK205" s="17"/>
      <c r="PQL205" s="17"/>
      <c r="PQM205" s="17"/>
      <c r="PQN205" s="17"/>
      <c r="PQO205" s="17"/>
      <c r="PQP205" s="17"/>
      <c r="PQQ205" s="17"/>
      <c r="PQR205" s="17"/>
      <c r="PQS205" s="17"/>
      <c r="PQT205" s="17"/>
      <c r="PQU205" s="17"/>
      <c r="PQV205" s="17"/>
      <c r="PQW205" s="17"/>
      <c r="PQX205" s="17"/>
      <c r="PQY205" s="17"/>
      <c r="PQZ205" s="17"/>
      <c r="PRA205" s="17"/>
      <c r="PRB205" s="17"/>
      <c r="PRC205" s="17"/>
      <c r="PRD205" s="17"/>
      <c r="PRE205" s="17"/>
      <c r="PRF205" s="17"/>
      <c r="PRG205" s="17"/>
      <c r="PRH205" s="17"/>
      <c r="PRI205" s="17"/>
      <c r="PRJ205" s="17"/>
      <c r="PRK205" s="17"/>
      <c r="PRL205" s="17"/>
      <c r="PRM205" s="17"/>
      <c r="PRN205" s="17"/>
      <c r="PRO205" s="17"/>
      <c r="PRP205" s="17"/>
      <c r="PRQ205" s="17"/>
      <c r="PRR205" s="17"/>
      <c r="PRS205" s="17"/>
      <c r="PRT205" s="17"/>
      <c r="PRU205" s="17"/>
      <c r="PRV205" s="17"/>
      <c r="PRW205" s="17"/>
      <c r="PRX205" s="17"/>
      <c r="PRY205" s="17"/>
      <c r="PRZ205" s="17"/>
      <c r="PSA205" s="17"/>
      <c r="PSB205" s="17"/>
      <c r="PSC205" s="17"/>
      <c r="PSD205" s="17"/>
      <c r="PSE205" s="17"/>
      <c r="PSF205" s="17"/>
      <c r="PSG205" s="17"/>
      <c r="PSH205" s="17"/>
      <c r="PSI205" s="17"/>
      <c r="PSJ205" s="17"/>
      <c r="PSK205" s="17"/>
      <c r="PSL205" s="17"/>
      <c r="PSM205" s="17"/>
      <c r="PSN205" s="17"/>
      <c r="PSO205" s="17"/>
      <c r="PSP205" s="17"/>
      <c r="PSQ205" s="17"/>
      <c r="PSR205" s="17"/>
      <c r="PSS205" s="17"/>
      <c r="PST205" s="17"/>
      <c r="PSU205" s="17"/>
      <c r="PSV205" s="17"/>
      <c r="PSW205" s="17"/>
      <c r="PSX205" s="17"/>
      <c r="PSY205" s="17"/>
      <c r="PSZ205" s="17"/>
      <c r="PTA205" s="17"/>
      <c r="PTB205" s="17"/>
      <c r="PTC205" s="17"/>
      <c r="PTD205" s="17"/>
      <c r="PTE205" s="17"/>
      <c r="PTF205" s="17"/>
      <c r="PTG205" s="17"/>
      <c r="PTH205" s="17"/>
      <c r="PTI205" s="17"/>
      <c r="PTJ205" s="17"/>
      <c r="PTK205" s="17"/>
      <c r="PTL205" s="17"/>
      <c r="PTM205" s="17"/>
      <c r="PTN205" s="17"/>
      <c r="PTO205" s="17"/>
      <c r="PTP205" s="17"/>
      <c r="PTQ205" s="17"/>
      <c r="PTR205" s="17"/>
      <c r="PTS205" s="17"/>
      <c r="PTT205" s="17"/>
      <c r="PTU205" s="17"/>
      <c r="PTV205" s="17"/>
      <c r="PTW205" s="17"/>
      <c r="PTX205" s="17"/>
      <c r="PTY205" s="17"/>
      <c r="PTZ205" s="17"/>
      <c r="PUA205" s="17"/>
      <c r="PUB205" s="17"/>
      <c r="PUC205" s="17"/>
      <c r="PUD205" s="17"/>
      <c r="PUE205" s="17"/>
      <c r="PUF205" s="17"/>
      <c r="PUG205" s="17"/>
      <c r="PUH205" s="17"/>
      <c r="PUI205" s="17"/>
      <c r="PUJ205" s="17"/>
      <c r="PUK205" s="17"/>
      <c r="PUL205" s="17"/>
      <c r="PUM205" s="17"/>
      <c r="PUN205" s="17"/>
      <c r="PUO205" s="17"/>
      <c r="PUP205" s="17"/>
      <c r="PUQ205" s="17"/>
      <c r="PUR205" s="17"/>
      <c r="PUS205" s="17"/>
      <c r="PUT205" s="17"/>
      <c r="PUU205" s="17"/>
      <c r="PUV205" s="17"/>
      <c r="PUW205" s="17"/>
      <c r="PUX205" s="17"/>
      <c r="PUY205" s="17"/>
      <c r="PUZ205" s="17"/>
      <c r="PVA205" s="17"/>
      <c r="PVB205" s="17"/>
      <c r="PVC205" s="17"/>
      <c r="PVD205" s="17"/>
      <c r="PVE205" s="17"/>
      <c r="PVF205" s="17"/>
      <c r="PVG205" s="17"/>
      <c r="PVH205" s="17"/>
      <c r="PVI205" s="17"/>
      <c r="PVJ205" s="17"/>
      <c r="PVK205" s="17"/>
      <c r="PVL205" s="17"/>
      <c r="PVM205" s="17"/>
      <c r="PVN205" s="17"/>
      <c r="PVO205" s="17"/>
      <c r="PVP205" s="17"/>
      <c r="PVQ205" s="17"/>
      <c r="PVR205" s="17"/>
      <c r="PVS205" s="17"/>
      <c r="PVT205" s="17"/>
      <c r="PVU205" s="17"/>
      <c r="PVV205" s="17"/>
      <c r="PVW205" s="17"/>
      <c r="PVX205" s="17"/>
      <c r="PVY205" s="17"/>
      <c r="PVZ205" s="17"/>
      <c r="PWA205" s="17"/>
      <c r="PWB205" s="17"/>
      <c r="PWC205" s="17"/>
      <c r="PWD205" s="17"/>
      <c r="PWE205" s="17"/>
      <c r="PWF205" s="17"/>
      <c r="PWG205" s="17"/>
      <c r="PWH205" s="17"/>
      <c r="PWI205" s="17"/>
      <c r="PWJ205" s="17"/>
      <c r="PWK205" s="17"/>
      <c r="PWL205" s="17"/>
      <c r="PWM205" s="17"/>
      <c r="PWN205" s="17"/>
      <c r="PWO205" s="17"/>
      <c r="PWP205" s="17"/>
      <c r="PWQ205" s="17"/>
      <c r="PWR205" s="17"/>
      <c r="PWS205" s="17"/>
      <c r="PWT205" s="17"/>
      <c r="PWU205" s="17"/>
      <c r="PWV205" s="17"/>
      <c r="PWW205" s="17"/>
      <c r="PWX205" s="17"/>
      <c r="PWY205" s="17"/>
      <c r="PWZ205" s="17"/>
      <c r="PXA205" s="17"/>
      <c r="PXB205" s="17"/>
      <c r="PXC205" s="17"/>
      <c r="PXD205" s="17"/>
      <c r="PXE205" s="17"/>
      <c r="PXF205" s="17"/>
      <c r="PXG205" s="17"/>
      <c r="PXH205" s="17"/>
      <c r="PXI205" s="17"/>
      <c r="PXJ205" s="17"/>
      <c r="PXK205" s="17"/>
      <c r="PXL205" s="17"/>
      <c r="PXM205" s="17"/>
      <c r="PXN205" s="17"/>
      <c r="PXO205" s="17"/>
      <c r="PXP205" s="17"/>
      <c r="PXQ205" s="17"/>
      <c r="PXR205" s="17"/>
      <c r="PXS205" s="17"/>
      <c r="PXT205" s="17"/>
      <c r="PXU205" s="17"/>
      <c r="PXV205" s="17"/>
      <c r="PXW205" s="17"/>
      <c r="PXX205" s="17"/>
      <c r="PXY205" s="17"/>
      <c r="PXZ205" s="17"/>
      <c r="PYA205" s="17"/>
      <c r="PYB205" s="17"/>
      <c r="PYC205" s="17"/>
      <c r="PYD205" s="17"/>
      <c r="PYE205" s="17"/>
      <c r="PYF205" s="17"/>
      <c r="PYG205" s="17"/>
      <c r="PYH205" s="17"/>
      <c r="PYI205" s="17"/>
      <c r="PYJ205" s="17"/>
      <c r="PYK205" s="17"/>
      <c r="PYL205" s="17"/>
      <c r="PYM205" s="17"/>
      <c r="PYN205" s="17"/>
      <c r="PYO205" s="17"/>
      <c r="PYP205" s="17"/>
      <c r="PYQ205" s="17"/>
      <c r="PYR205" s="17"/>
      <c r="PYS205" s="17"/>
      <c r="PYT205" s="17"/>
      <c r="PYU205" s="17"/>
      <c r="PYV205" s="17"/>
      <c r="PYW205" s="17"/>
      <c r="PYX205" s="17"/>
      <c r="PYY205" s="17"/>
      <c r="PYZ205" s="17"/>
      <c r="PZA205" s="17"/>
      <c r="PZB205" s="17"/>
      <c r="PZC205" s="17"/>
      <c r="PZD205" s="17"/>
      <c r="PZE205" s="17"/>
      <c r="PZF205" s="17"/>
      <c r="PZG205" s="17"/>
      <c r="PZH205" s="17"/>
      <c r="PZI205" s="17"/>
      <c r="PZJ205" s="17"/>
      <c r="PZK205" s="17"/>
      <c r="PZL205" s="17"/>
      <c r="PZM205" s="17"/>
      <c r="PZN205" s="17"/>
      <c r="PZO205" s="17"/>
      <c r="PZP205" s="17"/>
      <c r="PZQ205" s="17"/>
      <c r="PZR205" s="17"/>
      <c r="PZS205" s="17"/>
      <c r="PZT205" s="17"/>
      <c r="PZU205" s="17"/>
      <c r="PZV205" s="17"/>
      <c r="PZW205" s="17"/>
      <c r="PZX205" s="17"/>
      <c r="PZY205" s="17"/>
      <c r="PZZ205" s="17"/>
      <c r="QAA205" s="17"/>
      <c r="QAB205" s="17"/>
      <c r="QAC205" s="17"/>
      <c r="QAD205" s="17"/>
      <c r="QAE205" s="17"/>
      <c r="QAF205" s="17"/>
      <c r="QAG205" s="17"/>
      <c r="QAH205" s="17"/>
      <c r="QAI205" s="17"/>
      <c r="QAJ205" s="17"/>
      <c r="QAK205" s="17"/>
      <c r="QAL205" s="17"/>
      <c r="QAM205" s="17"/>
      <c r="QAN205" s="17"/>
      <c r="QAO205" s="17"/>
      <c r="QAP205" s="17"/>
      <c r="QAQ205" s="17"/>
      <c r="QAR205" s="17"/>
      <c r="QAS205" s="17"/>
      <c r="QAT205" s="17"/>
      <c r="QAU205" s="17"/>
      <c r="QAV205" s="17"/>
      <c r="QAW205" s="17"/>
      <c r="QAX205" s="17"/>
      <c r="QAY205" s="17"/>
      <c r="QAZ205" s="17"/>
      <c r="QBA205" s="17"/>
      <c r="QBB205" s="17"/>
      <c r="QBC205" s="17"/>
      <c r="QBD205" s="17"/>
      <c r="QBE205" s="17"/>
      <c r="QBF205" s="17"/>
      <c r="QBG205" s="17"/>
      <c r="QBH205" s="17"/>
      <c r="QBI205" s="17"/>
      <c r="QBJ205" s="17"/>
      <c r="QBK205" s="17"/>
      <c r="QBL205" s="17"/>
      <c r="QBM205" s="17"/>
      <c r="QBN205" s="17"/>
      <c r="QBO205" s="17"/>
      <c r="QBP205" s="17"/>
      <c r="QBQ205" s="17"/>
      <c r="QBR205" s="17"/>
      <c r="QBS205" s="17"/>
      <c r="QBT205" s="17"/>
      <c r="QBU205" s="17"/>
      <c r="QBV205" s="17"/>
      <c r="QBW205" s="17"/>
      <c r="QBX205" s="17"/>
      <c r="QBY205" s="17"/>
      <c r="QBZ205" s="17"/>
      <c r="QCA205" s="17"/>
      <c r="QCB205" s="17"/>
      <c r="QCC205" s="17"/>
      <c r="QCD205" s="17"/>
      <c r="QCE205" s="17"/>
      <c r="QCF205" s="17"/>
      <c r="QCG205" s="17"/>
      <c r="QCH205" s="17"/>
      <c r="QCI205" s="17"/>
      <c r="QCJ205" s="17"/>
      <c r="QCK205" s="17"/>
      <c r="QCL205" s="17"/>
      <c r="QCM205" s="17"/>
      <c r="QCN205" s="17"/>
      <c r="QCO205" s="17"/>
      <c r="QCP205" s="17"/>
      <c r="QCQ205" s="17"/>
      <c r="QCR205" s="17"/>
      <c r="QCS205" s="17"/>
      <c r="QCT205" s="17"/>
      <c r="QCU205" s="17"/>
      <c r="QCV205" s="17"/>
      <c r="QCW205" s="17"/>
      <c r="QCX205" s="17"/>
      <c r="QCY205" s="17"/>
      <c r="QCZ205" s="17"/>
      <c r="QDA205" s="17"/>
      <c r="QDB205" s="17"/>
      <c r="QDC205" s="17"/>
      <c r="QDD205" s="17"/>
      <c r="QDE205" s="17"/>
      <c r="QDF205" s="17"/>
      <c r="QDG205" s="17"/>
      <c r="QDH205" s="17"/>
      <c r="QDI205" s="17"/>
      <c r="QDJ205" s="17"/>
      <c r="QDK205" s="17"/>
      <c r="QDL205" s="17"/>
      <c r="QDM205" s="17"/>
      <c r="QDN205" s="17"/>
      <c r="QDO205" s="17"/>
      <c r="QDP205" s="17"/>
      <c r="QDQ205" s="17"/>
      <c r="QDR205" s="17"/>
      <c r="QDS205" s="17"/>
      <c r="QDT205" s="17"/>
      <c r="QDU205" s="17"/>
      <c r="QDV205" s="17"/>
      <c r="QDW205" s="17"/>
      <c r="QDX205" s="17"/>
      <c r="QDY205" s="17"/>
      <c r="QDZ205" s="17"/>
      <c r="QEA205" s="17"/>
      <c r="QEB205" s="17"/>
      <c r="QEC205" s="17"/>
      <c r="QED205" s="17"/>
      <c r="QEE205" s="17"/>
      <c r="QEF205" s="17"/>
      <c r="QEG205" s="17"/>
      <c r="QEH205" s="17"/>
      <c r="QEI205" s="17"/>
      <c r="QEJ205" s="17"/>
      <c r="QEK205" s="17"/>
      <c r="QEL205" s="17"/>
      <c r="QEM205" s="17"/>
      <c r="QEN205" s="17"/>
      <c r="QEO205" s="17"/>
      <c r="QEP205" s="17"/>
      <c r="QEQ205" s="17"/>
      <c r="QER205" s="17"/>
      <c r="QES205" s="17"/>
      <c r="QET205" s="17"/>
      <c r="QEU205" s="17"/>
      <c r="QEV205" s="17"/>
      <c r="QEW205" s="17"/>
      <c r="QEX205" s="17"/>
      <c r="QEY205" s="17"/>
      <c r="QEZ205" s="17"/>
      <c r="QFA205" s="17"/>
      <c r="QFB205" s="17"/>
      <c r="QFC205" s="17"/>
      <c r="QFD205" s="17"/>
      <c r="QFE205" s="17"/>
      <c r="QFF205" s="17"/>
      <c r="QFG205" s="17"/>
      <c r="QFH205" s="17"/>
      <c r="QFI205" s="17"/>
      <c r="QFJ205" s="17"/>
      <c r="QFK205" s="17"/>
      <c r="QFL205" s="17"/>
      <c r="QFM205" s="17"/>
      <c r="QFN205" s="17"/>
      <c r="QFO205" s="17"/>
      <c r="QFP205" s="17"/>
      <c r="QFQ205" s="17"/>
      <c r="QFR205" s="17"/>
      <c r="QFS205" s="17"/>
      <c r="QFT205" s="17"/>
      <c r="QFU205" s="17"/>
      <c r="QFV205" s="17"/>
      <c r="QFW205" s="17"/>
      <c r="QFX205" s="17"/>
      <c r="QFY205" s="17"/>
      <c r="QFZ205" s="17"/>
      <c r="QGA205" s="17"/>
      <c r="QGB205" s="17"/>
      <c r="QGC205" s="17"/>
      <c r="QGD205" s="17"/>
      <c r="QGE205" s="17"/>
      <c r="QGF205" s="17"/>
      <c r="QGG205" s="17"/>
      <c r="QGH205" s="17"/>
      <c r="QGI205" s="17"/>
      <c r="QGJ205" s="17"/>
      <c r="QGK205" s="17"/>
      <c r="QGL205" s="17"/>
      <c r="QGM205" s="17"/>
      <c r="QGN205" s="17"/>
      <c r="QGO205" s="17"/>
      <c r="QGP205" s="17"/>
      <c r="QGQ205" s="17"/>
      <c r="QGR205" s="17"/>
      <c r="QGS205" s="17"/>
      <c r="QGT205" s="17"/>
      <c r="QGU205" s="17"/>
      <c r="QGV205" s="17"/>
      <c r="QGW205" s="17"/>
      <c r="QGX205" s="17"/>
      <c r="QGY205" s="17"/>
      <c r="QGZ205" s="17"/>
      <c r="QHA205" s="17"/>
      <c r="QHB205" s="17"/>
      <c r="QHC205" s="17"/>
      <c r="QHD205" s="17"/>
      <c r="QHE205" s="17"/>
      <c r="QHF205" s="17"/>
      <c r="QHG205" s="17"/>
      <c r="QHH205" s="17"/>
      <c r="QHI205" s="17"/>
      <c r="QHJ205" s="17"/>
      <c r="QHK205" s="17"/>
      <c r="QHL205" s="17"/>
      <c r="QHM205" s="17"/>
      <c r="QHN205" s="17"/>
      <c r="QHO205" s="17"/>
      <c r="QHP205" s="17"/>
      <c r="QHQ205" s="17"/>
      <c r="QHR205" s="17"/>
      <c r="QHS205" s="17"/>
      <c r="QHT205" s="17"/>
      <c r="QHU205" s="17"/>
      <c r="QHV205" s="17"/>
      <c r="QHW205" s="17"/>
      <c r="QHX205" s="17"/>
      <c r="QHY205" s="17"/>
      <c r="QHZ205" s="17"/>
      <c r="QIA205" s="17"/>
      <c r="QIB205" s="17"/>
      <c r="QIC205" s="17"/>
      <c r="QID205" s="17"/>
      <c r="QIE205" s="17"/>
      <c r="QIF205" s="17"/>
      <c r="QIG205" s="17"/>
      <c r="QIH205" s="17"/>
      <c r="QII205" s="17"/>
      <c r="QIJ205" s="17"/>
      <c r="QIK205" s="17"/>
      <c r="QIL205" s="17"/>
      <c r="QIM205" s="17"/>
      <c r="QIN205" s="17"/>
      <c r="QIO205" s="17"/>
      <c r="QIP205" s="17"/>
      <c r="QIQ205" s="17"/>
      <c r="QIR205" s="17"/>
      <c r="QIS205" s="17"/>
      <c r="QIT205" s="17"/>
      <c r="QIU205" s="17"/>
      <c r="QIV205" s="17"/>
      <c r="QIW205" s="17"/>
      <c r="QIX205" s="17"/>
      <c r="QIY205" s="17"/>
      <c r="QIZ205" s="17"/>
      <c r="QJA205" s="17"/>
      <c r="QJB205" s="17"/>
      <c r="QJC205" s="17"/>
      <c r="QJD205" s="17"/>
      <c r="QJE205" s="17"/>
      <c r="QJF205" s="17"/>
      <c r="QJG205" s="17"/>
      <c r="QJH205" s="17"/>
      <c r="QJI205" s="17"/>
      <c r="QJJ205" s="17"/>
      <c r="QJK205" s="17"/>
      <c r="QJL205" s="17"/>
      <c r="QJM205" s="17"/>
      <c r="QJN205" s="17"/>
      <c r="QJO205" s="17"/>
      <c r="QJP205" s="17"/>
      <c r="QJQ205" s="17"/>
      <c r="QJR205" s="17"/>
      <c r="QJS205" s="17"/>
      <c r="QJT205" s="17"/>
      <c r="QJU205" s="17"/>
      <c r="QJV205" s="17"/>
      <c r="QJW205" s="17"/>
      <c r="QJX205" s="17"/>
      <c r="QJY205" s="17"/>
      <c r="QJZ205" s="17"/>
      <c r="QKA205" s="17"/>
      <c r="QKB205" s="17"/>
      <c r="QKC205" s="17"/>
      <c r="QKD205" s="17"/>
      <c r="QKE205" s="17"/>
      <c r="QKF205" s="17"/>
      <c r="QKG205" s="17"/>
      <c r="QKH205" s="17"/>
      <c r="QKI205" s="17"/>
      <c r="QKJ205" s="17"/>
      <c r="QKK205" s="17"/>
      <c r="QKL205" s="17"/>
      <c r="QKM205" s="17"/>
      <c r="QKN205" s="17"/>
      <c r="QKO205" s="17"/>
      <c r="QKP205" s="17"/>
      <c r="QKQ205" s="17"/>
      <c r="QKR205" s="17"/>
      <c r="QKS205" s="17"/>
      <c r="QKT205" s="17"/>
      <c r="QKU205" s="17"/>
      <c r="QKV205" s="17"/>
      <c r="QKW205" s="17"/>
      <c r="QKX205" s="17"/>
      <c r="QKY205" s="17"/>
      <c r="QKZ205" s="17"/>
      <c r="QLA205" s="17"/>
      <c r="QLB205" s="17"/>
      <c r="QLC205" s="17"/>
      <c r="QLD205" s="17"/>
      <c r="QLE205" s="17"/>
      <c r="QLF205" s="17"/>
      <c r="QLG205" s="17"/>
      <c r="QLH205" s="17"/>
      <c r="QLI205" s="17"/>
      <c r="QLJ205" s="17"/>
      <c r="QLK205" s="17"/>
      <c r="QLL205" s="17"/>
      <c r="QLM205" s="17"/>
      <c r="QLN205" s="17"/>
      <c r="QLO205" s="17"/>
      <c r="QLP205" s="17"/>
      <c r="QLQ205" s="17"/>
      <c r="QLR205" s="17"/>
      <c r="QLS205" s="17"/>
      <c r="QLT205" s="17"/>
      <c r="QLU205" s="17"/>
      <c r="QLV205" s="17"/>
      <c r="QLW205" s="17"/>
      <c r="QLX205" s="17"/>
      <c r="QLY205" s="17"/>
      <c r="QLZ205" s="17"/>
      <c r="QMA205" s="17"/>
      <c r="QMB205" s="17"/>
      <c r="QMC205" s="17"/>
      <c r="QMD205" s="17"/>
      <c r="QME205" s="17"/>
      <c r="QMF205" s="17"/>
      <c r="QMG205" s="17"/>
      <c r="QMH205" s="17"/>
      <c r="QMI205" s="17"/>
      <c r="QMJ205" s="17"/>
      <c r="QMK205" s="17"/>
      <c r="QML205" s="17"/>
      <c r="QMM205" s="17"/>
      <c r="QMN205" s="17"/>
      <c r="QMO205" s="17"/>
      <c r="QMP205" s="17"/>
      <c r="QMQ205" s="17"/>
      <c r="QMR205" s="17"/>
      <c r="QMS205" s="17"/>
      <c r="QMT205" s="17"/>
      <c r="QMU205" s="17"/>
      <c r="QMV205" s="17"/>
      <c r="QMW205" s="17"/>
      <c r="QMX205" s="17"/>
      <c r="QMY205" s="17"/>
      <c r="QMZ205" s="17"/>
      <c r="QNA205" s="17"/>
      <c r="QNB205" s="17"/>
      <c r="QNC205" s="17"/>
      <c r="QND205" s="17"/>
      <c r="QNE205" s="17"/>
      <c r="QNF205" s="17"/>
      <c r="QNG205" s="17"/>
      <c r="QNH205" s="17"/>
      <c r="QNI205" s="17"/>
      <c r="QNJ205" s="17"/>
      <c r="QNK205" s="17"/>
      <c r="QNL205" s="17"/>
      <c r="QNM205" s="17"/>
      <c r="QNN205" s="17"/>
      <c r="QNO205" s="17"/>
      <c r="QNP205" s="17"/>
      <c r="QNQ205" s="17"/>
      <c r="QNR205" s="17"/>
      <c r="QNS205" s="17"/>
      <c r="QNT205" s="17"/>
      <c r="QNU205" s="17"/>
      <c r="QNV205" s="17"/>
      <c r="QNW205" s="17"/>
      <c r="QNX205" s="17"/>
      <c r="QNY205" s="17"/>
      <c r="QNZ205" s="17"/>
      <c r="QOA205" s="17"/>
      <c r="QOB205" s="17"/>
      <c r="QOC205" s="17"/>
      <c r="QOD205" s="17"/>
      <c r="QOE205" s="17"/>
      <c r="QOF205" s="17"/>
      <c r="QOG205" s="17"/>
      <c r="QOH205" s="17"/>
      <c r="QOI205" s="17"/>
      <c r="QOJ205" s="17"/>
      <c r="QOK205" s="17"/>
      <c r="QOL205" s="17"/>
      <c r="QOM205" s="17"/>
      <c r="QON205" s="17"/>
      <c r="QOO205" s="17"/>
      <c r="QOP205" s="17"/>
      <c r="QOQ205" s="17"/>
      <c r="QOR205" s="17"/>
      <c r="QOS205" s="17"/>
      <c r="QOT205" s="17"/>
      <c r="QOU205" s="17"/>
      <c r="QOV205" s="17"/>
      <c r="QOW205" s="17"/>
      <c r="QOX205" s="17"/>
      <c r="QOY205" s="17"/>
      <c r="QOZ205" s="17"/>
      <c r="QPA205" s="17"/>
      <c r="QPB205" s="17"/>
      <c r="QPC205" s="17"/>
      <c r="QPD205" s="17"/>
      <c r="QPE205" s="17"/>
      <c r="QPF205" s="17"/>
      <c r="QPG205" s="17"/>
      <c r="QPH205" s="17"/>
      <c r="QPI205" s="17"/>
      <c r="QPJ205" s="17"/>
      <c r="QPK205" s="17"/>
      <c r="QPL205" s="17"/>
      <c r="QPM205" s="17"/>
      <c r="QPN205" s="17"/>
      <c r="QPO205" s="17"/>
      <c r="QPP205" s="17"/>
      <c r="QPQ205" s="17"/>
      <c r="QPR205" s="17"/>
      <c r="QPS205" s="17"/>
      <c r="QPT205" s="17"/>
      <c r="QPU205" s="17"/>
      <c r="QPV205" s="17"/>
      <c r="QPW205" s="17"/>
      <c r="QPX205" s="17"/>
      <c r="QPY205" s="17"/>
      <c r="QPZ205" s="17"/>
      <c r="QQA205" s="17"/>
      <c r="QQB205" s="17"/>
      <c r="QQC205" s="17"/>
      <c r="QQD205" s="17"/>
      <c r="QQE205" s="17"/>
      <c r="QQF205" s="17"/>
      <c r="QQG205" s="17"/>
      <c r="QQH205" s="17"/>
      <c r="QQI205" s="17"/>
      <c r="QQJ205" s="17"/>
      <c r="QQK205" s="17"/>
      <c r="QQL205" s="17"/>
      <c r="QQM205" s="17"/>
      <c r="QQN205" s="17"/>
      <c r="QQO205" s="17"/>
      <c r="QQP205" s="17"/>
      <c r="QQQ205" s="17"/>
      <c r="QQR205" s="17"/>
      <c r="QQS205" s="17"/>
      <c r="QQT205" s="17"/>
      <c r="QQU205" s="17"/>
      <c r="QQV205" s="17"/>
      <c r="QQW205" s="17"/>
      <c r="QQX205" s="17"/>
      <c r="QQY205" s="17"/>
      <c r="QQZ205" s="17"/>
      <c r="QRA205" s="17"/>
      <c r="QRB205" s="17"/>
      <c r="QRC205" s="17"/>
      <c r="QRD205" s="17"/>
      <c r="QRE205" s="17"/>
      <c r="QRF205" s="17"/>
      <c r="QRG205" s="17"/>
      <c r="QRH205" s="17"/>
      <c r="QRI205" s="17"/>
      <c r="QRJ205" s="17"/>
      <c r="QRK205" s="17"/>
      <c r="QRL205" s="17"/>
      <c r="QRM205" s="17"/>
      <c r="QRN205" s="17"/>
      <c r="QRO205" s="17"/>
      <c r="QRP205" s="17"/>
      <c r="QRQ205" s="17"/>
      <c r="QRR205" s="17"/>
      <c r="QRS205" s="17"/>
      <c r="QRT205" s="17"/>
      <c r="QRU205" s="17"/>
      <c r="QRV205" s="17"/>
      <c r="QRW205" s="17"/>
      <c r="QRX205" s="17"/>
      <c r="QRY205" s="17"/>
      <c r="QRZ205" s="17"/>
      <c r="QSA205" s="17"/>
      <c r="QSB205" s="17"/>
      <c r="QSC205" s="17"/>
      <c r="QSD205" s="17"/>
      <c r="QSE205" s="17"/>
      <c r="QSF205" s="17"/>
      <c r="QSG205" s="17"/>
      <c r="QSH205" s="17"/>
      <c r="QSI205" s="17"/>
      <c r="QSJ205" s="17"/>
      <c r="QSK205" s="17"/>
      <c r="QSL205" s="17"/>
      <c r="QSM205" s="17"/>
      <c r="QSN205" s="17"/>
      <c r="QSO205" s="17"/>
      <c r="QSP205" s="17"/>
      <c r="QSQ205" s="17"/>
      <c r="QSR205" s="17"/>
      <c r="QSS205" s="17"/>
      <c r="QST205" s="17"/>
      <c r="QSU205" s="17"/>
      <c r="QSV205" s="17"/>
      <c r="QSW205" s="17"/>
      <c r="QSX205" s="17"/>
      <c r="QSY205" s="17"/>
      <c r="QSZ205" s="17"/>
      <c r="QTA205" s="17"/>
      <c r="QTB205" s="17"/>
      <c r="QTC205" s="17"/>
      <c r="QTD205" s="17"/>
      <c r="QTE205" s="17"/>
      <c r="QTF205" s="17"/>
      <c r="QTG205" s="17"/>
      <c r="QTH205" s="17"/>
      <c r="QTI205" s="17"/>
      <c r="QTJ205" s="17"/>
      <c r="QTK205" s="17"/>
      <c r="QTL205" s="17"/>
      <c r="QTM205" s="17"/>
      <c r="QTN205" s="17"/>
      <c r="QTO205" s="17"/>
      <c r="QTP205" s="17"/>
      <c r="QTQ205" s="17"/>
      <c r="QTR205" s="17"/>
      <c r="QTS205" s="17"/>
      <c r="QTT205" s="17"/>
      <c r="QTU205" s="17"/>
      <c r="QTV205" s="17"/>
      <c r="QTW205" s="17"/>
      <c r="QTX205" s="17"/>
      <c r="QTY205" s="17"/>
      <c r="QTZ205" s="17"/>
      <c r="QUA205" s="17"/>
      <c r="QUB205" s="17"/>
      <c r="QUC205" s="17"/>
      <c r="QUD205" s="17"/>
      <c r="QUE205" s="17"/>
      <c r="QUF205" s="17"/>
      <c r="QUG205" s="17"/>
      <c r="QUH205" s="17"/>
      <c r="QUI205" s="17"/>
      <c r="QUJ205" s="17"/>
      <c r="QUK205" s="17"/>
      <c r="QUL205" s="17"/>
      <c r="QUM205" s="17"/>
      <c r="QUN205" s="17"/>
      <c r="QUO205" s="17"/>
      <c r="QUP205" s="17"/>
      <c r="QUQ205" s="17"/>
      <c r="QUR205" s="17"/>
      <c r="QUS205" s="17"/>
      <c r="QUT205" s="17"/>
      <c r="QUU205" s="17"/>
      <c r="QUV205" s="17"/>
      <c r="QUW205" s="17"/>
      <c r="QUX205" s="17"/>
      <c r="QUY205" s="17"/>
      <c r="QUZ205" s="17"/>
      <c r="QVA205" s="17"/>
      <c r="QVB205" s="17"/>
      <c r="QVC205" s="17"/>
      <c r="QVD205" s="17"/>
      <c r="QVE205" s="17"/>
      <c r="QVF205" s="17"/>
      <c r="QVG205" s="17"/>
      <c r="QVH205" s="17"/>
      <c r="QVI205" s="17"/>
      <c r="QVJ205" s="17"/>
      <c r="QVK205" s="17"/>
      <c r="QVL205" s="17"/>
      <c r="QVM205" s="17"/>
      <c r="QVN205" s="17"/>
      <c r="QVO205" s="17"/>
      <c r="QVP205" s="17"/>
      <c r="QVQ205" s="17"/>
      <c r="QVR205" s="17"/>
      <c r="QVS205" s="17"/>
      <c r="QVT205" s="17"/>
      <c r="QVU205" s="17"/>
      <c r="QVV205" s="17"/>
      <c r="QVW205" s="17"/>
      <c r="QVX205" s="17"/>
      <c r="QVY205" s="17"/>
      <c r="QVZ205" s="17"/>
      <c r="QWA205" s="17"/>
      <c r="QWB205" s="17"/>
      <c r="QWC205" s="17"/>
      <c r="QWD205" s="17"/>
      <c r="QWE205" s="17"/>
      <c r="QWF205" s="17"/>
      <c r="QWG205" s="17"/>
      <c r="QWH205" s="17"/>
      <c r="QWI205" s="17"/>
      <c r="QWJ205" s="17"/>
      <c r="QWK205" s="17"/>
      <c r="QWL205" s="17"/>
      <c r="QWM205" s="17"/>
      <c r="QWN205" s="17"/>
      <c r="QWO205" s="17"/>
      <c r="QWP205" s="17"/>
      <c r="QWQ205" s="17"/>
      <c r="QWR205" s="17"/>
      <c r="QWS205" s="17"/>
      <c r="QWT205" s="17"/>
      <c r="QWU205" s="17"/>
      <c r="QWV205" s="17"/>
      <c r="QWW205" s="17"/>
      <c r="QWX205" s="17"/>
      <c r="QWY205" s="17"/>
      <c r="QWZ205" s="17"/>
      <c r="QXA205" s="17"/>
      <c r="QXB205" s="17"/>
      <c r="QXC205" s="17"/>
      <c r="QXD205" s="17"/>
      <c r="QXE205" s="17"/>
      <c r="QXF205" s="17"/>
      <c r="QXG205" s="17"/>
      <c r="QXH205" s="17"/>
      <c r="QXI205" s="17"/>
      <c r="QXJ205" s="17"/>
      <c r="QXK205" s="17"/>
      <c r="QXL205" s="17"/>
      <c r="QXM205" s="17"/>
      <c r="QXN205" s="17"/>
      <c r="QXO205" s="17"/>
      <c r="QXP205" s="17"/>
      <c r="QXQ205" s="17"/>
      <c r="QXR205" s="17"/>
      <c r="QXS205" s="17"/>
      <c r="QXT205" s="17"/>
      <c r="QXU205" s="17"/>
      <c r="QXV205" s="17"/>
      <c r="QXW205" s="17"/>
      <c r="QXX205" s="17"/>
      <c r="QXY205" s="17"/>
      <c r="QXZ205" s="17"/>
      <c r="QYA205" s="17"/>
      <c r="QYB205" s="17"/>
      <c r="QYC205" s="17"/>
      <c r="QYD205" s="17"/>
      <c r="QYE205" s="17"/>
      <c r="QYF205" s="17"/>
      <c r="QYG205" s="17"/>
      <c r="QYH205" s="17"/>
      <c r="QYI205" s="17"/>
      <c r="QYJ205" s="17"/>
      <c r="QYK205" s="17"/>
      <c r="QYL205" s="17"/>
      <c r="QYM205" s="17"/>
      <c r="QYN205" s="17"/>
      <c r="QYO205" s="17"/>
      <c r="QYP205" s="17"/>
      <c r="QYQ205" s="17"/>
      <c r="QYR205" s="17"/>
      <c r="QYS205" s="17"/>
      <c r="QYT205" s="17"/>
      <c r="QYU205" s="17"/>
      <c r="QYV205" s="17"/>
      <c r="QYW205" s="17"/>
      <c r="QYX205" s="17"/>
      <c r="QYY205" s="17"/>
      <c r="QYZ205" s="17"/>
      <c r="QZA205" s="17"/>
      <c r="QZB205" s="17"/>
      <c r="QZC205" s="17"/>
      <c r="QZD205" s="17"/>
      <c r="QZE205" s="17"/>
      <c r="QZF205" s="17"/>
      <c r="QZG205" s="17"/>
      <c r="QZH205" s="17"/>
      <c r="QZI205" s="17"/>
      <c r="QZJ205" s="17"/>
      <c r="QZK205" s="17"/>
      <c r="QZL205" s="17"/>
      <c r="QZM205" s="17"/>
      <c r="QZN205" s="17"/>
      <c r="QZO205" s="17"/>
      <c r="QZP205" s="17"/>
      <c r="QZQ205" s="17"/>
      <c r="QZR205" s="17"/>
      <c r="QZS205" s="17"/>
      <c r="QZT205" s="17"/>
      <c r="QZU205" s="17"/>
      <c r="QZV205" s="17"/>
      <c r="QZW205" s="17"/>
      <c r="QZX205" s="17"/>
      <c r="QZY205" s="17"/>
      <c r="QZZ205" s="17"/>
      <c r="RAA205" s="17"/>
      <c r="RAB205" s="17"/>
      <c r="RAC205" s="17"/>
      <c r="RAD205" s="17"/>
      <c r="RAE205" s="17"/>
      <c r="RAF205" s="17"/>
      <c r="RAG205" s="17"/>
      <c r="RAH205" s="17"/>
      <c r="RAI205" s="17"/>
      <c r="RAJ205" s="17"/>
      <c r="RAK205" s="17"/>
      <c r="RAL205" s="17"/>
      <c r="RAM205" s="17"/>
      <c r="RAN205" s="17"/>
      <c r="RAO205" s="17"/>
      <c r="RAP205" s="17"/>
      <c r="RAQ205" s="17"/>
      <c r="RAR205" s="17"/>
      <c r="RAS205" s="17"/>
      <c r="RAT205" s="17"/>
      <c r="RAU205" s="17"/>
      <c r="RAV205" s="17"/>
      <c r="RAW205" s="17"/>
      <c r="RAX205" s="17"/>
      <c r="RAY205" s="17"/>
      <c r="RAZ205" s="17"/>
      <c r="RBA205" s="17"/>
      <c r="RBB205" s="17"/>
      <c r="RBC205" s="17"/>
      <c r="RBD205" s="17"/>
      <c r="RBE205" s="17"/>
      <c r="RBF205" s="17"/>
      <c r="RBG205" s="17"/>
      <c r="RBH205" s="17"/>
      <c r="RBI205" s="17"/>
      <c r="RBJ205" s="17"/>
      <c r="RBK205" s="17"/>
      <c r="RBL205" s="17"/>
      <c r="RBM205" s="17"/>
      <c r="RBN205" s="17"/>
      <c r="RBO205" s="17"/>
      <c r="RBP205" s="17"/>
      <c r="RBQ205" s="17"/>
      <c r="RBR205" s="17"/>
      <c r="RBS205" s="17"/>
      <c r="RBT205" s="17"/>
      <c r="RBU205" s="17"/>
      <c r="RBV205" s="17"/>
      <c r="RBW205" s="17"/>
      <c r="RBX205" s="17"/>
      <c r="RBY205" s="17"/>
      <c r="RBZ205" s="17"/>
      <c r="RCA205" s="17"/>
      <c r="RCB205" s="17"/>
      <c r="RCC205" s="17"/>
      <c r="RCD205" s="17"/>
      <c r="RCE205" s="17"/>
      <c r="RCF205" s="17"/>
      <c r="RCG205" s="17"/>
      <c r="RCH205" s="17"/>
      <c r="RCI205" s="17"/>
      <c r="RCJ205" s="17"/>
      <c r="RCK205" s="17"/>
      <c r="RCL205" s="17"/>
      <c r="RCM205" s="17"/>
      <c r="RCN205" s="17"/>
      <c r="RCO205" s="17"/>
      <c r="RCP205" s="17"/>
      <c r="RCQ205" s="17"/>
      <c r="RCR205" s="17"/>
      <c r="RCS205" s="17"/>
      <c r="RCT205" s="17"/>
      <c r="RCU205" s="17"/>
      <c r="RCV205" s="17"/>
      <c r="RCW205" s="17"/>
      <c r="RCX205" s="17"/>
      <c r="RCY205" s="17"/>
      <c r="RCZ205" s="17"/>
      <c r="RDA205" s="17"/>
      <c r="RDB205" s="17"/>
      <c r="RDC205" s="17"/>
      <c r="RDD205" s="17"/>
      <c r="RDE205" s="17"/>
      <c r="RDF205" s="17"/>
      <c r="RDG205" s="17"/>
      <c r="RDH205" s="17"/>
      <c r="RDI205" s="17"/>
      <c r="RDJ205" s="17"/>
      <c r="RDK205" s="17"/>
      <c r="RDL205" s="17"/>
      <c r="RDM205" s="17"/>
      <c r="RDN205" s="17"/>
      <c r="RDO205" s="17"/>
      <c r="RDP205" s="17"/>
      <c r="RDQ205" s="17"/>
      <c r="RDR205" s="17"/>
      <c r="RDS205" s="17"/>
      <c r="RDT205" s="17"/>
      <c r="RDU205" s="17"/>
      <c r="RDV205" s="17"/>
      <c r="RDW205" s="17"/>
      <c r="RDX205" s="17"/>
      <c r="RDY205" s="17"/>
      <c r="RDZ205" s="17"/>
      <c r="REA205" s="17"/>
      <c r="REB205" s="17"/>
      <c r="REC205" s="17"/>
      <c r="RED205" s="17"/>
      <c r="REE205" s="17"/>
      <c r="REF205" s="17"/>
      <c r="REG205" s="17"/>
      <c r="REH205" s="17"/>
      <c r="REI205" s="17"/>
      <c r="REJ205" s="17"/>
      <c r="REK205" s="17"/>
      <c r="REL205" s="17"/>
      <c r="REM205" s="17"/>
      <c r="REN205" s="17"/>
      <c r="REO205" s="17"/>
      <c r="REP205" s="17"/>
      <c r="REQ205" s="17"/>
      <c r="RER205" s="17"/>
      <c r="RES205" s="17"/>
      <c r="RET205" s="17"/>
      <c r="REU205" s="17"/>
      <c r="REV205" s="17"/>
      <c r="REW205" s="17"/>
      <c r="REX205" s="17"/>
      <c r="REY205" s="17"/>
      <c r="REZ205" s="17"/>
      <c r="RFA205" s="17"/>
      <c r="RFB205" s="17"/>
      <c r="RFC205" s="17"/>
      <c r="RFD205" s="17"/>
      <c r="RFE205" s="17"/>
      <c r="RFF205" s="17"/>
      <c r="RFG205" s="17"/>
      <c r="RFH205" s="17"/>
      <c r="RFI205" s="17"/>
      <c r="RFJ205" s="17"/>
      <c r="RFK205" s="17"/>
      <c r="RFL205" s="17"/>
      <c r="RFM205" s="17"/>
      <c r="RFN205" s="17"/>
      <c r="RFO205" s="17"/>
      <c r="RFP205" s="17"/>
      <c r="RFQ205" s="17"/>
      <c r="RFR205" s="17"/>
      <c r="RFS205" s="17"/>
      <c r="RFT205" s="17"/>
      <c r="RFU205" s="17"/>
      <c r="RFV205" s="17"/>
      <c r="RFW205" s="17"/>
      <c r="RFX205" s="17"/>
      <c r="RFY205" s="17"/>
      <c r="RFZ205" s="17"/>
      <c r="RGA205" s="17"/>
      <c r="RGB205" s="17"/>
      <c r="RGC205" s="17"/>
      <c r="RGD205" s="17"/>
      <c r="RGE205" s="17"/>
      <c r="RGF205" s="17"/>
      <c r="RGG205" s="17"/>
      <c r="RGH205" s="17"/>
      <c r="RGI205" s="17"/>
      <c r="RGJ205" s="17"/>
      <c r="RGK205" s="17"/>
      <c r="RGL205" s="17"/>
      <c r="RGM205" s="17"/>
      <c r="RGN205" s="17"/>
      <c r="RGO205" s="17"/>
      <c r="RGP205" s="17"/>
      <c r="RGQ205" s="17"/>
      <c r="RGR205" s="17"/>
      <c r="RGS205" s="17"/>
      <c r="RGT205" s="17"/>
      <c r="RGU205" s="17"/>
      <c r="RGV205" s="17"/>
      <c r="RGW205" s="17"/>
      <c r="RGX205" s="17"/>
      <c r="RGY205" s="17"/>
      <c r="RGZ205" s="17"/>
      <c r="RHA205" s="17"/>
      <c r="RHB205" s="17"/>
      <c r="RHC205" s="17"/>
      <c r="RHD205" s="17"/>
      <c r="RHE205" s="17"/>
      <c r="RHF205" s="17"/>
      <c r="RHG205" s="17"/>
      <c r="RHH205" s="17"/>
      <c r="RHI205" s="17"/>
      <c r="RHJ205" s="17"/>
      <c r="RHK205" s="17"/>
      <c r="RHL205" s="17"/>
      <c r="RHM205" s="17"/>
      <c r="RHN205" s="17"/>
      <c r="RHO205" s="17"/>
      <c r="RHP205" s="17"/>
      <c r="RHQ205" s="17"/>
      <c r="RHR205" s="17"/>
      <c r="RHS205" s="17"/>
      <c r="RHT205" s="17"/>
      <c r="RHU205" s="17"/>
      <c r="RHV205" s="17"/>
      <c r="RHW205" s="17"/>
      <c r="RHX205" s="17"/>
      <c r="RHY205" s="17"/>
      <c r="RHZ205" s="17"/>
      <c r="RIA205" s="17"/>
      <c r="RIB205" s="17"/>
      <c r="RIC205" s="17"/>
      <c r="RID205" s="17"/>
      <c r="RIE205" s="17"/>
      <c r="RIF205" s="17"/>
      <c r="RIG205" s="17"/>
      <c r="RIH205" s="17"/>
      <c r="RII205" s="17"/>
      <c r="RIJ205" s="17"/>
      <c r="RIK205" s="17"/>
      <c r="RIL205" s="17"/>
      <c r="RIM205" s="17"/>
      <c r="RIN205" s="17"/>
      <c r="RIO205" s="17"/>
      <c r="RIP205" s="17"/>
      <c r="RIQ205" s="17"/>
      <c r="RIR205" s="17"/>
      <c r="RIS205" s="17"/>
      <c r="RIT205" s="17"/>
      <c r="RIU205" s="17"/>
      <c r="RIV205" s="17"/>
      <c r="RIW205" s="17"/>
      <c r="RIX205" s="17"/>
      <c r="RIY205" s="17"/>
      <c r="RIZ205" s="17"/>
      <c r="RJA205" s="17"/>
      <c r="RJB205" s="17"/>
      <c r="RJC205" s="17"/>
      <c r="RJD205" s="17"/>
      <c r="RJE205" s="17"/>
      <c r="RJF205" s="17"/>
      <c r="RJG205" s="17"/>
      <c r="RJH205" s="17"/>
      <c r="RJI205" s="17"/>
      <c r="RJJ205" s="17"/>
      <c r="RJK205" s="17"/>
      <c r="RJL205" s="17"/>
      <c r="RJM205" s="17"/>
      <c r="RJN205" s="17"/>
      <c r="RJO205" s="17"/>
      <c r="RJP205" s="17"/>
      <c r="RJQ205" s="17"/>
      <c r="RJR205" s="17"/>
      <c r="RJS205" s="17"/>
      <c r="RJT205" s="17"/>
      <c r="RJU205" s="17"/>
      <c r="RJV205" s="17"/>
      <c r="RJW205" s="17"/>
      <c r="RJX205" s="17"/>
      <c r="RJY205" s="17"/>
      <c r="RJZ205" s="17"/>
      <c r="RKA205" s="17"/>
      <c r="RKB205" s="17"/>
      <c r="RKC205" s="17"/>
      <c r="RKD205" s="17"/>
      <c r="RKE205" s="17"/>
      <c r="RKF205" s="17"/>
      <c r="RKG205" s="17"/>
      <c r="RKH205" s="17"/>
      <c r="RKI205" s="17"/>
      <c r="RKJ205" s="17"/>
      <c r="RKK205" s="17"/>
      <c r="RKL205" s="17"/>
      <c r="RKM205" s="17"/>
      <c r="RKN205" s="17"/>
      <c r="RKO205" s="17"/>
      <c r="RKP205" s="17"/>
      <c r="RKQ205" s="17"/>
      <c r="RKR205" s="17"/>
      <c r="RKS205" s="17"/>
      <c r="RKT205" s="17"/>
      <c r="RKU205" s="17"/>
      <c r="RKV205" s="17"/>
      <c r="RKW205" s="17"/>
      <c r="RKX205" s="17"/>
      <c r="RKY205" s="17"/>
      <c r="RKZ205" s="17"/>
      <c r="RLA205" s="17"/>
      <c r="RLB205" s="17"/>
      <c r="RLC205" s="17"/>
      <c r="RLD205" s="17"/>
      <c r="RLE205" s="17"/>
      <c r="RLF205" s="17"/>
      <c r="RLG205" s="17"/>
      <c r="RLH205" s="17"/>
      <c r="RLI205" s="17"/>
      <c r="RLJ205" s="17"/>
      <c r="RLK205" s="17"/>
      <c r="RLL205" s="17"/>
      <c r="RLM205" s="17"/>
      <c r="RLN205" s="17"/>
      <c r="RLO205" s="17"/>
      <c r="RLP205" s="17"/>
      <c r="RLQ205" s="17"/>
      <c r="RLR205" s="17"/>
      <c r="RLS205" s="17"/>
      <c r="RLT205" s="17"/>
      <c r="RLU205" s="17"/>
      <c r="RLV205" s="17"/>
      <c r="RLW205" s="17"/>
      <c r="RLX205" s="17"/>
      <c r="RLY205" s="17"/>
      <c r="RLZ205" s="17"/>
      <c r="RMA205" s="17"/>
      <c r="RMB205" s="17"/>
      <c r="RMC205" s="17"/>
      <c r="RMD205" s="17"/>
      <c r="RME205" s="17"/>
      <c r="RMF205" s="17"/>
      <c r="RMG205" s="17"/>
      <c r="RMH205" s="17"/>
      <c r="RMI205" s="17"/>
      <c r="RMJ205" s="17"/>
      <c r="RMK205" s="17"/>
      <c r="RML205" s="17"/>
      <c r="RMM205" s="17"/>
      <c r="RMN205" s="17"/>
      <c r="RMO205" s="17"/>
      <c r="RMP205" s="17"/>
      <c r="RMQ205" s="17"/>
      <c r="RMR205" s="17"/>
      <c r="RMS205" s="17"/>
      <c r="RMT205" s="17"/>
      <c r="RMU205" s="17"/>
      <c r="RMV205" s="17"/>
      <c r="RMW205" s="17"/>
      <c r="RMX205" s="17"/>
      <c r="RMY205" s="17"/>
      <c r="RMZ205" s="17"/>
      <c r="RNA205" s="17"/>
      <c r="RNB205" s="17"/>
      <c r="RNC205" s="17"/>
      <c r="RND205" s="17"/>
      <c r="RNE205" s="17"/>
      <c r="RNF205" s="17"/>
      <c r="RNG205" s="17"/>
      <c r="RNH205" s="17"/>
      <c r="RNI205" s="17"/>
      <c r="RNJ205" s="17"/>
      <c r="RNK205" s="17"/>
      <c r="RNL205" s="17"/>
      <c r="RNM205" s="17"/>
      <c r="RNN205" s="17"/>
      <c r="RNO205" s="17"/>
      <c r="RNP205" s="17"/>
      <c r="RNQ205" s="17"/>
      <c r="RNR205" s="17"/>
      <c r="RNS205" s="17"/>
      <c r="RNT205" s="17"/>
      <c r="RNU205" s="17"/>
      <c r="RNV205" s="17"/>
      <c r="RNW205" s="17"/>
      <c r="RNX205" s="17"/>
      <c r="RNY205" s="17"/>
      <c r="RNZ205" s="17"/>
      <c r="ROA205" s="17"/>
      <c r="ROB205" s="17"/>
      <c r="ROC205" s="17"/>
      <c r="ROD205" s="17"/>
      <c r="ROE205" s="17"/>
      <c r="ROF205" s="17"/>
      <c r="ROG205" s="17"/>
      <c r="ROH205" s="17"/>
      <c r="ROI205" s="17"/>
      <c r="ROJ205" s="17"/>
      <c r="ROK205" s="17"/>
      <c r="ROL205" s="17"/>
      <c r="ROM205" s="17"/>
      <c r="RON205" s="17"/>
      <c r="ROO205" s="17"/>
      <c r="ROP205" s="17"/>
      <c r="ROQ205" s="17"/>
      <c r="ROR205" s="17"/>
      <c r="ROS205" s="17"/>
      <c r="ROT205" s="17"/>
      <c r="ROU205" s="17"/>
      <c r="ROV205" s="17"/>
      <c r="ROW205" s="17"/>
      <c r="ROX205" s="17"/>
      <c r="ROY205" s="17"/>
      <c r="ROZ205" s="17"/>
      <c r="RPA205" s="17"/>
      <c r="RPB205" s="17"/>
      <c r="RPC205" s="17"/>
      <c r="RPD205" s="17"/>
      <c r="RPE205" s="17"/>
      <c r="RPF205" s="17"/>
      <c r="RPG205" s="17"/>
      <c r="RPH205" s="17"/>
      <c r="RPI205" s="17"/>
      <c r="RPJ205" s="17"/>
      <c r="RPK205" s="17"/>
      <c r="RPL205" s="17"/>
      <c r="RPM205" s="17"/>
      <c r="RPN205" s="17"/>
      <c r="RPO205" s="17"/>
      <c r="RPP205" s="17"/>
      <c r="RPQ205" s="17"/>
      <c r="RPR205" s="17"/>
      <c r="RPS205" s="17"/>
      <c r="RPT205" s="17"/>
      <c r="RPU205" s="17"/>
      <c r="RPV205" s="17"/>
      <c r="RPW205" s="17"/>
      <c r="RPX205" s="17"/>
      <c r="RPY205" s="17"/>
      <c r="RPZ205" s="17"/>
      <c r="RQA205" s="17"/>
      <c r="RQB205" s="17"/>
      <c r="RQC205" s="17"/>
      <c r="RQD205" s="17"/>
      <c r="RQE205" s="17"/>
      <c r="RQF205" s="17"/>
      <c r="RQG205" s="17"/>
      <c r="RQH205" s="17"/>
      <c r="RQI205" s="17"/>
      <c r="RQJ205" s="17"/>
      <c r="RQK205" s="17"/>
      <c r="RQL205" s="17"/>
      <c r="RQM205" s="17"/>
      <c r="RQN205" s="17"/>
      <c r="RQO205" s="17"/>
      <c r="RQP205" s="17"/>
      <c r="RQQ205" s="17"/>
      <c r="RQR205" s="17"/>
      <c r="RQS205" s="17"/>
      <c r="RQT205" s="17"/>
      <c r="RQU205" s="17"/>
      <c r="RQV205" s="17"/>
      <c r="RQW205" s="17"/>
      <c r="RQX205" s="17"/>
      <c r="RQY205" s="17"/>
      <c r="RQZ205" s="17"/>
      <c r="RRA205" s="17"/>
      <c r="RRB205" s="17"/>
      <c r="RRC205" s="17"/>
      <c r="RRD205" s="17"/>
      <c r="RRE205" s="17"/>
      <c r="RRF205" s="17"/>
      <c r="RRG205" s="17"/>
      <c r="RRH205" s="17"/>
      <c r="RRI205" s="17"/>
      <c r="RRJ205" s="17"/>
      <c r="RRK205" s="17"/>
      <c r="RRL205" s="17"/>
      <c r="RRM205" s="17"/>
      <c r="RRN205" s="17"/>
      <c r="RRO205" s="17"/>
      <c r="RRP205" s="17"/>
      <c r="RRQ205" s="17"/>
      <c r="RRR205" s="17"/>
      <c r="RRS205" s="17"/>
      <c r="RRT205" s="17"/>
      <c r="RRU205" s="17"/>
      <c r="RRV205" s="17"/>
      <c r="RRW205" s="17"/>
      <c r="RRX205" s="17"/>
      <c r="RRY205" s="17"/>
      <c r="RRZ205" s="17"/>
      <c r="RSA205" s="17"/>
      <c r="RSB205" s="17"/>
      <c r="RSC205" s="17"/>
      <c r="RSD205" s="17"/>
      <c r="RSE205" s="17"/>
      <c r="RSF205" s="17"/>
      <c r="RSG205" s="17"/>
      <c r="RSH205" s="17"/>
      <c r="RSI205" s="17"/>
      <c r="RSJ205" s="17"/>
      <c r="RSK205" s="17"/>
      <c r="RSL205" s="17"/>
      <c r="RSM205" s="17"/>
      <c r="RSN205" s="17"/>
      <c r="RSO205" s="17"/>
      <c r="RSP205" s="17"/>
      <c r="RSQ205" s="17"/>
      <c r="RSR205" s="17"/>
      <c r="RSS205" s="17"/>
      <c r="RST205" s="17"/>
      <c r="RSU205" s="17"/>
      <c r="RSV205" s="17"/>
      <c r="RSW205" s="17"/>
      <c r="RSX205" s="17"/>
      <c r="RSY205" s="17"/>
      <c r="RSZ205" s="17"/>
      <c r="RTA205" s="17"/>
      <c r="RTB205" s="17"/>
      <c r="RTC205" s="17"/>
      <c r="RTD205" s="17"/>
      <c r="RTE205" s="17"/>
      <c r="RTF205" s="17"/>
      <c r="RTG205" s="17"/>
      <c r="RTH205" s="17"/>
      <c r="RTI205" s="17"/>
      <c r="RTJ205" s="17"/>
      <c r="RTK205" s="17"/>
      <c r="RTL205" s="17"/>
      <c r="RTM205" s="17"/>
      <c r="RTN205" s="17"/>
      <c r="RTO205" s="17"/>
      <c r="RTP205" s="17"/>
      <c r="RTQ205" s="17"/>
      <c r="RTR205" s="17"/>
      <c r="RTS205" s="17"/>
      <c r="RTT205" s="17"/>
      <c r="RTU205" s="17"/>
      <c r="RTV205" s="17"/>
      <c r="RTW205" s="17"/>
      <c r="RTX205" s="17"/>
      <c r="RTY205" s="17"/>
      <c r="RTZ205" s="17"/>
      <c r="RUA205" s="17"/>
      <c r="RUB205" s="17"/>
      <c r="RUC205" s="17"/>
      <c r="RUD205" s="17"/>
      <c r="RUE205" s="17"/>
      <c r="RUF205" s="17"/>
      <c r="RUG205" s="17"/>
      <c r="RUH205" s="17"/>
      <c r="RUI205" s="17"/>
      <c r="RUJ205" s="17"/>
      <c r="RUK205" s="17"/>
      <c r="RUL205" s="17"/>
      <c r="RUM205" s="17"/>
      <c r="RUN205" s="17"/>
      <c r="RUO205" s="17"/>
      <c r="RUP205" s="17"/>
      <c r="RUQ205" s="17"/>
      <c r="RUR205" s="17"/>
      <c r="RUS205" s="17"/>
      <c r="RUT205" s="17"/>
      <c r="RUU205" s="17"/>
      <c r="RUV205" s="17"/>
      <c r="RUW205" s="17"/>
      <c r="RUX205" s="17"/>
      <c r="RUY205" s="17"/>
      <c r="RUZ205" s="17"/>
      <c r="RVA205" s="17"/>
      <c r="RVB205" s="17"/>
      <c r="RVC205" s="17"/>
      <c r="RVD205" s="17"/>
      <c r="RVE205" s="17"/>
      <c r="RVF205" s="17"/>
      <c r="RVG205" s="17"/>
      <c r="RVH205" s="17"/>
      <c r="RVI205" s="17"/>
      <c r="RVJ205" s="17"/>
      <c r="RVK205" s="17"/>
      <c r="RVL205" s="17"/>
      <c r="RVM205" s="17"/>
      <c r="RVN205" s="17"/>
      <c r="RVO205" s="17"/>
      <c r="RVP205" s="17"/>
      <c r="RVQ205" s="17"/>
      <c r="RVR205" s="17"/>
      <c r="RVS205" s="17"/>
      <c r="RVT205" s="17"/>
      <c r="RVU205" s="17"/>
      <c r="RVV205" s="17"/>
      <c r="RVW205" s="17"/>
      <c r="RVX205" s="17"/>
      <c r="RVY205" s="17"/>
      <c r="RVZ205" s="17"/>
      <c r="RWA205" s="17"/>
      <c r="RWB205" s="17"/>
      <c r="RWC205" s="17"/>
      <c r="RWD205" s="17"/>
      <c r="RWE205" s="17"/>
      <c r="RWF205" s="17"/>
      <c r="RWG205" s="17"/>
      <c r="RWH205" s="17"/>
      <c r="RWI205" s="17"/>
      <c r="RWJ205" s="17"/>
      <c r="RWK205" s="17"/>
      <c r="RWL205" s="17"/>
      <c r="RWM205" s="17"/>
      <c r="RWN205" s="17"/>
      <c r="RWO205" s="17"/>
      <c r="RWP205" s="17"/>
      <c r="RWQ205" s="17"/>
      <c r="RWR205" s="17"/>
      <c r="RWS205" s="17"/>
      <c r="RWT205" s="17"/>
      <c r="RWU205" s="17"/>
      <c r="RWV205" s="17"/>
      <c r="RWW205" s="17"/>
      <c r="RWX205" s="17"/>
      <c r="RWY205" s="17"/>
      <c r="RWZ205" s="17"/>
      <c r="RXA205" s="17"/>
      <c r="RXB205" s="17"/>
      <c r="RXC205" s="17"/>
      <c r="RXD205" s="17"/>
      <c r="RXE205" s="17"/>
      <c r="RXF205" s="17"/>
      <c r="RXG205" s="17"/>
      <c r="RXH205" s="17"/>
      <c r="RXI205" s="17"/>
      <c r="RXJ205" s="17"/>
      <c r="RXK205" s="17"/>
      <c r="RXL205" s="17"/>
      <c r="RXM205" s="17"/>
      <c r="RXN205" s="17"/>
      <c r="RXO205" s="17"/>
      <c r="RXP205" s="17"/>
      <c r="RXQ205" s="17"/>
      <c r="RXR205" s="17"/>
      <c r="RXS205" s="17"/>
      <c r="RXT205" s="17"/>
      <c r="RXU205" s="17"/>
      <c r="RXV205" s="17"/>
      <c r="RXW205" s="17"/>
      <c r="RXX205" s="17"/>
      <c r="RXY205" s="17"/>
      <c r="RXZ205" s="17"/>
      <c r="RYA205" s="17"/>
      <c r="RYB205" s="17"/>
      <c r="RYC205" s="17"/>
      <c r="RYD205" s="17"/>
      <c r="RYE205" s="17"/>
      <c r="RYF205" s="17"/>
      <c r="RYG205" s="17"/>
      <c r="RYH205" s="17"/>
      <c r="RYI205" s="17"/>
      <c r="RYJ205" s="17"/>
      <c r="RYK205" s="17"/>
      <c r="RYL205" s="17"/>
      <c r="RYM205" s="17"/>
      <c r="RYN205" s="17"/>
      <c r="RYO205" s="17"/>
      <c r="RYP205" s="17"/>
      <c r="RYQ205" s="17"/>
      <c r="RYR205" s="17"/>
      <c r="RYS205" s="17"/>
      <c r="RYT205" s="17"/>
      <c r="RYU205" s="17"/>
      <c r="RYV205" s="17"/>
      <c r="RYW205" s="17"/>
      <c r="RYX205" s="17"/>
      <c r="RYY205" s="17"/>
      <c r="RYZ205" s="17"/>
      <c r="RZA205" s="17"/>
      <c r="RZB205" s="17"/>
      <c r="RZC205" s="17"/>
      <c r="RZD205" s="17"/>
      <c r="RZE205" s="17"/>
      <c r="RZF205" s="17"/>
      <c r="RZG205" s="17"/>
      <c r="RZH205" s="17"/>
      <c r="RZI205" s="17"/>
      <c r="RZJ205" s="17"/>
      <c r="RZK205" s="17"/>
      <c r="RZL205" s="17"/>
      <c r="RZM205" s="17"/>
      <c r="RZN205" s="17"/>
      <c r="RZO205" s="17"/>
      <c r="RZP205" s="17"/>
      <c r="RZQ205" s="17"/>
      <c r="RZR205" s="17"/>
      <c r="RZS205" s="17"/>
      <c r="RZT205" s="17"/>
      <c r="RZU205" s="17"/>
      <c r="RZV205" s="17"/>
      <c r="RZW205" s="17"/>
      <c r="RZX205" s="17"/>
      <c r="RZY205" s="17"/>
      <c r="RZZ205" s="17"/>
      <c r="SAA205" s="17"/>
      <c r="SAB205" s="17"/>
      <c r="SAC205" s="17"/>
      <c r="SAD205" s="17"/>
      <c r="SAE205" s="17"/>
      <c r="SAF205" s="17"/>
      <c r="SAG205" s="17"/>
      <c r="SAH205" s="17"/>
      <c r="SAI205" s="17"/>
      <c r="SAJ205" s="17"/>
      <c r="SAK205" s="17"/>
      <c r="SAL205" s="17"/>
      <c r="SAM205" s="17"/>
      <c r="SAN205" s="17"/>
      <c r="SAO205" s="17"/>
      <c r="SAP205" s="17"/>
      <c r="SAQ205" s="17"/>
      <c r="SAR205" s="17"/>
      <c r="SAS205" s="17"/>
      <c r="SAT205" s="17"/>
      <c r="SAU205" s="17"/>
      <c r="SAV205" s="17"/>
      <c r="SAW205" s="17"/>
      <c r="SAX205" s="17"/>
      <c r="SAY205" s="17"/>
      <c r="SAZ205" s="17"/>
      <c r="SBA205" s="17"/>
      <c r="SBB205" s="17"/>
      <c r="SBC205" s="17"/>
      <c r="SBD205" s="17"/>
      <c r="SBE205" s="17"/>
      <c r="SBF205" s="17"/>
      <c r="SBG205" s="17"/>
      <c r="SBH205" s="17"/>
      <c r="SBI205" s="17"/>
      <c r="SBJ205" s="17"/>
      <c r="SBK205" s="17"/>
      <c r="SBL205" s="17"/>
      <c r="SBM205" s="17"/>
      <c r="SBN205" s="17"/>
      <c r="SBO205" s="17"/>
      <c r="SBP205" s="17"/>
      <c r="SBQ205" s="17"/>
      <c r="SBR205" s="17"/>
      <c r="SBS205" s="17"/>
      <c r="SBT205" s="17"/>
      <c r="SBU205" s="17"/>
      <c r="SBV205" s="17"/>
      <c r="SBW205" s="17"/>
      <c r="SBX205" s="17"/>
      <c r="SBY205" s="17"/>
      <c r="SBZ205" s="17"/>
      <c r="SCA205" s="17"/>
      <c r="SCB205" s="17"/>
      <c r="SCC205" s="17"/>
      <c r="SCD205" s="17"/>
      <c r="SCE205" s="17"/>
      <c r="SCF205" s="17"/>
      <c r="SCG205" s="17"/>
      <c r="SCH205" s="17"/>
      <c r="SCI205" s="17"/>
      <c r="SCJ205" s="17"/>
      <c r="SCK205" s="17"/>
      <c r="SCL205" s="17"/>
      <c r="SCM205" s="17"/>
      <c r="SCN205" s="17"/>
      <c r="SCO205" s="17"/>
      <c r="SCP205" s="17"/>
      <c r="SCQ205" s="17"/>
      <c r="SCR205" s="17"/>
      <c r="SCS205" s="17"/>
      <c r="SCT205" s="17"/>
      <c r="SCU205" s="17"/>
      <c r="SCV205" s="17"/>
      <c r="SCW205" s="17"/>
      <c r="SCX205" s="17"/>
      <c r="SCY205" s="17"/>
      <c r="SCZ205" s="17"/>
      <c r="SDA205" s="17"/>
      <c r="SDB205" s="17"/>
      <c r="SDC205" s="17"/>
      <c r="SDD205" s="17"/>
      <c r="SDE205" s="17"/>
      <c r="SDF205" s="17"/>
      <c r="SDG205" s="17"/>
      <c r="SDH205" s="17"/>
      <c r="SDI205" s="17"/>
      <c r="SDJ205" s="17"/>
      <c r="SDK205" s="17"/>
      <c r="SDL205" s="17"/>
      <c r="SDM205" s="17"/>
      <c r="SDN205" s="17"/>
      <c r="SDO205" s="17"/>
      <c r="SDP205" s="17"/>
      <c r="SDQ205" s="17"/>
      <c r="SDR205" s="17"/>
      <c r="SDS205" s="17"/>
      <c r="SDT205" s="17"/>
      <c r="SDU205" s="17"/>
      <c r="SDV205" s="17"/>
      <c r="SDW205" s="17"/>
      <c r="SDX205" s="17"/>
      <c r="SDY205" s="17"/>
      <c r="SDZ205" s="17"/>
      <c r="SEA205" s="17"/>
      <c r="SEB205" s="17"/>
      <c r="SEC205" s="17"/>
      <c r="SED205" s="17"/>
      <c r="SEE205" s="17"/>
      <c r="SEF205" s="17"/>
      <c r="SEG205" s="17"/>
      <c r="SEH205" s="17"/>
      <c r="SEI205" s="17"/>
      <c r="SEJ205" s="17"/>
      <c r="SEK205" s="17"/>
      <c r="SEL205" s="17"/>
      <c r="SEM205" s="17"/>
      <c r="SEN205" s="17"/>
      <c r="SEO205" s="17"/>
      <c r="SEP205" s="17"/>
      <c r="SEQ205" s="17"/>
      <c r="SER205" s="17"/>
      <c r="SES205" s="17"/>
      <c r="SET205" s="17"/>
      <c r="SEU205" s="17"/>
      <c r="SEV205" s="17"/>
      <c r="SEW205" s="17"/>
      <c r="SEX205" s="17"/>
      <c r="SEY205" s="17"/>
      <c r="SEZ205" s="17"/>
      <c r="SFA205" s="17"/>
      <c r="SFB205" s="17"/>
      <c r="SFC205" s="17"/>
      <c r="SFD205" s="17"/>
      <c r="SFE205" s="17"/>
      <c r="SFF205" s="17"/>
      <c r="SFG205" s="17"/>
      <c r="SFH205" s="17"/>
      <c r="SFI205" s="17"/>
      <c r="SFJ205" s="17"/>
      <c r="SFK205" s="17"/>
      <c r="SFL205" s="17"/>
      <c r="SFM205" s="17"/>
      <c r="SFN205" s="17"/>
      <c r="SFO205" s="17"/>
      <c r="SFP205" s="17"/>
      <c r="SFQ205" s="17"/>
      <c r="SFR205" s="17"/>
      <c r="SFS205" s="17"/>
      <c r="SFT205" s="17"/>
      <c r="SFU205" s="17"/>
      <c r="SFV205" s="17"/>
      <c r="SFW205" s="17"/>
      <c r="SFX205" s="17"/>
      <c r="SFY205" s="17"/>
      <c r="SFZ205" s="17"/>
      <c r="SGA205" s="17"/>
      <c r="SGB205" s="17"/>
      <c r="SGC205" s="17"/>
      <c r="SGD205" s="17"/>
      <c r="SGE205" s="17"/>
      <c r="SGF205" s="17"/>
      <c r="SGG205" s="17"/>
      <c r="SGH205" s="17"/>
      <c r="SGI205" s="17"/>
      <c r="SGJ205" s="17"/>
      <c r="SGK205" s="17"/>
      <c r="SGL205" s="17"/>
      <c r="SGM205" s="17"/>
      <c r="SGN205" s="17"/>
      <c r="SGO205" s="17"/>
      <c r="SGP205" s="17"/>
      <c r="SGQ205" s="17"/>
      <c r="SGR205" s="17"/>
      <c r="SGS205" s="17"/>
      <c r="SGT205" s="17"/>
      <c r="SGU205" s="17"/>
      <c r="SGV205" s="17"/>
      <c r="SGW205" s="17"/>
      <c r="SGX205" s="17"/>
      <c r="SGY205" s="17"/>
      <c r="SGZ205" s="17"/>
      <c r="SHA205" s="17"/>
      <c r="SHB205" s="17"/>
      <c r="SHC205" s="17"/>
      <c r="SHD205" s="17"/>
      <c r="SHE205" s="17"/>
      <c r="SHF205" s="17"/>
      <c r="SHG205" s="17"/>
      <c r="SHH205" s="17"/>
      <c r="SHI205" s="17"/>
      <c r="SHJ205" s="17"/>
      <c r="SHK205" s="17"/>
      <c r="SHL205" s="17"/>
      <c r="SHM205" s="17"/>
      <c r="SHN205" s="17"/>
      <c r="SHO205" s="17"/>
      <c r="SHP205" s="17"/>
      <c r="SHQ205" s="17"/>
      <c r="SHR205" s="17"/>
      <c r="SHS205" s="17"/>
      <c r="SHT205" s="17"/>
      <c r="SHU205" s="17"/>
      <c r="SHV205" s="17"/>
      <c r="SHW205" s="17"/>
      <c r="SHX205" s="17"/>
      <c r="SHY205" s="17"/>
      <c r="SHZ205" s="17"/>
      <c r="SIA205" s="17"/>
      <c r="SIB205" s="17"/>
      <c r="SIC205" s="17"/>
      <c r="SID205" s="17"/>
      <c r="SIE205" s="17"/>
      <c r="SIF205" s="17"/>
      <c r="SIG205" s="17"/>
      <c r="SIH205" s="17"/>
      <c r="SII205" s="17"/>
      <c r="SIJ205" s="17"/>
      <c r="SIK205" s="17"/>
      <c r="SIL205" s="17"/>
      <c r="SIM205" s="17"/>
      <c r="SIN205" s="17"/>
      <c r="SIO205" s="17"/>
      <c r="SIP205" s="17"/>
      <c r="SIQ205" s="17"/>
      <c r="SIR205" s="17"/>
      <c r="SIS205" s="17"/>
      <c r="SIT205" s="17"/>
      <c r="SIU205" s="17"/>
      <c r="SIV205" s="17"/>
      <c r="SIW205" s="17"/>
      <c r="SIX205" s="17"/>
      <c r="SIY205" s="17"/>
      <c r="SIZ205" s="17"/>
      <c r="SJA205" s="17"/>
      <c r="SJB205" s="17"/>
      <c r="SJC205" s="17"/>
      <c r="SJD205" s="17"/>
      <c r="SJE205" s="17"/>
      <c r="SJF205" s="17"/>
      <c r="SJG205" s="17"/>
      <c r="SJH205" s="17"/>
      <c r="SJI205" s="17"/>
      <c r="SJJ205" s="17"/>
      <c r="SJK205" s="17"/>
      <c r="SJL205" s="17"/>
      <c r="SJM205" s="17"/>
      <c r="SJN205" s="17"/>
      <c r="SJO205" s="17"/>
      <c r="SJP205" s="17"/>
      <c r="SJQ205" s="17"/>
      <c r="SJR205" s="17"/>
      <c r="SJS205" s="17"/>
      <c r="SJT205" s="17"/>
      <c r="SJU205" s="17"/>
      <c r="SJV205" s="17"/>
      <c r="SJW205" s="17"/>
      <c r="SJX205" s="17"/>
      <c r="SJY205" s="17"/>
      <c r="SJZ205" s="17"/>
      <c r="SKA205" s="17"/>
      <c r="SKB205" s="17"/>
      <c r="SKC205" s="17"/>
      <c r="SKD205" s="17"/>
      <c r="SKE205" s="17"/>
      <c r="SKF205" s="17"/>
      <c r="SKG205" s="17"/>
      <c r="SKH205" s="17"/>
      <c r="SKI205" s="17"/>
      <c r="SKJ205" s="17"/>
      <c r="SKK205" s="17"/>
      <c r="SKL205" s="17"/>
      <c r="SKM205" s="17"/>
      <c r="SKN205" s="17"/>
      <c r="SKO205" s="17"/>
      <c r="SKP205" s="17"/>
      <c r="SKQ205" s="17"/>
      <c r="SKR205" s="17"/>
      <c r="SKS205" s="17"/>
      <c r="SKT205" s="17"/>
      <c r="SKU205" s="17"/>
      <c r="SKV205" s="17"/>
      <c r="SKW205" s="17"/>
      <c r="SKX205" s="17"/>
      <c r="SKY205" s="17"/>
      <c r="SKZ205" s="17"/>
      <c r="SLA205" s="17"/>
      <c r="SLB205" s="17"/>
      <c r="SLC205" s="17"/>
      <c r="SLD205" s="17"/>
      <c r="SLE205" s="17"/>
      <c r="SLF205" s="17"/>
      <c r="SLG205" s="17"/>
      <c r="SLH205" s="17"/>
      <c r="SLI205" s="17"/>
      <c r="SLJ205" s="17"/>
      <c r="SLK205" s="17"/>
      <c r="SLL205" s="17"/>
      <c r="SLM205" s="17"/>
      <c r="SLN205" s="17"/>
      <c r="SLO205" s="17"/>
      <c r="SLP205" s="17"/>
      <c r="SLQ205" s="17"/>
      <c r="SLR205" s="17"/>
      <c r="SLS205" s="17"/>
      <c r="SLT205" s="17"/>
      <c r="SLU205" s="17"/>
      <c r="SLV205" s="17"/>
      <c r="SLW205" s="17"/>
      <c r="SLX205" s="17"/>
      <c r="SLY205" s="17"/>
      <c r="SLZ205" s="17"/>
      <c r="SMA205" s="17"/>
      <c r="SMB205" s="17"/>
      <c r="SMC205" s="17"/>
      <c r="SMD205" s="17"/>
      <c r="SME205" s="17"/>
      <c r="SMF205" s="17"/>
      <c r="SMG205" s="17"/>
      <c r="SMH205" s="17"/>
      <c r="SMI205" s="17"/>
      <c r="SMJ205" s="17"/>
      <c r="SMK205" s="17"/>
      <c r="SML205" s="17"/>
      <c r="SMM205" s="17"/>
      <c r="SMN205" s="17"/>
      <c r="SMO205" s="17"/>
      <c r="SMP205" s="17"/>
      <c r="SMQ205" s="17"/>
      <c r="SMR205" s="17"/>
      <c r="SMS205" s="17"/>
      <c r="SMT205" s="17"/>
      <c r="SMU205" s="17"/>
      <c r="SMV205" s="17"/>
      <c r="SMW205" s="17"/>
      <c r="SMX205" s="17"/>
      <c r="SMY205" s="17"/>
      <c r="SMZ205" s="17"/>
      <c r="SNA205" s="17"/>
      <c r="SNB205" s="17"/>
      <c r="SNC205" s="17"/>
      <c r="SND205" s="17"/>
      <c r="SNE205" s="17"/>
      <c r="SNF205" s="17"/>
      <c r="SNG205" s="17"/>
      <c r="SNH205" s="17"/>
      <c r="SNI205" s="17"/>
      <c r="SNJ205" s="17"/>
      <c r="SNK205" s="17"/>
      <c r="SNL205" s="17"/>
      <c r="SNM205" s="17"/>
      <c r="SNN205" s="17"/>
      <c r="SNO205" s="17"/>
      <c r="SNP205" s="17"/>
      <c r="SNQ205" s="17"/>
      <c r="SNR205" s="17"/>
      <c r="SNS205" s="17"/>
      <c r="SNT205" s="17"/>
      <c r="SNU205" s="17"/>
      <c r="SNV205" s="17"/>
      <c r="SNW205" s="17"/>
      <c r="SNX205" s="17"/>
      <c r="SNY205" s="17"/>
      <c r="SNZ205" s="17"/>
      <c r="SOA205" s="17"/>
      <c r="SOB205" s="17"/>
      <c r="SOC205" s="17"/>
      <c r="SOD205" s="17"/>
      <c r="SOE205" s="17"/>
      <c r="SOF205" s="17"/>
      <c r="SOG205" s="17"/>
      <c r="SOH205" s="17"/>
      <c r="SOI205" s="17"/>
      <c r="SOJ205" s="17"/>
      <c r="SOK205" s="17"/>
      <c r="SOL205" s="17"/>
      <c r="SOM205" s="17"/>
      <c r="SON205" s="17"/>
      <c r="SOO205" s="17"/>
      <c r="SOP205" s="17"/>
      <c r="SOQ205" s="17"/>
      <c r="SOR205" s="17"/>
      <c r="SOS205" s="17"/>
      <c r="SOT205" s="17"/>
      <c r="SOU205" s="17"/>
      <c r="SOV205" s="17"/>
      <c r="SOW205" s="17"/>
      <c r="SOX205" s="17"/>
      <c r="SOY205" s="17"/>
      <c r="SOZ205" s="17"/>
      <c r="SPA205" s="17"/>
      <c r="SPB205" s="17"/>
      <c r="SPC205" s="17"/>
      <c r="SPD205" s="17"/>
      <c r="SPE205" s="17"/>
      <c r="SPF205" s="17"/>
      <c r="SPG205" s="17"/>
      <c r="SPH205" s="17"/>
      <c r="SPI205" s="17"/>
      <c r="SPJ205" s="17"/>
      <c r="SPK205" s="17"/>
      <c r="SPL205" s="17"/>
      <c r="SPM205" s="17"/>
      <c r="SPN205" s="17"/>
      <c r="SPO205" s="17"/>
      <c r="SPP205" s="17"/>
      <c r="SPQ205" s="17"/>
      <c r="SPR205" s="17"/>
      <c r="SPS205" s="17"/>
      <c r="SPT205" s="17"/>
      <c r="SPU205" s="17"/>
      <c r="SPV205" s="17"/>
      <c r="SPW205" s="17"/>
      <c r="SPX205" s="17"/>
      <c r="SPY205" s="17"/>
      <c r="SPZ205" s="17"/>
      <c r="SQA205" s="17"/>
      <c r="SQB205" s="17"/>
      <c r="SQC205" s="17"/>
      <c r="SQD205" s="17"/>
      <c r="SQE205" s="17"/>
      <c r="SQF205" s="17"/>
      <c r="SQG205" s="17"/>
      <c r="SQH205" s="17"/>
      <c r="SQI205" s="17"/>
      <c r="SQJ205" s="17"/>
      <c r="SQK205" s="17"/>
      <c r="SQL205" s="17"/>
      <c r="SQM205" s="17"/>
      <c r="SQN205" s="17"/>
      <c r="SQO205" s="17"/>
      <c r="SQP205" s="17"/>
      <c r="SQQ205" s="17"/>
      <c r="SQR205" s="17"/>
      <c r="SQS205" s="17"/>
      <c r="SQT205" s="17"/>
      <c r="SQU205" s="17"/>
      <c r="SQV205" s="17"/>
      <c r="SQW205" s="17"/>
      <c r="SQX205" s="17"/>
      <c r="SQY205" s="17"/>
      <c r="SQZ205" s="17"/>
      <c r="SRA205" s="17"/>
      <c r="SRB205" s="17"/>
      <c r="SRC205" s="17"/>
      <c r="SRD205" s="17"/>
      <c r="SRE205" s="17"/>
      <c r="SRF205" s="17"/>
      <c r="SRG205" s="17"/>
      <c r="SRH205" s="17"/>
      <c r="SRI205" s="17"/>
      <c r="SRJ205" s="17"/>
      <c r="SRK205" s="17"/>
      <c r="SRL205" s="17"/>
      <c r="SRM205" s="17"/>
      <c r="SRN205" s="17"/>
      <c r="SRO205" s="17"/>
      <c r="SRP205" s="17"/>
      <c r="SRQ205" s="17"/>
      <c r="SRR205" s="17"/>
      <c r="SRS205" s="17"/>
      <c r="SRT205" s="17"/>
      <c r="SRU205" s="17"/>
      <c r="SRV205" s="17"/>
      <c r="SRW205" s="17"/>
      <c r="SRX205" s="17"/>
      <c r="SRY205" s="17"/>
      <c r="SRZ205" s="17"/>
      <c r="SSA205" s="17"/>
      <c r="SSB205" s="17"/>
      <c r="SSC205" s="17"/>
      <c r="SSD205" s="17"/>
      <c r="SSE205" s="17"/>
      <c r="SSF205" s="17"/>
      <c r="SSG205" s="17"/>
      <c r="SSH205" s="17"/>
      <c r="SSI205" s="17"/>
      <c r="SSJ205" s="17"/>
      <c r="SSK205" s="17"/>
      <c r="SSL205" s="17"/>
      <c r="SSM205" s="17"/>
      <c r="SSN205" s="17"/>
      <c r="SSO205" s="17"/>
      <c r="SSP205" s="17"/>
      <c r="SSQ205" s="17"/>
      <c r="SSR205" s="17"/>
      <c r="SSS205" s="17"/>
      <c r="SST205" s="17"/>
      <c r="SSU205" s="17"/>
      <c r="SSV205" s="17"/>
      <c r="SSW205" s="17"/>
      <c r="SSX205" s="17"/>
      <c r="SSY205" s="17"/>
      <c r="SSZ205" s="17"/>
      <c r="STA205" s="17"/>
      <c r="STB205" s="17"/>
      <c r="STC205" s="17"/>
      <c r="STD205" s="17"/>
      <c r="STE205" s="17"/>
      <c r="STF205" s="17"/>
      <c r="STG205" s="17"/>
      <c r="STH205" s="17"/>
      <c r="STI205" s="17"/>
      <c r="STJ205" s="17"/>
      <c r="STK205" s="17"/>
      <c r="STL205" s="17"/>
      <c r="STM205" s="17"/>
      <c r="STN205" s="17"/>
      <c r="STO205" s="17"/>
      <c r="STP205" s="17"/>
      <c r="STQ205" s="17"/>
      <c r="STR205" s="17"/>
      <c r="STS205" s="17"/>
      <c r="STT205" s="17"/>
      <c r="STU205" s="17"/>
      <c r="STV205" s="17"/>
      <c r="STW205" s="17"/>
      <c r="STX205" s="17"/>
      <c r="STY205" s="17"/>
      <c r="STZ205" s="17"/>
      <c r="SUA205" s="17"/>
      <c r="SUB205" s="17"/>
      <c r="SUC205" s="17"/>
      <c r="SUD205" s="17"/>
      <c r="SUE205" s="17"/>
      <c r="SUF205" s="17"/>
      <c r="SUG205" s="17"/>
      <c r="SUH205" s="17"/>
      <c r="SUI205" s="17"/>
      <c r="SUJ205" s="17"/>
      <c r="SUK205" s="17"/>
      <c r="SUL205" s="17"/>
      <c r="SUM205" s="17"/>
      <c r="SUN205" s="17"/>
      <c r="SUO205" s="17"/>
      <c r="SUP205" s="17"/>
      <c r="SUQ205" s="17"/>
      <c r="SUR205" s="17"/>
      <c r="SUS205" s="17"/>
      <c r="SUT205" s="17"/>
      <c r="SUU205" s="17"/>
      <c r="SUV205" s="17"/>
      <c r="SUW205" s="17"/>
      <c r="SUX205" s="17"/>
      <c r="SUY205" s="17"/>
      <c r="SUZ205" s="17"/>
      <c r="SVA205" s="17"/>
      <c r="SVB205" s="17"/>
      <c r="SVC205" s="17"/>
      <c r="SVD205" s="17"/>
      <c r="SVE205" s="17"/>
      <c r="SVF205" s="17"/>
      <c r="SVG205" s="17"/>
      <c r="SVH205" s="17"/>
      <c r="SVI205" s="17"/>
      <c r="SVJ205" s="17"/>
      <c r="SVK205" s="17"/>
      <c r="SVL205" s="17"/>
      <c r="SVM205" s="17"/>
      <c r="SVN205" s="17"/>
      <c r="SVO205" s="17"/>
      <c r="SVP205" s="17"/>
      <c r="SVQ205" s="17"/>
      <c r="SVR205" s="17"/>
      <c r="SVS205" s="17"/>
      <c r="SVT205" s="17"/>
      <c r="SVU205" s="17"/>
      <c r="SVV205" s="17"/>
      <c r="SVW205" s="17"/>
      <c r="SVX205" s="17"/>
      <c r="SVY205" s="17"/>
      <c r="SVZ205" s="17"/>
      <c r="SWA205" s="17"/>
      <c r="SWB205" s="17"/>
      <c r="SWC205" s="17"/>
      <c r="SWD205" s="17"/>
      <c r="SWE205" s="17"/>
      <c r="SWF205" s="17"/>
      <c r="SWG205" s="17"/>
      <c r="SWH205" s="17"/>
      <c r="SWI205" s="17"/>
      <c r="SWJ205" s="17"/>
      <c r="SWK205" s="17"/>
      <c r="SWL205" s="17"/>
      <c r="SWM205" s="17"/>
      <c r="SWN205" s="17"/>
      <c r="SWO205" s="17"/>
      <c r="SWP205" s="17"/>
      <c r="SWQ205" s="17"/>
      <c r="SWR205" s="17"/>
      <c r="SWS205" s="17"/>
      <c r="SWT205" s="17"/>
      <c r="SWU205" s="17"/>
      <c r="SWV205" s="17"/>
      <c r="SWW205" s="17"/>
      <c r="SWX205" s="17"/>
      <c r="SWY205" s="17"/>
      <c r="SWZ205" s="17"/>
      <c r="SXA205" s="17"/>
      <c r="SXB205" s="17"/>
      <c r="SXC205" s="17"/>
      <c r="SXD205" s="17"/>
      <c r="SXE205" s="17"/>
      <c r="SXF205" s="17"/>
      <c r="SXG205" s="17"/>
      <c r="SXH205" s="17"/>
      <c r="SXI205" s="17"/>
      <c r="SXJ205" s="17"/>
      <c r="SXK205" s="17"/>
      <c r="SXL205" s="17"/>
      <c r="SXM205" s="17"/>
      <c r="SXN205" s="17"/>
      <c r="SXO205" s="17"/>
      <c r="SXP205" s="17"/>
      <c r="SXQ205" s="17"/>
      <c r="SXR205" s="17"/>
      <c r="SXS205" s="17"/>
      <c r="SXT205" s="17"/>
      <c r="SXU205" s="17"/>
      <c r="SXV205" s="17"/>
      <c r="SXW205" s="17"/>
      <c r="SXX205" s="17"/>
      <c r="SXY205" s="17"/>
      <c r="SXZ205" s="17"/>
      <c r="SYA205" s="17"/>
      <c r="SYB205" s="17"/>
      <c r="SYC205" s="17"/>
      <c r="SYD205" s="17"/>
      <c r="SYE205" s="17"/>
      <c r="SYF205" s="17"/>
      <c r="SYG205" s="17"/>
      <c r="SYH205" s="17"/>
      <c r="SYI205" s="17"/>
      <c r="SYJ205" s="17"/>
      <c r="SYK205" s="17"/>
      <c r="SYL205" s="17"/>
      <c r="SYM205" s="17"/>
      <c r="SYN205" s="17"/>
      <c r="SYO205" s="17"/>
      <c r="SYP205" s="17"/>
      <c r="SYQ205" s="17"/>
      <c r="SYR205" s="17"/>
      <c r="SYS205" s="17"/>
      <c r="SYT205" s="17"/>
      <c r="SYU205" s="17"/>
      <c r="SYV205" s="17"/>
      <c r="SYW205" s="17"/>
      <c r="SYX205" s="17"/>
      <c r="SYY205" s="17"/>
      <c r="SYZ205" s="17"/>
      <c r="SZA205" s="17"/>
      <c r="SZB205" s="17"/>
      <c r="SZC205" s="17"/>
      <c r="SZD205" s="17"/>
      <c r="SZE205" s="17"/>
      <c r="SZF205" s="17"/>
      <c r="SZG205" s="17"/>
      <c r="SZH205" s="17"/>
      <c r="SZI205" s="17"/>
      <c r="SZJ205" s="17"/>
      <c r="SZK205" s="17"/>
      <c r="SZL205" s="17"/>
      <c r="SZM205" s="17"/>
      <c r="SZN205" s="17"/>
      <c r="SZO205" s="17"/>
      <c r="SZP205" s="17"/>
      <c r="SZQ205" s="17"/>
      <c r="SZR205" s="17"/>
      <c r="SZS205" s="17"/>
      <c r="SZT205" s="17"/>
      <c r="SZU205" s="17"/>
      <c r="SZV205" s="17"/>
      <c r="SZW205" s="17"/>
      <c r="SZX205" s="17"/>
      <c r="SZY205" s="17"/>
      <c r="SZZ205" s="17"/>
      <c r="TAA205" s="17"/>
      <c r="TAB205" s="17"/>
      <c r="TAC205" s="17"/>
      <c r="TAD205" s="17"/>
      <c r="TAE205" s="17"/>
      <c r="TAF205" s="17"/>
      <c r="TAG205" s="17"/>
      <c r="TAH205" s="17"/>
      <c r="TAI205" s="17"/>
      <c r="TAJ205" s="17"/>
      <c r="TAK205" s="17"/>
      <c r="TAL205" s="17"/>
      <c r="TAM205" s="17"/>
      <c r="TAN205" s="17"/>
      <c r="TAO205" s="17"/>
      <c r="TAP205" s="17"/>
      <c r="TAQ205" s="17"/>
      <c r="TAR205" s="17"/>
      <c r="TAS205" s="17"/>
      <c r="TAT205" s="17"/>
      <c r="TAU205" s="17"/>
      <c r="TAV205" s="17"/>
      <c r="TAW205" s="17"/>
      <c r="TAX205" s="17"/>
      <c r="TAY205" s="17"/>
      <c r="TAZ205" s="17"/>
      <c r="TBA205" s="17"/>
      <c r="TBB205" s="17"/>
      <c r="TBC205" s="17"/>
      <c r="TBD205" s="17"/>
      <c r="TBE205" s="17"/>
      <c r="TBF205" s="17"/>
      <c r="TBG205" s="17"/>
      <c r="TBH205" s="17"/>
      <c r="TBI205" s="17"/>
      <c r="TBJ205" s="17"/>
      <c r="TBK205" s="17"/>
      <c r="TBL205" s="17"/>
      <c r="TBM205" s="17"/>
      <c r="TBN205" s="17"/>
      <c r="TBO205" s="17"/>
      <c r="TBP205" s="17"/>
      <c r="TBQ205" s="17"/>
      <c r="TBR205" s="17"/>
      <c r="TBS205" s="17"/>
      <c r="TBT205" s="17"/>
      <c r="TBU205" s="17"/>
      <c r="TBV205" s="17"/>
      <c r="TBW205" s="17"/>
      <c r="TBX205" s="17"/>
      <c r="TBY205" s="17"/>
      <c r="TBZ205" s="17"/>
      <c r="TCA205" s="17"/>
      <c r="TCB205" s="17"/>
      <c r="TCC205" s="17"/>
      <c r="TCD205" s="17"/>
      <c r="TCE205" s="17"/>
      <c r="TCF205" s="17"/>
      <c r="TCG205" s="17"/>
      <c r="TCH205" s="17"/>
      <c r="TCI205" s="17"/>
      <c r="TCJ205" s="17"/>
      <c r="TCK205" s="17"/>
      <c r="TCL205" s="17"/>
      <c r="TCM205" s="17"/>
      <c r="TCN205" s="17"/>
      <c r="TCO205" s="17"/>
      <c r="TCP205" s="17"/>
      <c r="TCQ205" s="17"/>
      <c r="TCR205" s="17"/>
      <c r="TCS205" s="17"/>
      <c r="TCT205" s="17"/>
      <c r="TCU205" s="17"/>
      <c r="TCV205" s="17"/>
      <c r="TCW205" s="17"/>
      <c r="TCX205" s="17"/>
      <c r="TCY205" s="17"/>
      <c r="TCZ205" s="17"/>
      <c r="TDA205" s="17"/>
      <c r="TDB205" s="17"/>
      <c r="TDC205" s="17"/>
      <c r="TDD205" s="17"/>
      <c r="TDE205" s="17"/>
      <c r="TDF205" s="17"/>
      <c r="TDG205" s="17"/>
      <c r="TDH205" s="17"/>
      <c r="TDI205" s="17"/>
      <c r="TDJ205" s="17"/>
      <c r="TDK205" s="17"/>
      <c r="TDL205" s="17"/>
      <c r="TDM205" s="17"/>
      <c r="TDN205" s="17"/>
      <c r="TDO205" s="17"/>
      <c r="TDP205" s="17"/>
      <c r="TDQ205" s="17"/>
      <c r="TDR205" s="17"/>
      <c r="TDS205" s="17"/>
      <c r="TDT205" s="17"/>
      <c r="TDU205" s="17"/>
      <c r="TDV205" s="17"/>
      <c r="TDW205" s="17"/>
      <c r="TDX205" s="17"/>
      <c r="TDY205" s="17"/>
      <c r="TDZ205" s="17"/>
      <c r="TEA205" s="17"/>
      <c r="TEB205" s="17"/>
      <c r="TEC205" s="17"/>
      <c r="TED205" s="17"/>
      <c r="TEE205" s="17"/>
      <c r="TEF205" s="17"/>
      <c r="TEG205" s="17"/>
      <c r="TEH205" s="17"/>
      <c r="TEI205" s="17"/>
      <c r="TEJ205" s="17"/>
      <c r="TEK205" s="17"/>
      <c r="TEL205" s="17"/>
      <c r="TEM205" s="17"/>
      <c r="TEN205" s="17"/>
      <c r="TEO205" s="17"/>
      <c r="TEP205" s="17"/>
      <c r="TEQ205" s="17"/>
      <c r="TER205" s="17"/>
      <c r="TES205" s="17"/>
      <c r="TET205" s="17"/>
      <c r="TEU205" s="17"/>
      <c r="TEV205" s="17"/>
      <c r="TEW205" s="17"/>
      <c r="TEX205" s="17"/>
      <c r="TEY205" s="17"/>
      <c r="TEZ205" s="17"/>
      <c r="TFA205" s="17"/>
      <c r="TFB205" s="17"/>
      <c r="TFC205" s="17"/>
      <c r="TFD205" s="17"/>
      <c r="TFE205" s="17"/>
      <c r="TFF205" s="17"/>
      <c r="TFG205" s="17"/>
      <c r="TFH205" s="17"/>
      <c r="TFI205" s="17"/>
      <c r="TFJ205" s="17"/>
      <c r="TFK205" s="17"/>
      <c r="TFL205" s="17"/>
      <c r="TFM205" s="17"/>
      <c r="TFN205" s="17"/>
      <c r="TFO205" s="17"/>
      <c r="TFP205" s="17"/>
      <c r="TFQ205" s="17"/>
      <c r="TFR205" s="17"/>
      <c r="TFS205" s="17"/>
      <c r="TFT205" s="17"/>
      <c r="TFU205" s="17"/>
      <c r="TFV205" s="17"/>
      <c r="TFW205" s="17"/>
      <c r="TFX205" s="17"/>
      <c r="TFY205" s="17"/>
      <c r="TFZ205" s="17"/>
      <c r="TGA205" s="17"/>
      <c r="TGB205" s="17"/>
      <c r="TGC205" s="17"/>
      <c r="TGD205" s="17"/>
      <c r="TGE205" s="17"/>
      <c r="TGF205" s="17"/>
      <c r="TGG205" s="17"/>
      <c r="TGH205" s="17"/>
      <c r="TGI205" s="17"/>
      <c r="TGJ205" s="17"/>
      <c r="TGK205" s="17"/>
      <c r="TGL205" s="17"/>
      <c r="TGM205" s="17"/>
      <c r="TGN205" s="17"/>
      <c r="TGO205" s="17"/>
      <c r="TGP205" s="17"/>
      <c r="TGQ205" s="17"/>
      <c r="TGR205" s="17"/>
      <c r="TGS205" s="17"/>
      <c r="TGT205" s="17"/>
      <c r="TGU205" s="17"/>
      <c r="TGV205" s="17"/>
      <c r="TGW205" s="17"/>
      <c r="TGX205" s="17"/>
      <c r="TGY205" s="17"/>
      <c r="TGZ205" s="17"/>
      <c r="THA205" s="17"/>
      <c r="THB205" s="17"/>
      <c r="THC205" s="17"/>
      <c r="THD205" s="17"/>
      <c r="THE205" s="17"/>
      <c r="THF205" s="17"/>
      <c r="THG205" s="17"/>
      <c r="THH205" s="17"/>
      <c r="THI205" s="17"/>
      <c r="THJ205" s="17"/>
      <c r="THK205" s="17"/>
      <c r="THL205" s="17"/>
      <c r="THM205" s="17"/>
      <c r="THN205" s="17"/>
      <c r="THO205" s="17"/>
      <c r="THP205" s="17"/>
      <c r="THQ205" s="17"/>
      <c r="THR205" s="17"/>
      <c r="THS205" s="17"/>
      <c r="THT205" s="17"/>
      <c r="THU205" s="17"/>
      <c r="THV205" s="17"/>
      <c r="THW205" s="17"/>
      <c r="THX205" s="17"/>
      <c r="THY205" s="17"/>
      <c r="THZ205" s="17"/>
      <c r="TIA205" s="17"/>
      <c r="TIB205" s="17"/>
      <c r="TIC205" s="17"/>
      <c r="TID205" s="17"/>
      <c r="TIE205" s="17"/>
      <c r="TIF205" s="17"/>
      <c r="TIG205" s="17"/>
      <c r="TIH205" s="17"/>
      <c r="TII205" s="17"/>
      <c r="TIJ205" s="17"/>
      <c r="TIK205" s="17"/>
      <c r="TIL205" s="17"/>
      <c r="TIM205" s="17"/>
      <c r="TIN205" s="17"/>
      <c r="TIO205" s="17"/>
      <c r="TIP205" s="17"/>
      <c r="TIQ205" s="17"/>
      <c r="TIR205" s="17"/>
      <c r="TIS205" s="17"/>
      <c r="TIT205" s="17"/>
      <c r="TIU205" s="17"/>
      <c r="TIV205" s="17"/>
      <c r="TIW205" s="17"/>
      <c r="TIX205" s="17"/>
      <c r="TIY205" s="17"/>
      <c r="TIZ205" s="17"/>
      <c r="TJA205" s="17"/>
      <c r="TJB205" s="17"/>
      <c r="TJC205" s="17"/>
      <c r="TJD205" s="17"/>
      <c r="TJE205" s="17"/>
      <c r="TJF205" s="17"/>
      <c r="TJG205" s="17"/>
      <c r="TJH205" s="17"/>
      <c r="TJI205" s="17"/>
      <c r="TJJ205" s="17"/>
      <c r="TJK205" s="17"/>
      <c r="TJL205" s="17"/>
      <c r="TJM205" s="17"/>
      <c r="TJN205" s="17"/>
      <c r="TJO205" s="17"/>
      <c r="TJP205" s="17"/>
      <c r="TJQ205" s="17"/>
      <c r="TJR205" s="17"/>
      <c r="TJS205" s="17"/>
      <c r="TJT205" s="17"/>
      <c r="TJU205" s="17"/>
      <c r="TJV205" s="17"/>
      <c r="TJW205" s="17"/>
      <c r="TJX205" s="17"/>
      <c r="TJY205" s="17"/>
      <c r="TJZ205" s="17"/>
      <c r="TKA205" s="17"/>
      <c r="TKB205" s="17"/>
      <c r="TKC205" s="17"/>
      <c r="TKD205" s="17"/>
      <c r="TKE205" s="17"/>
      <c r="TKF205" s="17"/>
      <c r="TKG205" s="17"/>
      <c r="TKH205" s="17"/>
      <c r="TKI205" s="17"/>
      <c r="TKJ205" s="17"/>
      <c r="TKK205" s="17"/>
      <c r="TKL205" s="17"/>
      <c r="TKM205" s="17"/>
      <c r="TKN205" s="17"/>
      <c r="TKO205" s="17"/>
      <c r="TKP205" s="17"/>
      <c r="TKQ205" s="17"/>
      <c r="TKR205" s="17"/>
      <c r="TKS205" s="17"/>
      <c r="TKT205" s="17"/>
      <c r="TKU205" s="17"/>
      <c r="TKV205" s="17"/>
      <c r="TKW205" s="17"/>
      <c r="TKX205" s="17"/>
      <c r="TKY205" s="17"/>
      <c r="TKZ205" s="17"/>
      <c r="TLA205" s="17"/>
      <c r="TLB205" s="17"/>
      <c r="TLC205" s="17"/>
      <c r="TLD205" s="17"/>
      <c r="TLE205" s="17"/>
      <c r="TLF205" s="17"/>
      <c r="TLG205" s="17"/>
      <c r="TLH205" s="17"/>
      <c r="TLI205" s="17"/>
      <c r="TLJ205" s="17"/>
      <c r="TLK205" s="17"/>
      <c r="TLL205" s="17"/>
      <c r="TLM205" s="17"/>
      <c r="TLN205" s="17"/>
      <c r="TLO205" s="17"/>
      <c r="TLP205" s="17"/>
      <c r="TLQ205" s="17"/>
      <c r="TLR205" s="17"/>
      <c r="TLS205" s="17"/>
      <c r="TLT205" s="17"/>
      <c r="TLU205" s="17"/>
      <c r="TLV205" s="17"/>
      <c r="TLW205" s="17"/>
      <c r="TLX205" s="17"/>
      <c r="TLY205" s="17"/>
      <c r="TLZ205" s="17"/>
      <c r="TMA205" s="17"/>
      <c r="TMB205" s="17"/>
      <c r="TMC205" s="17"/>
      <c r="TMD205" s="17"/>
      <c r="TME205" s="17"/>
      <c r="TMF205" s="17"/>
      <c r="TMG205" s="17"/>
      <c r="TMH205" s="17"/>
      <c r="TMI205" s="17"/>
      <c r="TMJ205" s="17"/>
      <c r="TMK205" s="17"/>
      <c r="TML205" s="17"/>
      <c r="TMM205" s="17"/>
      <c r="TMN205" s="17"/>
      <c r="TMO205" s="17"/>
      <c r="TMP205" s="17"/>
      <c r="TMQ205" s="17"/>
      <c r="TMR205" s="17"/>
      <c r="TMS205" s="17"/>
      <c r="TMT205" s="17"/>
      <c r="TMU205" s="17"/>
      <c r="TMV205" s="17"/>
      <c r="TMW205" s="17"/>
      <c r="TMX205" s="17"/>
      <c r="TMY205" s="17"/>
      <c r="TMZ205" s="17"/>
      <c r="TNA205" s="17"/>
      <c r="TNB205" s="17"/>
      <c r="TNC205" s="17"/>
      <c r="TND205" s="17"/>
      <c r="TNE205" s="17"/>
      <c r="TNF205" s="17"/>
      <c r="TNG205" s="17"/>
      <c r="TNH205" s="17"/>
      <c r="TNI205" s="17"/>
      <c r="TNJ205" s="17"/>
      <c r="TNK205" s="17"/>
      <c r="TNL205" s="17"/>
      <c r="TNM205" s="17"/>
      <c r="TNN205" s="17"/>
      <c r="TNO205" s="17"/>
      <c r="TNP205" s="17"/>
      <c r="TNQ205" s="17"/>
      <c r="TNR205" s="17"/>
      <c r="TNS205" s="17"/>
      <c r="TNT205" s="17"/>
      <c r="TNU205" s="17"/>
      <c r="TNV205" s="17"/>
      <c r="TNW205" s="17"/>
      <c r="TNX205" s="17"/>
      <c r="TNY205" s="17"/>
      <c r="TNZ205" s="17"/>
      <c r="TOA205" s="17"/>
      <c r="TOB205" s="17"/>
      <c r="TOC205" s="17"/>
      <c r="TOD205" s="17"/>
      <c r="TOE205" s="17"/>
      <c r="TOF205" s="17"/>
      <c r="TOG205" s="17"/>
      <c r="TOH205" s="17"/>
      <c r="TOI205" s="17"/>
      <c r="TOJ205" s="17"/>
      <c r="TOK205" s="17"/>
      <c r="TOL205" s="17"/>
      <c r="TOM205" s="17"/>
      <c r="TON205" s="17"/>
      <c r="TOO205" s="17"/>
      <c r="TOP205" s="17"/>
      <c r="TOQ205" s="17"/>
      <c r="TOR205" s="17"/>
      <c r="TOS205" s="17"/>
      <c r="TOT205" s="17"/>
      <c r="TOU205" s="17"/>
      <c r="TOV205" s="17"/>
      <c r="TOW205" s="17"/>
      <c r="TOX205" s="17"/>
      <c r="TOY205" s="17"/>
      <c r="TOZ205" s="17"/>
      <c r="TPA205" s="17"/>
      <c r="TPB205" s="17"/>
      <c r="TPC205" s="17"/>
      <c r="TPD205" s="17"/>
      <c r="TPE205" s="17"/>
      <c r="TPF205" s="17"/>
      <c r="TPG205" s="17"/>
      <c r="TPH205" s="17"/>
      <c r="TPI205" s="17"/>
      <c r="TPJ205" s="17"/>
      <c r="TPK205" s="17"/>
      <c r="TPL205" s="17"/>
      <c r="TPM205" s="17"/>
      <c r="TPN205" s="17"/>
      <c r="TPO205" s="17"/>
      <c r="TPP205" s="17"/>
      <c r="TPQ205" s="17"/>
      <c r="TPR205" s="17"/>
      <c r="TPS205" s="17"/>
      <c r="TPT205" s="17"/>
      <c r="TPU205" s="17"/>
      <c r="TPV205" s="17"/>
      <c r="TPW205" s="17"/>
      <c r="TPX205" s="17"/>
      <c r="TPY205" s="17"/>
      <c r="TPZ205" s="17"/>
      <c r="TQA205" s="17"/>
      <c r="TQB205" s="17"/>
      <c r="TQC205" s="17"/>
      <c r="TQD205" s="17"/>
      <c r="TQE205" s="17"/>
      <c r="TQF205" s="17"/>
      <c r="TQG205" s="17"/>
      <c r="TQH205" s="17"/>
      <c r="TQI205" s="17"/>
      <c r="TQJ205" s="17"/>
      <c r="TQK205" s="17"/>
      <c r="TQL205" s="17"/>
      <c r="TQM205" s="17"/>
      <c r="TQN205" s="17"/>
      <c r="TQO205" s="17"/>
      <c r="TQP205" s="17"/>
      <c r="TQQ205" s="17"/>
      <c r="TQR205" s="17"/>
      <c r="TQS205" s="17"/>
      <c r="TQT205" s="17"/>
      <c r="TQU205" s="17"/>
      <c r="TQV205" s="17"/>
      <c r="TQW205" s="17"/>
      <c r="TQX205" s="17"/>
      <c r="TQY205" s="17"/>
      <c r="TQZ205" s="17"/>
      <c r="TRA205" s="17"/>
      <c r="TRB205" s="17"/>
      <c r="TRC205" s="17"/>
      <c r="TRD205" s="17"/>
      <c r="TRE205" s="17"/>
      <c r="TRF205" s="17"/>
      <c r="TRG205" s="17"/>
      <c r="TRH205" s="17"/>
      <c r="TRI205" s="17"/>
      <c r="TRJ205" s="17"/>
      <c r="TRK205" s="17"/>
      <c r="TRL205" s="17"/>
      <c r="TRM205" s="17"/>
      <c r="TRN205" s="17"/>
      <c r="TRO205" s="17"/>
      <c r="TRP205" s="17"/>
      <c r="TRQ205" s="17"/>
      <c r="TRR205" s="17"/>
      <c r="TRS205" s="17"/>
      <c r="TRT205" s="17"/>
      <c r="TRU205" s="17"/>
      <c r="TRV205" s="17"/>
      <c r="TRW205" s="17"/>
      <c r="TRX205" s="17"/>
      <c r="TRY205" s="17"/>
      <c r="TRZ205" s="17"/>
      <c r="TSA205" s="17"/>
      <c r="TSB205" s="17"/>
      <c r="TSC205" s="17"/>
      <c r="TSD205" s="17"/>
      <c r="TSE205" s="17"/>
      <c r="TSF205" s="17"/>
      <c r="TSG205" s="17"/>
      <c r="TSH205" s="17"/>
      <c r="TSI205" s="17"/>
      <c r="TSJ205" s="17"/>
      <c r="TSK205" s="17"/>
      <c r="TSL205" s="17"/>
      <c r="TSM205" s="17"/>
      <c r="TSN205" s="17"/>
      <c r="TSO205" s="17"/>
      <c r="TSP205" s="17"/>
      <c r="TSQ205" s="17"/>
      <c r="TSR205" s="17"/>
      <c r="TSS205" s="17"/>
      <c r="TST205" s="17"/>
      <c r="TSU205" s="17"/>
      <c r="TSV205" s="17"/>
      <c r="TSW205" s="17"/>
      <c r="TSX205" s="17"/>
      <c r="TSY205" s="17"/>
      <c r="TSZ205" s="17"/>
      <c r="TTA205" s="17"/>
      <c r="TTB205" s="17"/>
      <c r="TTC205" s="17"/>
      <c r="TTD205" s="17"/>
      <c r="TTE205" s="17"/>
      <c r="TTF205" s="17"/>
      <c r="TTG205" s="17"/>
      <c r="TTH205" s="17"/>
      <c r="TTI205" s="17"/>
      <c r="TTJ205" s="17"/>
      <c r="TTK205" s="17"/>
      <c r="TTL205" s="17"/>
      <c r="TTM205" s="17"/>
      <c r="TTN205" s="17"/>
      <c r="TTO205" s="17"/>
      <c r="TTP205" s="17"/>
      <c r="TTQ205" s="17"/>
      <c r="TTR205" s="17"/>
      <c r="TTS205" s="17"/>
      <c r="TTT205" s="17"/>
      <c r="TTU205" s="17"/>
      <c r="TTV205" s="17"/>
      <c r="TTW205" s="17"/>
      <c r="TTX205" s="17"/>
      <c r="TTY205" s="17"/>
      <c r="TTZ205" s="17"/>
      <c r="TUA205" s="17"/>
      <c r="TUB205" s="17"/>
      <c r="TUC205" s="17"/>
      <c r="TUD205" s="17"/>
      <c r="TUE205" s="17"/>
      <c r="TUF205" s="17"/>
      <c r="TUG205" s="17"/>
      <c r="TUH205" s="17"/>
      <c r="TUI205" s="17"/>
      <c r="TUJ205" s="17"/>
      <c r="TUK205" s="17"/>
      <c r="TUL205" s="17"/>
      <c r="TUM205" s="17"/>
      <c r="TUN205" s="17"/>
      <c r="TUO205" s="17"/>
      <c r="TUP205" s="17"/>
      <c r="TUQ205" s="17"/>
      <c r="TUR205" s="17"/>
      <c r="TUS205" s="17"/>
      <c r="TUT205" s="17"/>
      <c r="TUU205" s="17"/>
      <c r="TUV205" s="17"/>
      <c r="TUW205" s="17"/>
      <c r="TUX205" s="17"/>
      <c r="TUY205" s="17"/>
      <c r="TUZ205" s="17"/>
      <c r="TVA205" s="17"/>
      <c r="TVB205" s="17"/>
      <c r="TVC205" s="17"/>
      <c r="TVD205" s="17"/>
      <c r="TVE205" s="17"/>
      <c r="TVF205" s="17"/>
      <c r="TVG205" s="17"/>
      <c r="TVH205" s="17"/>
      <c r="TVI205" s="17"/>
      <c r="TVJ205" s="17"/>
      <c r="TVK205" s="17"/>
      <c r="TVL205" s="17"/>
      <c r="TVM205" s="17"/>
      <c r="TVN205" s="17"/>
      <c r="TVO205" s="17"/>
      <c r="TVP205" s="17"/>
      <c r="TVQ205" s="17"/>
      <c r="TVR205" s="17"/>
      <c r="TVS205" s="17"/>
      <c r="TVT205" s="17"/>
      <c r="TVU205" s="17"/>
      <c r="TVV205" s="17"/>
      <c r="TVW205" s="17"/>
      <c r="TVX205" s="17"/>
      <c r="TVY205" s="17"/>
      <c r="TVZ205" s="17"/>
      <c r="TWA205" s="17"/>
      <c r="TWB205" s="17"/>
      <c r="TWC205" s="17"/>
      <c r="TWD205" s="17"/>
      <c r="TWE205" s="17"/>
      <c r="TWF205" s="17"/>
      <c r="TWG205" s="17"/>
      <c r="TWH205" s="17"/>
      <c r="TWI205" s="17"/>
      <c r="TWJ205" s="17"/>
      <c r="TWK205" s="17"/>
      <c r="TWL205" s="17"/>
      <c r="TWM205" s="17"/>
      <c r="TWN205" s="17"/>
      <c r="TWO205" s="17"/>
      <c r="TWP205" s="17"/>
      <c r="TWQ205" s="17"/>
      <c r="TWR205" s="17"/>
      <c r="TWS205" s="17"/>
      <c r="TWT205" s="17"/>
      <c r="TWU205" s="17"/>
      <c r="TWV205" s="17"/>
      <c r="TWW205" s="17"/>
      <c r="TWX205" s="17"/>
      <c r="TWY205" s="17"/>
      <c r="TWZ205" s="17"/>
      <c r="TXA205" s="17"/>
      <c r="TXB205" s="17"/>
      <c r="TXC205" s="17"/>
      <c r="TXD205" s="17"/>
      <c r="TXE205" s="17"/>
      <c r="TXF205" s="17"/>
      <c r="TXG205" s="17"/>
      <c r="TXH205" s="17"/>
      <c r="TXI205" s="17"/>
      <c r="TXJ205" s="17"/>
      <c r="TXK205" s="17"/>
      <c r="TXL205" s="17"/>
      <c r="TXM205" s="17"/>
      <c r="TXN205" s="17"/>
      <c r="TXO205" s="17"/>
      <c r="TXP205" s="17"/>
      <c r="TXQ205" s="17"/>
      <c r="TXR205" s="17"/>
      <c r="TXS205" s="17"/>
      <c r="TXT205" s="17"/>
      <c r="TXU205" s="17"/>
      <c r="TXV205" s="17"/>
      <c r="TXW205" s="17"/>
      <c r="TXX205" s="17"/>
      <c r="TXY205" s="17"/>
      <c r="TXZ205" s="17"/>
      <c r="TYA205" s="17"/>
      <c r="TYB205" s="17"/>
      <c r="TYC205" s="17"/>
      <c r="TYD205" s="17"/>
      <c r="TYE205" s="17"/>
      <c r="TYF205" s="17"/>
      <c r="TYG205" s="17"/>
      <c r="TYH205" s="17"/>
      <c r="TYI205" s="17"/>
      <c r="TYJ205" s="17"/>
      <c r="TYK205" s="17"/>
      <c r="TYL205" s="17"/>
      <c r="TYM205" s="17"/>
      <c r="TYN205" s="17"/>
      <c r="TYO205" s="17"/>
      <c r="TYP205" s="17"/>
      <c r="TYQ205" s="17"/>
      <c r="TYR205" s="17"/>
      <c r="TYS205" s="17"/>
      <c r="TYT205" s="17"/>
      <c r="TYU205" s="17"/>
      <c r="TYV205" s="17"/>
      <c r="TYW205" s="17"/>
      <c r="TYX205" s="17"/>
      <c r="TYY205" s="17"/>
      <c r="TYZ205" s="17"/>
      <c r="TZA205" s="17"/>
      <c r="TZB205" s="17"/>
      <c r="TZC205" s="17"/>
      <c r="TZD205" s="17"/>
      <c r="TZE205" s="17"/>
      <c r="TZF205" s="17"/>
      <c r="TZG205" s="17"/>
      <c r="TZH205" s="17"/>
      <c r="TZI205" s="17"/>
      <c r="TZJ205" s="17"/>
      <c r="TZK205" s="17"/>
      <c r="TZL205" s="17"/>
      <c r="TZM205" s="17"/>
      <c r="TZN205" s="17"/>
      <c r="TZO205" s="17"/>
      <c r="TZP205" s="17"/>
      <c r="TZQ205" s="17"/>
      <c r="TZR205" s="17"/>
      <c r="TZS205" s="17"/>
      <c r="TZT205" s="17"/>
      <c r="TZU205" s="17"/>
      <c r="TZV205" s="17"/>
      <c r="TZW205" s="17"/>
      <c r="TZX205" s="17"/>
      <c r="TZY205" s="17"/>
      <c r="TZZ205" s="17"/>
      <c r="UAA205" s="17"/>
      <c r="UAB205" s="17"/>
      <c r="UAC205" s="17"/>
      <c r="UAD205" s="17"/>
      <c r="UAE205" s="17"/>
      <c r="UAF205" s="17"/>
      <c r="UAG205" s="17"/>
      <c r="UAH205" s="17"/>
      <c r="UAI205" s="17"/>
      <c r="UAJ205" s="17"/>
      <c r="UAK205" s="17"/>
      <c r="UAL205" s="17"/>
      <c r="UAM205" s="17"/>
      <c r="UAN205" s="17"/>
      <c r="UAO205" s="17"/>
      <c r="UAP205" s="17"/>
      <c r="UAQ205" s="17"/>
      <c r="UAR205" s="17"/>
      <c r="UAS205" s="17"/>
      <c r="UAT205" s="17"/>
      <c r="UAU205" s="17"/>
      <c r="UAV205" s="17"/>
      <c r="UAW205" s="17"/>
      <c r="UAX205" s="17"/>
      <c r="UAY205" s="17"/>
      <c r="UAZ205" s="17"/>
      <c r="UBA205" s="17"/>
      <c r="UBB205" s="17"/>
      <c r="UBC205" s="17"/>
      <c r="UBD205" s="17"/>
      <c r="UBE205" s="17"/>
      <c r="UBF205" s="17"/>
      <c r="UBG205" s="17"/>
      <c r="UBH205" s="17"/>
      <c r="UBI205" s="17"/>
      <c r="UBJ205" s="17"/>
      <c r="UBK205" s="17"/>
      <c r="UBL205" s="17"/>
      <c r="UBM205" s="17"/>
      <c r="UBN205" s="17"/>
      <c r="UBO205" s="17"/>
      <c r="UBP205" s="17"/>
      <c r="UBQ205" s="17"/>
      <c r="UBR205" s="17"/>
      <c r="UBS205" s="17"/>
      <c r="UBT205" s="17"/>
      <c r="UBU205" s="17"/>
      <c r="UBV205" s="17"/>
      <c r="UBW205" s="17"/>
      <c r="UBX205" s="17"/>
      <c r="UBY205" s="17"/>
      <c r="UBZ205" s="17"/>
      <c r="UCA205" s="17"/>
      <c r="UCB205" s="17"/>
      <c r="UCC205" s="17"/>
      <c r="UCD205" s="17"/>
      <c r="UCE205" s="17"/>
      <c r="UCF205" s="17"/>
      <c r="UCG205" s="17"/>
      <c r="UCH205" s="17"/>
      <c r="UCI205" s="17"/>
      <c r="UCJ205" s="17"/>
      <c r="UCK205" s="17"/>
      <c r="UCL205" s="17"/>
      <c r="UCM205" s="17"/>
      <c r="UCN205" s="17"/>
      <c r="UCO205" s="17"/>
      <c r="UCP205" s="17"/>
      <c r="UCQ205" s="17"/>
      <c r="UCR205" s="17"/>
      <c r="UCS205" s="17"/>
      <c r="UCT205" s="17"/>
      <c r="UCU205" s="17"/>
      <c r="UCV205" s="17"/>
      <c r="UCW205" s="17"/>
      <c r="UCX205" s="17"/>
      <c r="UCY205" s="17"/>
      <c r="UCZ205" s="17"/>
      <c r="UDA205" s="17"/>
      <c r="UDB205" s="17"/>
      <c r="UDC205" s="17"/>
      <c r="UDD205" s="17"/>
      <c r="UDE205" s="17"/>
      <c r="UDF205" s="17"/>
      <c r="UDG205" s="17"/>
      <c r="UDH205" s="17"/>
      <c r="UDI205" s="17"/>
      <c r="UDJ205" s="17"/>
      <c r="UDK205" s="17"/>
      <c r="UDL205" s="17"/>
      <c r="UDM205" s="17"/>
      <c r="UDN205" s="17"/>
      <c r="UDO205" s="17"/>
      <c r="UDP205" s="17"/>
      <c r="UDQ205" s="17"/>
      <c r="UDR205" s="17"/>
      <c r="UDS205" s="17"/>
      <c r="UDT205" s="17"/>
      <c r="UDU205" s="17"/>
      <c r="UDV205" s="17"/>
      <c r="UDW205" s="17"/>
      <c r="UDX205" s="17"/>
      <c r="UDY205" s="17"/>
      <c r="UDZ205" s="17"/>
      <c r="UEA205" s="17"/>
      <c r="UEB205" s="17"/>
      <c r="UEC205" s="17"/>
      <c r="UED205" s="17"/>
      <c r="UEE205" s="17"/>
      <c r="UEF205" s="17"/>
      <c r="UEG205" s="17"/>
      <c r="UEH205" s="17"/>
      <c r="UEI205" s="17"/>
      <c r="UEJ205" s="17"/>
      <c r="UEK205" s="17"/>
      <c r="UEL205" s="17"/>
      <c r="UEM205" s="17"/>
      <c r="UEN205" s="17"/>
      <c r="UEO205" s="17"/>
      <c r="UEP205" s="17"/>
      <c r="UEQ205" s="17"/>
      <c r="UER205" s="17"/>
      <c r="UES205" s="17"/>
      <c r="UET205" s="17"/>
      <c r="UEU205" s="17"/>
      <c r="UEV205" s="17"/>
      <c r="UEW205" s="17"/>
      <c r="UEX205" s="17"/>
      <c r="UEY205" s="17"/>
      <c r="UEZ205" s="17"/>
      <c r="UFA205" s="17"/>
      <c r="UFB205" s="17"/>
      <c r="UFC205" s="17"/>
      <c r="UFD205" s="17"/>
      <c r="UFE205" s="17"/>
      <c r="UFF205" s="17"/>
      <c r="UFG205" s="17"/>
      <c r="UFH205" s="17"/>
      <c r="UFI205" s="17"/>
      <c r="UFJ205" s="17"/>
      <c r="UFK205" s="17"/>
      <c r="UFL205" s="17"/>
      <c r="UFM205" s="17"/>
      <c r="UFN205" s="17"/>
      <c r="UFO205" s="17"/>
      <c r="UFP205" s="17"/>
      <c r="UFQ205" s="17"/>
      <c r="UFR205" s="17"/>
      <c r="UFS205" s="17"/>
      <c r="UFT205" s="17"/>
      <c r="UFU205" s="17"/>
      <c r="UFV205" s="17"/>
      <c r="UFW205" s="17"/>
      <c r="UFX205" s="17"/>
      <c r="UFY205" s="17"/>
      <c r="UFZ205" s="17"/>
      <c r="UGA205" s="17"/>
      <c r="UGB205" s="17"/>
      <c r="UGC205" s="17"/>
      <c r="UGD205" s="17"/>
      <c r="UGE205" s="17"/>
      <c r="UGF205" s="17"/>
      <c r="UGG205" s="17"/>
      <c r="UGH205" s="17"/>
      <c r="UGI205" s="17"/>
      <c r="UGJ205" s="17"/>
      <c r="UGK205" s="17"/>
      <c r="UGL205" s="17"/>
      <c r="UGM205" s="17"/>
      <c r="UGN205" s="17"/>
      <c r="UGO205" s="17"/>
      <c r="UGP205" s="17"/>
      <c r="UGQ205" s="17"/>
      <c r="UGR205" s="17"/>
      <c r="UGS205" s="17"/>
      <c r="UGT205" s="17"/>
      <c r="UGU205" s="17"/>
      <c r="UGV205" s="17"/>
      <c r="UGW205" s="17"/>
      <c r="UGX205" s="17"/>
      <c r="UGY205" s="17"/>
      <c r="UGZ205" s="17"/>
      <c r="UHA205" s="17"/>
      <c r="UHB205" s="17"/>
      <c r="UHC205" s="17"/>
      <c r="UHD205" s="17"/>
      <c r="UHE205" s="17"/>
      <c r="UHF205" s="17"/>
      <c r="UHG205" s="17"/>
      <c r="UHH205" s="17"/>
      <c r="UHI205" s="17"/>
      <c r="UHJ205" s="17"/>
      <c r="UHK205" s="17"/>
      <c r="UHL205" s="17"/>
      <c r="UHM205" s="17"/>
      <c r="UHN205" s="17"/>
      <c r="UHO205" s="17"/>
      <c r="UHP205" s="17"/>
      <c r="UHQ205" s="17"/>
      <c r="UHR205" s="17"/>
      <c r="UHS205" s="17"/>
      <c r="UHT205" s="17"/>
      <c r="UHU205" s="17"/>
      <c r="UHV205" s="17"/>
      <c r="UHW205" s="17"/>
      <c r="UHX205" s="17"/>
      <c r="UHY205" s="17"/>
      <c r="UHZ205" s="17"/>
      <c r="UIA205" s="17"/>
      <c r="UIB205" s="17"/>
      <c r="UIC205" s="17"/>
      <c r="UID205" s="17"/>
      <c r="UIE205" s="17"/>
      <c r="UIF205" s="17"/>
      <c r="UIG205" s="17"/>
      <c r="UIH205" s="17"/>
      <c r="UII205" s="17"/>
      <c r="UIJ205" s="17"/>
      <c r="UIK205" s="17"/>
      <c r="UIL205" s="17"/>
      <c r="UIM205" s="17"/>
      <c r="UIN205" s="17"/>
      <c r="UIO205" s="17"/>
      <c r="UIP205" s="17"/>
      <c r="UIQ205" s="17"/>
      <c r="UIR205" s="17"/>
      <c r="UIS205" s="17"/>
      <c r="UIT205" s="17"/>
      <c r="UIU205" s="17"/>
      <c r="UIV205" s="17"/>
      <c r="UIW205" s="17"/>
      <c r="UIX205" s="17"/>
      <c r="UIY205" s="17"/>
      <c r="UIZ205" s="17"/>
      <c r="UJA205" s="17"/>
      <c r="UJB205" s="17"/>
      <c r="UJC205" s="17"/>
      <c r="UJD205" s="17"/>
      <c r="UJE205" s="17"/>
      <c r="UJF205" s="17"/>
      <c r="UJG205" s="17"/>
      <c r="UJH205" s="17"/>
      <c r="UJI205" s="17"/>
      <c r="UJJ205" s="17"/>
      <c r="UJK205" s="17"/>
      <c r="UJL205" s="17"/>
      <c r="UJM205" s="17"/>
      <c r="UJN205" s="17"/>
      <c r="UJO205" s="17"/>
      <c r="UJP205" s="17"/>
      <c r="UJQ205" s="17"/>
      <c r="UJR205" s="17"/>
      <c r="UJS205" s="17"/>
      <c r="UJT205" s="17"/>
      <c r="UJU205" s="17"/>
      <c r="UJV205" s="17"/>
      <c r="UJW205" s="17"/>
      <c r="UJX205" s="17"/>
      <c r="UJY205" s="17"/>
      <c r="UJZ205" s="17"/>
      <c r="UKA205" s="17"/>
      <c r="UKB205" s="17"/>
      <c r="UKC205" s="17"/>
      <c r="UKD205" s="17"/>
      <c r="UKE205" s="17"/>
      <c r="UKF205" s="17"/>
      <c r="UKG205" s="17"/>
      <c r="UKH205" s="17"/>
      <c r="UKI205" s="17"/>
      <c r="UKJ205" s="17"/>
      <c r="UKK205" s="17"/>
      <c r="UKL205" s="17"/>
      <c r="UKM205" s="17"/>
      <c r="UKN205" s="17"/>
      <c r="UKO205" s="17"/>
      <c r="UKP205" s="17"/>
      <c r="UKQ205" s="17"/>
      <c r="UKR205" s="17"/>
      <c r="UKS205" s="17"/>
      <c r="UKT205" s="17"/>
      <c r="UKU205" s="17"/>
      <c r="UKV205" s="17"/>
      <c r="UKW205" s="17"/>
      <c r="UKX205" s="17"/>
      <c r="UKY205" s="17"/>
      <c r="UKZ205" s="17"/>
      <c r="ULA205" s="17"/>
      <c r="ULB205" s="17"/>
      <c r="ULC205" s="17"/>
      <c r="ULD205" s="17"/>
      <c r="ULE205" s="17"/>
      <c r="ULF205" s="17"/>
      <c r="ULG205" s="17"/>
      <c r="ULH205" s="17"/>
      <c r="ULI205" s="17"/>
      <c r="ULJ205" s="17"/>
      <c r="ULK205" s="17"/>
      <c r="ULL205" s="17"/>
      <c r="ULM205" s="17"/>
      <c r="ULN205" s="17"/>
      <c r="ULO205" s="17"/>
      <c r="ULP205" s="17"/>
      <c r="ULQ205" s="17"/>
      <c r="ULR205" s="17"/>
      <c r="ULS205" s="17"/>
      <c r="ULT205" s="17"/>
      <c r="ULU205" s="17"/>
      <c r="ULV205" s="17"/>
      <c r="ULW205" s="17"/>
      <c r="ULX205" s="17"/>
      <c r="ULY205" s="17"/>
      <c r="ULZ205" s="17"/>
      <c r="UMA205" s="17"/>
      <c r="UMB205" s="17"/>
      <c r="UMC205" s="17"/>
      <c r="UMD205" s="17"/>
      <c r="UME205" s="17"/>
      <c r="UMF205" s="17"/>
      <c r="UMG205" s="17"/>
      <c r="UMH205" s="17"/>
      <c r="UMI205" s="17"/>
      <c r="UMJ205" s="17"/>
      <c r="UMK205" s="17"/>
      <c r="UML205" s="17"/>
      <c r="UMM205" s="17"/>
      <c r="UMN205" s="17"/>
      <c r="UMO205" s="17"/>
      <c r="UMP205" s="17"/>
      <c r="UMQ205" s="17"/>
      <c r="UMR205" s="17"/>
      <c r="UMS205" s="17"/>
      <c r="UMT205" s="17"/>
      <c r="UMU205" s="17"/>
      <c r="UMV205" s="17"/>
      <c r="UMW205" s="17"/>
      <c r="UMX205" s="17"/>
      <c r="UMY205" s="17"/>
      <c r="UMZ205" s="17"/>
      <c r="UNA205" s="17"/>
      <c r="UNB205" s="17"/>
      <c r="UNC205" s="17"/>
      <c r="UND205" s="17"/>
      <c r="UNE205" s="17"/>
      <c r="UNF205" s="17"/>
      <c r="UNG205" s="17"/>
      <c r="UNH205" s="17"/>
      <c r="UNI205" s="17"/>
      <c r="UNJ205" s="17"/>
      <c r="UNK205" s="17"/>
      <c r="UNL205" s="17"/>
      <c r="UNM205" s="17"/>
      <c r="UNN205" s="17"/>
      <c r="UNO205" s="17"/>
      <c r="UNP205" s="17"/>
      <c r="UNQ205" s="17"/>
      <c r="UNR205" s="17"/>
      <c r="UNS205" s="17"/>
      <c r="UNT205" s="17"/>
      <c r="UNU205" s="17"/>
      <c r="UNV205" s="17"/>
      <c r="UNW205" s="17"/>
      <c r="UNX205" s="17"/>
      <c r="UNY205" s="17"/>
      <c r="UNZ205" s="17"/>
      <c r="UOA205" s="17"/>
      <c r="UOB205" s="17"/>
      <c r="UOC205" s="17"/>
      <c r="UOD205" s="17"/>
      <c r="UOE205" s="17"/>
      <c r="UOF205" s="17"/>
      <c r="UOG205" s="17"/>
      <c r="UOH205" s="17"/>
      <c r="UOI205" s="17"/>
      <c r="UOJ205" s="17"/>
      <c r="UOK205" s="17"/>
      <c r="UOL205" s="17"/>
      <c r="UOM205" s="17"/>
      <c r="UON205" s="17"/>
      <c r="UOO205" s="17"/>
      <c r="UOP205" s="17"/>
      <c r="UOQ205" s="17"/>
      <c r="UOR205" s="17"/>
      <c r="UOS205" s="17"/>
      <c r="UOT205" s="17"/>
      <c r="UOU205" s="17"/>
      <c r="UOV205" s="17"/>
      <c r="UOW205" s="17"/>
      <c r="UOX205" s="17"/>
      <c r="UOY205" s="17"/>
      <c r="UOZ205" s="17"/>
      <c r="UPA205" s="17"/>
      <c r="UPB205" s="17"/>
      <c r="UPC205" s="17"/>
      <c r="UPD205" s="17"/>
      <c r="UPE205" s="17"/>
      <c r="UPF205" s="17"/>
      <c r="UPG205" s="17"/>
      <c r="UPH205" s="17"/>
      <c r="UPI205" s="17"/>
      <c r="UPJ205" s="17"/>
      <c r="UPK205" s="17"/>
      <c r="UPL205" s="17"/>
      <c r="UPM205" s="17"/>
      <c r="UPN205" s="17"/>
      <c r="UPO205" s="17"/>
      <c r="UPP205" s="17"/>
      <c r="UPQ205" s="17"/>
      <c r="UPR205" s="17"/>
      <c r="UPS205" s="17"/>
      <c r="UPT205" s="17"/>
      <c r="UPU205" s="17"/>
      <c r="UPV205" s="17"/>
      <c r="UPW205" s="17"/>
      <c r="UPX205" s="17"/>
      <c r="UPY205" s="17"/>
      <c r="UPZ205" s="17"/>
      <c r="UQA205" s="17"/>
      <c r="UQB205" s="17"/>
      <c r="UQC205" s="17"/>
      <c r="UQD205" s="17"/>
      <c r="UQE205" s="17"/>
      <c r="UQF205" s="17"/>
      <c r="UQG205" s="17"/>
      <c r="UQH205" s="17"/>
      <c r="UQI205" s="17"/>
      <c r="UQJ205" s="17"/>
      <c r="UQK205" s="17"/>
      <c r="UQL205" s="17"/>
      <c r="UQM205" s="17"/>
      <c r="UQN205" s="17"/>
      <c r="UQO205" s="17"/>
      <c r="UQP205" s="17"/>
      <c r="UQQ205" s="17"/>
      <c r="UQR205" s="17"/>
      <c r="UQS205" s="17"/>
      <c r="UQT205" s="17"/>
      <c r="UQU205" s="17"/>
      <c r="UQV205" s="17"/>
      <c r="UQW205" s="17"/>
      <c r="UQX205" s="17"/>
      <c r="UQY205" s="17"/>
      <c r="UQZ205" s="17"/>
      <c r="URA205" s="17"/>
      <c r="URB205" s="17"/>
      <c r="URC205" s="17"/>
      <c r="URD205" s="17"/>
      <c r="URE205" s="17"/>
      <c r="URF205" s="17"/>
      <c r="URG205" s="17"/>
      <c r="URH205" s="17"/>
      <c r="URI205" s="17"/>
      <c r="URJ205" s="17"/>
      <c r="URK205" s="17"/>
      <c r="URL205" s="17"/>
      <c r="URM205" s="17"/>
      <c r="URN205" s="17"/>
      <c r="URO205" s="17"/>
      <c r="URP205" s="17"/>
      <c r="URQ205" s="17"/>
      <c r="URR205" s="17"/>
      <c r="URS205" s="17"/>
      <c r="URT205" s="17"/>
      <c r="URU205" s="17"/>
      <c r="URV205" s="17"/>
      <c r="URW205" s="17"/>
      <c r="URX205" s="17"/>
      <c r="URY205" s="17"/>
      <c r="URZ205" s="17"/>
      <c r="USA205" s="17"/>
      <c r="USB205" s="17"/>
      <c r="USC205" s="17"/>
      <c r="USD205" s="17"/>
      <c r="USE205" s="17"/>
      <c r="USF205" s="17"/>
      <c r="USG205" s="17"/>
      <c r="USH205" s="17"/>
      <c r="USI205" s="17"/>
      <c r="USJ205" s="17"/>
      <c r="USK205" s="17"/>
      <c r="USL205" s="17"/>
      <c r="USM205" s="17"/>
      <c r="USN205" s="17"/>
      <c r="USO205" s="17"/>
      <c r="USP205" s="17"/>
      <c r="USQ205" s="17"/>
      <c r="USR205" s="17"/>
      <c r="USS205" s="17"/>
      <c r="UST205" s="17"/>
      <c r="USU205" s="17"/>
      <c r="USV205" s="17"/>
      <c r="USW205" s="17"/>
      <c r="USX205" s="17"/>
      <c r="USY205" s="17"/>
      <c r="USZ205" s="17"/>
      <c r="UTA205" s="17"/>
      <c r="UTB205" s="17"/>
      <c r="UTC205" s="17"/>
      <c r="UTD205" s="17"/>
      <c r="UTE205" s="17"/>
      <c r="UTF205" s="17"/>
      <c r="UTG205" s="17"/>
      <c r="UTH205" s="17"/>
      <c r="UTI205" s="17"/>
      <c r="UTJ205" s="17"/>
      <c r="UTK205" s="17"/>
      <c r="UTL205" s="17"/>
      <c r="UTM205" s="17"/>
      <c r="UTN205" s="17"/>
      <c r="UTO205" s="17"/>
      <c r="UTP205" s="17"/>
      <c r="UTQ205" s="17"/>
      <c r="UTR205" s="17"/>
      <c r="UTS205" s="17"/>
      <c r="UTT205" s="17"/>
      <c r="UTU205" s="17"/>
      <c r="UTV205" s="17"/>
      <c r="UTW205" s="17"/>
      <c r="UTX205" s="17"/>
      <c r="UTY205" s="17"/>
      <c r="UTZ205" s="17"/>
      <c r="UUA205" s="17"/>
      <c r="UUB205" s="17"/>
      <c r="UUC205" s="17"/>
      <c r="UUD205" s="17"/>
      <c r="UUE205" s="17"/>
      <c r="UUF205" s="17"/>
      <c r="UUG205" s="17"/>
      <c r="UUH205" s="17"/>
      <c r="UUI205" s="17"/>
      <c r="UUJ205" s="17"/>
      <c r="UUK205" s="17"/>
      <c r="UUL205" s="17"/>
      <c r="UUM205" s="17"/>
      <c r="UUN205" s="17"/>
      <c r="UUO205" s="17"/>
      <c r="UUP205" s="17"/>
      <c r="UUQ205" s="17"/>
      <c r="UUR205" s="17"/>
      <c r="UUS205" s="17"/>
      <c r="UUT205" s="17"/>
      <c r="UUU205" s="17"/>
      <c r="UUV205" s="17"/>
      <c r="UUW205" s="17"/>
      <c r="UUX205" s="17"/>
      <c r="UUY205" s="17"/>
      <c r="UUZ205" s="17"/>
      <c r="UVA205" s="17"/>
      <c r="UVB205" s="17"/>
      <c r="UVC205" s="17"/>
      <c r="UVD205" s="17"/>
      <c r="UVE205" s="17"/>
      <c r="UVF205" s="17"/>
      <c r="UVG205" s="17"/>
      <c r="UVH205" s="17"/>
      <c r="UVI205" s="17"/>
      <c r="UVJ205" s="17"/>
      <c r="UVK205" s="17"/>
      <c r="UVL205" s="17"/>
      <c r="UVM205" s="17"/>
      <c r="UVN205" s="17"/>
      <c r="UVO205" s="17"/>
      <c r="UVP205" s="17"/>
      <c r="UVQ205" s="17"/>
      <c r="UVR205" s="17"/>
      <c r="UVS205" s="17"/>
      <c r="UVT205" s="17"/>
      <c r="UVU205" s="17"/>
      <c r="UVV205" s="17"/>
      <c r="UVW205" s="17"/>
      <c r="UVX205" s="17"/>
      <c r="UVY205" s="17"/>
      <c r="UVZ205" s="17"/>
      <c r="UWA205" s="17"/>
      <c r="UWB205" s="17"/>
      <c r="UWC205" s="17"/>
      <c r="UWD205" s="17"/>
      <c r="UWE205" s="17"/>
      <c r="UWF205" s="17"/>
      <c r="UWG205" s="17"/>
      <c r="UWH205" s="17"/>
      <c r="UWI205" s="17"/>
      <c r="UWJ205" s="17"/>
      <c r="UWK205" s="17"/>
      <c r="UWL205" s="17"/>
      <c r="UWM205" s="17"/>
      <c r="UWN205" s="17"/>
      <c r="UWO205" s="17"/>
      <c r="UWP205" s="17"/>
      <c r="UWQ205" s="17"/>
      <c r="UWR205" s="17"/>
      <c r="UWS205" s="17"/>
      <c r="UWT205" s="17"/>
      <c r="UWU205" s="17"/>
      <c r="UWV205" s="17"/>
      <c r="UWW205" s="17"/>
      <c r="UWX205" s="17"/>
      <c r="UWY205" s="17"/>
      <c r="UWZ205" s="17"/>
      <c r="UXA205" s="17"/>
      <c r="UXB205" s="17"/>
      <c r="UXC205" s="17"/>
      <c r="UXD205" s="17"/>
      <c r="UXE205" s="17"/>
      <c r="UXF205" s="17"/>
      <c r="UXG205" s="17"/>
      <c r="UXH205" s="17"/>
      <c r="UXI205" s="17"/>
      <c r="UXJ205" s="17"/>
      <c r="UXK205" s="17"/>
      <c r="UXL205" s="17"/>
      <c r="UXM205" s="17"/>
      <c r="UXN205" s="17"/>
      <c r="UXO205" s="17"/>
      <c r="UXP205" s="17"/>
      <c r="UXQ205" s="17"/>
      <c r="UXR205" s="17"/>
      <c r="UXS205" s="17"/>
      <c r="UXT205" s="17"/>
      <c r="UXU205" s="17"/>
      <c r="UXV205" s="17"/>
      <c r="UXW205" s="17"/>
      <c r="UXX205" s="17"/>
      <c r="UXY205" s="17"/>
      <c r="UXZ205" s="17"/>
      <c r="UYA205" s="17"/>
      <c r="UYB205" s="17"/>
      <c r="UYC205" s="17"/>
      <c r="UYD205" s="17"/>
      <c r="UYE205" s="17"/>
      <c r="UYF205" s="17"/>
      <c r="UYG205" s="17"/>
      <c r="UYH205" s="17"/>
      <c r="UYI205" s="17"/>
      <c r="UYJ205" s="17"/>
      <c r="UYK205" s="17"/>
      <c r="UYL205" s="17"/>
      <c r="UYM205" s="17"/>
      <c r="UYN205" s="17"/>
      <c r="UYO205" s="17"/>
      <c r="UYP205" s="17"/>
      <c r="UYQ205" s="17"/>
      <c r="UYR205" s="17"/>
      <c r="UYS205" s="17"/>
      <c r="UYT205" s="17"/>
      <c r="UYU205" s="17"/>
      <c r="UYV205" s="17"/>
      <c r="UYW205" s="17"/>
      <c r="UYX205" s="17"/>
      <c r="UYY205" s="17"/>
      <c r="UYZ205" s="17"/>
      <c r="UZA205" s="17"/>
      <c r="UZB205" s="17"/>
      <c r="UZC205" s="17"/>
      <c r="UZD205" s="17"/>
      <c r="UZE205" s="17"/>
      <c r="UZF205" s="17"/>
      <c r="UZG205" s="17"/>
      <c r="UZH205" s="17"/>
      <c r="UZI205" s="17"/>
      <c r="UZJ205" s="17"/>
      <c r="UZK205" s="17"/>
      <c r="UZL205" s="17"/>
      <c r="UZM205" s="17"/>
      <c r="UZN205" s="17"/>
      <c r="UZO205" s="17"/>
      <c r="UZP205" s="17"/>
      <c r="UZQ205" s="17"/>
      <c r="UZR205" s="17"/>
      <c r="UZS205" s="17"/>
      <c r="UZT205" s="17"/>
      <c r="UZU205" s="17"/>
      <c r="UZV205" s="17"/>
      <c r="UZW205" s="17"/>
      <c r="UZX205" s="17"/>
      <c r="UZY205" s="17"/>
      <c r="UZZ205" s="17"/>
      <c r="VAA205" s="17"/>
      <c r="VAB205" s="17"/>
      <c r="VAC205" s="17"/>
      <c r="VAD205" s="17"/>
      <c r="VAE205" s="17"/>
      <c r="VAF205" s="17"/>
      <c r="VAG205" s="17"/>
      <c r="VAH205" s="17"/>
      <c r="VAI205" s="17"/>
      <c r="VAJ205" s="17"/>
      <c r="VAK205" s="17"/>
      <c r="VAL205" s="17"/>
      <c r="VAM205" s="17"/>
      <c r="VAN205" s="17"/>
      <c r="VAO205" s="17"/>
      <c r="VAP205" s="17"/>
      <c r="VAQ205" s="17"/>
      <c r="VAR205" s="17"/>
      <c r="VAS205" s="17"/>
      <c r="VAT205" s="17"/>
      <c r="VAU205" s="17"/>
      <c r="VAV205" s="17"/>
      <c r="VAW205" s="17"/>
      <c r="VAX205" s="17"/>
      <c r="VAY205" s="17"/>
      <c r="VAZ205" s="17"/>
      <c r="VBA205" s="17"/>
      <c r="VBB205" s="17"/>
      <c r="VBC205" s="17"/>
      <c r="VBD205" s="17"/>
      <c r="VBE205" s="17"/>
      <c r="VBF205" s="17"/>
      <c r="VBG205" s="17"/>
      <c r="VBH205" s="17"/>
      <c r="VBI205" s="17"/>
      <c r="VBJ205" s="17"/>
      <c r="VBK205" s="17"/>
      <c r="VBL205" s="17"/>
      <c r="VBM205" s="17"/>
      <c r="VBN205" s="17"/>
      <c r="VBO205" s="17"/>
      <c r="VBP205" s="17"/>
      <c r="VBQ205" s="17"/>
      <c r="VBR205" s="17"/>
      <c r="VBS205" s="17"/>
      <c r="VBT205" s="17"/>
      <c r="VBU205" s="17"/>
      <c r="VBV205" s="17"/>
      <c r="VBW205" s="17"/>
      <c r="VBX205" s="17"/>
      <c r="VBY205" s="17"/>
      <c r="VBZ205" s="17"/>
      <c r="VCA205" s="17"/>
      <c r="VCB205" s="17"/>
      <c r="VCC205" s="17"/>
      <c r="VCD205" s="17"/>
      <c r="VCE205" s="17"/>
      <c r="VCF205" s="17"/>
      <c r="VCG205" s="17"/>
      <c r="VCH205" s="17"/>
      <c r="VCI205" s="17"/>
      <c r="VCJ205" s="17"/>
      <c r="VCK205" s="17"/>
      <c r="VCL205" s="17"/>
      <c r="VCM205" s="17"/>
      <c r="VCN205" s="17"/>
      <c r="VCO205" s="17"/>
      <c r="VCP205" s="17"/>
      <c r="VCQ205" s="17"/>
      <c r="VCR205" s="17"/>
      <c r="VCS205" s="17"/>
      <c r="VCT205" s="17"/>
      <c r="VCU205" s="17"/>
      <c r="VCV205" s="17"/>
      <c r="VCW205" s="17"/>
      <c r="VCX205" s="17"/>
      <c r="VCY205" s="17"/>
      <c r="VCZ205" s="17"/>
      <c r="VDA205" s="17"/>
      <c r="VDB205" s="17"/>
      <c r="VDC205" s="17"/>
      <c r="VDD205" s="17"/>
      <c r="VDE205" s="17"/>
      <c r="VDF205" s="17"/>
      <c r="VDG205" s="17"/>
      <c r="VDH205" s="17"/>
      <c r="VDI205" s="17"/>
      <c r="VDJ205" s="17"/>
      <c r="VDK205" s="17"/>
      <c r="VDL205" s="17"/>
      <c r="VDM205" s="17"/>
      <c r="VDN205" s="17"/>
      <c r="VDO205" s="17"/>
      <c r="VDP205" s="17"/>
      <c r="VDQ205" s="17"/>
      <c r="VDR205" s="17"/>
      <c r="VDS205" s="17"/>
      <c r="VDT205" s="17"/>
      <c r="VDU205" s="17"/>
      <c r="VDV205" s="17"/>
      <c r="VDW205" s="17"/>
      <c r="VDX205" s="17"/>
      <c r="VDY205" s="17"/>
      <c r="VDZ205" s="17"/>
      <c r="VEA205" s="17"/>
      <c r="VEB205" s="17"/>
      <c r="VEC205" s="17"/>
      <c r="VED205" s="17"/>
      <c r="VEE205" s="17"/>
      <c r="VEF205" s="17"/>
      <c r="VEG205" s="17"/>
      <c r="VEH205" s="17"/>
      <c r="VEI205" s="17"/>
      <c r="VEJ205" s="17"/>
      <c r="VEK205" s="17"/>
      <c r="VEL205" s="17"/>
      <c r="VEM205" s="17"/>
      <c r="VEN205" s="17"/>
      <c r="VEO205" s="17"/>
      <c r="VEP205" s="17"/>
      <c r="VEQ205" s="17"/>
      <c r="VER205" s="17"/>
      <c r="VES205" s="17"/>
      <c r="VET205" s="17"/>
      <c r="VEU205" s="17"/>
      <c r="VEV205" s="17"/>
      <c r="VEW205" s="17"/>
      <c r="VEX205" s="17"/>
      <c r="VEY205" s="17"/>
      <c r="VEZ205" s="17"/>
      <c r="VFA205" s="17"/>
      <c r="VFB205" s="17"/>
      <c r="VFC205" s="17"/>
      <c r="VFD205" s="17"/>
      <c r="VFE205" s="17"/>
      <c r="VFF205" s="17"/>
      <c r="VFG205" s="17"/>
      <c r="VFH205" s="17"/>
      <c r="VFI205" s="17"/>
      <c r="VFJ205" s="17"/>
      <c r="VFK205" s="17"/>
      <c r="VFL205" s="17"/>
      <c r="VFM205" s="17"/>
      <c r="VFN205" s="17"/>
      <c r="VFO205" s="17"/>
      <c r="VFP205" s="17"/>
      <c r="VFQ205" s="17"/>
      <c r="VFR205" s="17"/>
      <c r="VFS205" s="17"/>
      <c r="VFT205" s="17"/>
      <c r="VFU205" s="17"/>
      <c r="VFV205" s="17"/>
      <c r="VFW205" s="17"/>
      <c r="VFX205" s="17"/>
      <c r="VFY205" s="17"/>
      <c r="VFZ205" s="17"/>
      <c r="VGA205" s="17"/>
      <c r="VGB205" s="17"/>
      <c r="VGC205" s="17"/>
      <c r="VGD205" s="17"/>
      <c r="VGE205" s="17"/>
      <c r="VGF205" s="17"/>
      <c r="VGG205" s="17"/>
      <c r="VGH205" s="17"/>
      <c r="VGI205" s="17"/>
      <c r="VGJ205" s="17"/>
      <c r="VGK205" s="17"/>
      <c r="VGL205" s="17"/>
      <c r="VGM205" s="17"/>
      <c r="VGN205" s="17"/>
      <c r="VGO205" s="17"/>
      <c r="VGP205" s="17"/>
      <c r="VGQ205" s="17"/>
      <c r="VGR205" s="17"/>
      <c r="VGS205" s="17"/>
      <c r="VGT205" s="17"/>
      <c r="VGU205" s="17"/>
      <c r="VGV205" s="17"/>
      <c r="VGW205" s="17"/>
      <c r="VGX205" s="17"/>
      <c r="VGY205" s="17"/>
      <c r="VGZ205" s="17"/>
      <c r="VHA205" s="17"/>
      <c r="VHB205" s="17"/>
      <c r="VHC205" s="17"/>
      <c r="VHD205" s="17"/>
      <c r="VHE205" s="17"/>
      <c r="VHF205" s="17"/>
      <c r="VHG205" s="17"/>
      <c r="VHH205" s="17"/>
      <c r="VHI205" s="17"/>
      <c r="VHJ205" s="17"/>
      <c r="VHK205" s="17"/>
      <c r="VHL205" s="17"/>
      <c r="VHM205" s="17"/>
      <c r="VHN205" s="17"/>
      <c r="VHO205" s="17"/>
      <c r="VHP205" s="17"/>
      <c r="VHQ205" s="17"/>
      <c r="VHR205" s="17"/>
      <c r="VHS205" s="17"/>
      <c r="VHT205" s="17"/>
      <c r="VHU205" s="17"/>
      <c r="VHV205" s="17"/>
      <c r="VHW205" s="17"/>
      <c r="VHX205" s="17"/>
      <c r="VHY205" s="17"/>
      <c r="VHZ205" s="17"/>
      <c r="VIA205" s="17"/>
      <c r="VIB205" s="17"/>
      <c r="VIC205" s="17"/>
      <c r="VID205" s="17"/>
      <c r="VIE205" s="17"/>
      <c r="VIF205" s="17"/>
      <c r="VIG205" s="17"/>
      <c r="VIH205" s="17"/>
      <c r="VII205" s="17"/>
      <c r="VIJ205" s="17"/>
      <c r="VIK205" s="17"/>
      <c r="VIL205" s="17"/>
      <c r="VIM205" s="17"/>
      <c r="VIN205" s="17"/>
      <c r="VIO205" s="17"/>
      <c r="VIP205" s="17"/>
      <c r="VIQ205" s="17"/>
      <c r="VIR205" s="17"/>
      <c r="VIS205" s="17"/>
      <c r="VIT205" s="17"/>
      <c r="VIU205" s="17"/>
      <c r="VIV205" s="17"/>
      <c r="VIW205" s="17"/>
      <c r="VIX205" s="17"/>
      <c r="VIY205" s="17"/>
      <c r="VIZ205" s="17"/>
      <c r="VJA205" s="17"/>
      <c r="VJB205" s="17"/>
      <c r="VJC205" s="17"/>
      <c r="VJD205" s="17"/>
      <c r="VJE205" s="17"/>
      <c r="VJF205" s="17"/>
      <c r="VJG205" s="17"/>
      <c r="VJH205" s="17"/>
      <c r="VJI205" s="17"/>
      <c r="VJJ205" s="17"/>
      <c r="VJK205" s="17"/>
      <c r="VJL205" s="17"/>
      <c r="VJM205" s="17"/>
      <c r="VJN205" s="17"/>
      <c r="VJO205" s="17"/>
      <c r="VJP205" s="17"/>
      <c r="VJQ205" s="17"/>
      <c r="VJR205" s="17"/>
      <c r="VJS205" s="17"/>
      <c r="VJT205" s="17"/>
      <c r="VJU205" s="17"/>
      <c r="VJV205" s="17"/>
      <c r="VJW205" s="17"/>
      <c r="VJX205" s="17"/>
      <c r="VJY205" s="17"/>
      <c r="VJZ205" s="17"/>
      <c r="VKA205" s="17"/>
      <c r="VKB205" s="17"/>
      <c r="VKC205" s="17"/>
      <c r="VKD205" s="17"/>
      <c r="VKE205" s="17"/>
      <c r="VKF205" s="17"/>
      <c r="VKG205" s="17"/>
      <c r="VKH205" s="17"/>
      <c r="VKI205" s="17"/>
      <c r="VKJ205" s="17"/>
      <c r="VKK205" s="17"/>
      <c r="VKL205" s="17"/>
      <c r="VKM205" s="17"/>
      <c r="VKN205" s="17"/>
      <c r="VKO205" s="17"/>
      <c r="VKP205" s="17"/>
      <c r="VKQ205" s="17"/>
      <c r="VKR205" s="17"/>
      <c r="VKS205" s="17"/>
      <c r="VKT205" s="17"/>
      <c r="VKU205" s="17"/>
      <c r="VKV205" s="17"/>
      <c r="VKW205" s="17"/>
      <c r="VKX205" s="17"/>
      <c r="VKY205" s="17"/>
      <c r="VKZ205" s="17"/>
      <c r="VLA205" s="17"/>
      <c r="VLB205" s="17"/>
      <c r="VLC205" s="17"/>
      <c r="VLD205" s="17"/>
      <c r="VLE205" s="17"/>
      <c r="VLF205" s="17"/>
      <c r="VLG205" s="17"/>
      <c r="VLH205" s="17"/>
      <c r="VLI205" s="17"/>
      <c r="VLJ205" s="17"/>
      <c r="VLK205" s="17"/>
      <c r="VLL205" s="17"/>
      <c r="VLM205" s="17"/>
      <c r="VLN205" s="17"/>
      <c r="VLO205" s="17"/>
      <c r="VLP205" s="17"/>
      <c r="VLQ205" s="17"/>
      <c r="VLR205" s="17"/>
      <c r="VLS205" s="17"/>
      <c r="VLT205" s="17"/>
      <c r="VLU205" s="17"/>
      <c r="VLV205" s="17"/>
      <c r="VLW205" s="17"/>
      <c r="VLX205" s="17"/>
      <c r="VLY205" s="17"/>
      <c r="VLZ205" s="17"/>
      <c r="VMA205" s="17"/>
      <c r="VMB205" s="17"/>
      <c r="VMC205" s="17"/>
      <c r="VMD205" s="17"/>
      <c r="VME205" s="17"/>
      <c r="VMF205" s="17"/>
      <c r="VMG205" s="17"/>
      <c r="VMH205" s="17"/>
      <c r="VMI205" s="17"/>
      <c r="VMJ205" s="17"/>
      <c r="VMK205" s="17"/>
      <c r="VML205" s="17"/>
      <c r="VMM205" s="17"/>
      <c r="VMN205" s="17"/>
      <c r="VMO205" s="17"/>
      <c r="VMP205" s="17"/>
      <c r="VMQ205" s="17"/>
      <c r="VMR205" s="17"/>
      <c r="VMS205" s="17"/>
      <c r="VMT205" s="17"/>
      <c r="VMU205" s="17"/>
      <c r="VMV205" s="17"/>
      <c r="VMW205" s="17"/>
      <c r="VMX205" s="17"/>
      <c r="VMY205" s="17"/>
      <c r="VMZ205" s="17"/>
      <c r="VNA205" s="17"/>
      <c r="VNB205" s="17"/>
      <c r="VNC205" s="17"/>
      <c r="VND205" s="17"/>
      <c r="VNE205" s="17"/>
      <c r="VNF205" s="17"/>
      <c r="VNG205" s="17"/>
      <c r="VNH205" s="17"/>
      <c r="VNI205" s="17"/>
      <c r="VNJ205" s="17"/>
      <c r="VNK205" s="17"/>
      <c r="VNL205" s="17"/>
      <c r="VNM205" s="17"/>
      <c r="VNN205" s="17"/>
      <c r="VNO205" s="17"/>
      <c r="VNP205" s="17"/>
      <c r="VNQ205" s="17"/>
      <c r="VNR205" s="17"/>
      <c r="VNS205" s="17"/>
      <c r="VNT205" s="17"/>
      <c r="VNU205" s="17"/>
      <c r="VNV205" s="17"/>
      <c r="VNW205" s="17"/>
      <c r="VNX205" s="17"/>
      <c r="VNY205" s="17"/>
      <c r="VNZ205" s="17"/>
      <c r="VOA205" s="17"/>
      <c r="VOB205" s="17"/>
      <c r="VOC205" s="17"/>
      <c r="VOD205" s="17"/>
      <c r="VOE205" s="17"/>
      <c r="VOF205" s="17"/>
      <c r="VOG205" s="17"/>
      <c r="VOH205" s="17"/>
      <c r="VOI205" s="17"/>
      <c r="VOJ205" s="17"/>
      <c r="VOK205" s="17"/>
      <c r="VOL205" s="17"/>
      <c r="VOM205" s="17"/>
      <c r="VON205" s="17"/>
      <c r="VOO205" s="17"/>
      <c r="VOP205" s="17"/>
      <c r="VOQ205" s="17"/>
      <c r="VOR205" s="17"/>
      <c r="VOS205" s="17"/>
      <c r="VOT205" s="17"/>
      <c r="VOU205" s="17"/>
      <c r="VOV205" s="17"/>
      <c r="VOW205" s="17"/>
      <c r="VOX205" s="17"/>
      <c r="VOY205" s="17"/>
      <c r="VOZ205" s="17"/>
      <c r="VPA205" s="17"/>
      <c r="VPB205" s="17"/>
      <c r="VPC205" s="17"/>
      <c r="VPD205" s="17"/>
      <c r="VPE205" s="17"/>
      <c r="VPF205" s="17"/>
      <c r="VPG205" s="17"/>
      <c r="VPH205" s="17"/>
      <c r="VPI205" s="17"/>
      <c r="VPJ205" s="17"/>
      <c r="VPK205" s="17"/>
      <c r="VPL205" s="17"/>
      <c r="VPM205" s="17"/>
      <c r="VPN205" s="17"/>
      <c r="VPO205" s="17"/>
      <c r="VPP205" s="17"/>
      <c r="VPQ205" s="17"/>
      <c r="VPR205" s="17"/>
      <c r="VPS205" s="17"/>
      <c r="VPT205" s="17"/>
      <c r="VPU205" s="17"/>
      <c r="VPV205" s="17"/>
      <c r="VPW205" s="17"/>
      <c r="VPX205" s="17"/>
      <c r="VPY205" s="17"/>
      <c r="VPZ205" s="17"/>
      <c r="VQA205" s="17"/>
      <c r="VQB205" s="17"/>
      <c r="VQC205" s="17"/>
      <c r="VQD205" s="17"/>
      <c r="VQE205" s="17"/>
      <c r="VQF205" s="17"/>
      <c r="VQG205" s="17"/>
      <c r="VQH205" s="17"/>
      <c r="VQI205" s="17"/>
      <c r="VQJ205" s="17"/>
      <c r="VQK205" s="17"/>
      <c r="VQL205" s="17"/>
      <c r="VQM205" s="17"/>
      <c r="VQN205" s="17"/>
      <c r="VQO205" s="17"/>
      <c r="VQP205" s="17"/>
      <c r="VQQ205" s="17"/>
      <c r="VQR205" s="17"/>
      <c r="VQS205" s="17"/>
      <c r="VQT205" s="17"/>
      <c r="VQU205" s="17"/>
      <c r="VQV205" s="17"/>
      <c r="VQW205" s="17"/>
      <c r="VQX205" s="17"/>
      <c r="VQY205" s="17"/>
      <c r="VQZ205" s="17"/>
      <c r="VRA205" s="17"/>
      <c r="VRB205" s="17"/>
      <c r="VRC205" s="17"/>
      <c r="VRD205" s="17"/>
      <c r="VRE205" s="17"/>
      <c r="VRF205" s="17"/>
      <c r="VRG205" s="17"/>
      <c r="VRH205" s="17"/>
      <c r="VRI205" s="17"/>
      <c r="VRJ205" s="17"/>
      <c r="VRK205" s="17"/>
      <c r="VRL205" s="17"/>
      <c r="VRM205" s="17"/>
      <c r="VRN205" s="17"/>
      <c r="VRO205" s="17"/>
      <c r="VRP205" s="17"/>
      <c r="VRQ205" s="17"/>
      <c r="VRR205" s="17"/>
      <c r="VRS205" s="17"/>
      <c r="VRT205" s="17"/>
      <c r="VRU205" s="17"/>
      <c r="VRV205" s="17"/>
      <c r="VRW205" s="17"/>
      <c r="VRX205" s="17"/>
      <c r="VRY205" s="17"/>
      <c r="VRZ205" s="17"/>
      <c r="VSA205" s="17"/>
      <c r="VSB205" s="17"/>
      <c r="VSC205" s="17"/>
      <c r="VSD205" s="17"/>
      <c r="VSE205" s="17"/>
      <c r="VSF205" s="17"/>
      <c r="VSG205" s="17"/>
      <c r="VSH205" s="17"/>
      <c r="VSI205" s="17"/>
      <c r="VSJ205" s="17"/>
      <c r="VSK205" s="17"/>
      <c r="VSL205" s="17"/>
      <c r="VSM205" s="17"/>
      <c r="VSN205" s="17"/>
      <c r="VSO205" s="17"/>
      <c r="VSP205" s="17"/>
      <c r="VSQ205" s="17"/>
      <c r="VSR205" s="17"/>
      <c r="VSS205" s="17"/>
      <c r="VST205" s="17"/>
      <c r="VSU205" s="17"/>
      <c r="VSV205" s="17"/>
      <c r="VSW205" s="17"/>
      <c r="VSX205" s="17"/>
      <c r="VSY205" s="17"/>
      <c r="VSZ205" s="17"/>
      <c r="VTA205" s="17"/>
      <c r="VTB205" s="17"/>
      <c r="VTC205" s="17"/>
      <c r="VTD205" s="17"/>
      <c r="VTE205" s="17"/>
      <c r="VTF205" s="17"/>
      <c r="VTG205" s="17"/>
      <c r="VTH205" s="17"/>
      <c r="VTI205" s="17"/>
      <c r="VTJ205" s="17"/>
      <c r="VTK205" s="17"/>
      <c r="VTL205" s="17"/>
      <c r="VTM205" s="17"/>
      <c r="VTN205" s="17"/>
      <c r="VTO205" s="17"/>
      <c r="VTP205" s="17"/>
      <c r="VTQ205" s="17"/>
      <c r="VTR205" s="17"/>
      <c r="VTS205" s="17"/>
      <c r="VTT205" s="17"/>
      <c r="VTU205" s="17"/>
      <c r="VTV205" s="17"/>
      <c r="VTW205" s="17"/>
      <c r="VTX205" s="17"/>
      <c r="VTY205" s="17"/>
      <c r="VTZ205" s="17"/>
      <c r="VUA205" s="17"/>
      <c r="VUB205" s="17"/>
      <c r="VUC205" s="17"/>
      <c r="VUD205" s="17"/>
      <c r="VUE205" s="17"/>
      <c r="VUF205" s="17"/>
      <c r="VUG205" s="17"/>
      <c r="VUH205" s="17"/>
      <c r="VUI205" s="17"/>
      <c r="VUJ205" s="17"/>
      <c r="VUK205" s="17"/>
      <c r="VUL205" s="17"/>
      <c r="VUM205" s="17"/>
      <c r="VUN205" s="17"/>
      <c r="VUO205" s="17"/>
      <c r="VUP205" s="17"/>
      <c r="VUQ205" s="17"/>
      <c r="VUR205" s="17"/>
      <c r="VUS205" s="17"/>
      <c r="VUT205" s="17"/>
      <c r="VUU205" s="17"/>
      <c r="VUV205" s="17"/>
      <c r="VUW205" s="17"/>
      <c r="VUX205" s="17"/>
      <c r="VUY205" s="17"/>
      <c r="VUZ205" s="17"/>
      <c r="VVA205" s="17"/>
      <c r="VVB205" s="17"/>
      <c r="VVC205" s="17"/>
      <c r="VVD205" s="17"/>
      <c r="VVE205" s="17"/>
      <c r="VVF205" s="17"/>
      <c r="VVG205" s="17"/>
      <c r="VVH205" s="17"/>
      <c r="VVI205" s="17"/>
      <c r="VVJ205" s="17"/>
      <c r="VVK205" s="17"/>
      <c r="VVL205" s="17"/>
      <c r="VVM205" s="17"/>
      <c r="VVN205" s="17"/>
      <c r="VVO205" s="17"/>
      <c r="VVP205" s="17"/>
      <c r="VVQ205" s="17"/>
      <c r="VVR205" s="17"/>
      <c r="VVS205" s="17"/>
      <c r="VVT205" s="17"/>
      <c r="VVU205" s="17"/>
      <c r="VVV205" s="17"/>
      <c r="VVW205" s="17"/>
      <c r="VVX205" s="17"/>
      <c r="VVY205" s="17"/>
      <c r="VVZ205" s="17"/>
      <c r="VWA205" s="17"/>
      <c r="VWB205" s="17"/>
      <c r="VWC205" s="17"/>
      <c r="VWD205" s="17"/>
      <c r="VWE205" s="17"/>
      <c r="VWF205" s="17"/>
      <c r="VWG205" s="17"/>
      <c r="VWH205" s="17"/>
      <c r="VWI205" s="17"/>
      <c r="VWJ205" s="17"/>
      <c r="VWK205" s="17"/>
      <c r="VWL205" s="17"/>
      <c r="VWM205" s="17"/>
      <c r="VWN205" s="17"/>
      <c r="VWO205" s="17"/>
      <c r="VWP205" s="17"/>
      <c r="VWQ205" s="17"/>
      <c r="VWR205" s="17"/>
      <c r="VWS205" s="17"/>
      <c r="VWT205" s="17"/>
      <c r="VWU205" s="17"/>
      <c r="VWV205" s="17"/>
      <c r="VWW205" s="17"/>
      <c r="VWX205" s="17"/>
      <c r="VWY205" s="17"/>
      <c r="VWZ205" s="17"/>
      <c r="VXA205" s="17"/>
      <c r="VXB205" s="17"/>
      <c r="VXC205" s="17"/>
      <c r="VXD205" s="17"/>
      <c r="VXE205" s="17"/>
      <c r="VXF205" s="17"/>
      <c r="VXG205" s="17"/>
      <c r="VXH205" s="17"/>
      <c r="VXI205" s="17"/>
      <c r="VXJ205" s="17"/>
      <c r="VXK205" s="17"/>
      <c r="VXL205" s="17"/>
      <c r="VXM205" s="17"/>
      <c r="VXN205" s="17"/>
      <c r="VXO205" s="17"/>
      <c r="VXP205" s="17"/>
      <c r="VXQ205" s="17"/>
      <c r="VXR205" s="17"/>
      <c r="VXS205" s="17"/>
      <c r="VXT205" s="17"/>
      <c r="VXU205" s="17"/>
      <c r="VXV205" s="17"/>
      <c r="VXW205" s="17"/>
      <c r="VXX205" s="17"/>
      <c r="VXY205" s="17"/>
      <c r="VXZ205" s="17"/>
      <c r="VYA205" s="17"/>
      <c r="VYB205" s="17"/>
      <c r="VYC205" s="17"/>
      <c r="VYD205" s="17"/>
      <c r="VYE205" s="17"/>
      <c r="VYF205" s="17"/>
      <c r="VYG205" s="17"/>
      <c r="VYH205" s="17"/>
      <c r="VYI205" s="17"/>
      <c r="VYJ205" s="17"/>
      <c r="VYK205" s="17"/>
      <c r="VYL205" s="17"/>
      <c r="VYM205" s="17"/>
      <c r="VYN205" s="17"/>
      <c r="VYO205" s="17"/>
      <c r="VYP205" s="17"/>
      <c r="VYQ205" s="17"/>
      <c r="VYR205" s="17"/>
      <c r="VYS205" s="17"/>
      <c r="VYT205" s="17"/>
      <c r="VYU205" s="17"/>
      <c r="VYV205" s="17"/>
      <c r="VYW205" s="17"/>
      <c r="VYX205" s="17"/>
      <c r="VYY205" s="17"/>
      <c r="VYZ205" s="17"/>
      <c r="VZA205" s="17"/>
      <c r="VZB205" s="17"/>
      <c r="VZC205" s="17"/>
      <c r="VZD205" s="17"/>
      <c r="VZE205" s="17"/>
      <c r="VZF205" s="17"/>
      <c r="VZG205" s="17"/>
      <c r="VZH205" s="17"/>
      <c r="VZI205" s="17"/>
      <c r="VZJ205" s="17"/>
      <c r="VZK205" s="17"/>
      <c r="VZL205" s="17"/>
      <c r="VZM205" s="17"/>
      <c r="VZN205" s="17"/>
      <c r="VZO205" s="17"/>
      <c r="VZP205" s="17"/>
      <c r="VZQ205" s="17"/>
      <c r="VZR205" s="17"/>
      <c r="VZS205" s="17"/>
      <c r="VZT205" s="17"/>
      <c r="VZU205" s="17"/>
      <c r="VZV205" s="17"/>
      <c r="VZW205" s="17"/>
      <c r="VZX205" s="17"/>
      <c r="VZY205" s="17"/>
      <c r="VZZ205" s="17"/>
      <c r="WAA205" s="17"/>
      <c r="WAB205" s="17"/>
      <c r="WAC205" s="17"/>
      <c r="WAD205" s="17"/>
      <c r="WAE205" s="17"/>
      <c r="WAF205" s="17"/>
      <c r="WAG205" s="17"/>
      <c r="WAH205" s="17"/>
      <c r="WAI205" s="17"/>
      <c r="WAJ205" s="17"/>
      <c r="WAK205" s="17"/>
      <c r="WAL205" s="17"/>
      <c r="WAM205" s="17"/>
      <c r="WAN205" s="17"/>
      <c r="WAO205" s="17"/>
      <c r="WAP205" s="17"/>
      <c r="WAQ205" s="17"/>
      <c r="WAR205" s="17"/>
      <c r="WAS205" s="17"/>
      <c r="WAT205" s="17"/>
      <c r="WAU205" s="17"/>
      <c r="WAV205" s="17"/>
      <c r="WAW205" s="17"/>
      <c r="WAX205" s="17"/>
      <c r="WAY205" s="17"/>
      <c r="WAZ205" s="17"/>
      <c r="WBA205" s="17"/>
      <c r="WBB205" s="17"/>
      <c r="WBC205" s="17"/>
      <c r="WBD205" s="17"/>
      <c r="WBE205" s="17"/>
      <c r="WBF205" s="17"/>
      <c r="WBG205" s="17"/>
      <c r="WBH205" s="17"/>
      <c r="WBI205" s="17"/>
      <c r="WBJ205" s="17"/>
      <c r="WBK205" s="17"/>
      <c r="WBL205" s="17"/>
      <c r="WBM205" s="17"/>
      <c r="WBN205" s="17"/>
      <c r="WBO205" s="17"/>
      <c r="WBP205" s="17"/>
      <c r="WBQ205" s="17"/>
      <c r="WBR205" s="17"/>
      <c r="WBS205" s="17"/>
      <c r="WBT205" s="17"/>
      <c r="WBU205" s="17"/>
      <c r="WBV205" s="17"/>
      <c r="WBW205" s="17"/>
      <c r="WBX205" s="17"/>
      <c r="WBY205" s="17"/>
      <c r="WBZ205" s="17"/>
      <c r="WCA205" s="17"/>
      <c r="WCB205" s="17"/>
      <c r="WCC205" s="17"/>
      <c r="WCD205" s="17"/>
      <c r="WCE205" s="17"/>
      <c r="WCF205" s="17"/>
      <c r="WCG205" s="17"/>
      <c r="WCH205" s="17"/>
      <c r="WCI205" s="17"/>
      <c r="WCJ205" s="17"/>
      <c r="WCK205" s="17"/>
      <c r="WCL205" s="17"/>
      <c r="WCM205" s="17"/>
      <c r="WCN205" s="17"/>
      <c r="WCO205" s="17"/>
      <c r="WCP205" s="17"/>
      <c r="WCQ205" s="17"/>
      <c r="WCR205" s="17"/>
      <c r="WCS205" s="17"/>
      <c r="WCT205" s="17"/>
      <c r="WCU205" s="17"/>
      <c r="WCV205" s="17"/>
      <c r="WCW205" s="17"/>
      <c r="WCX205" s="17"/>
      <c r="WCY205" s="17"/>
      <c r="WCZ205" s="17"/>
      <c r="WDA205" s="17"/>
      <c r="WDB205" s="17"/>
      <c r="WDC205" s="17"/>
      <c r="WDD205" s="17"/>
      <c r="WDE205" s="17"/>
      <c r="WDF205" s="17"/>
      <c r="WDG205" s="17"/>
      <c r="WDH205" s="17"/>
      <c r="WDI205" s="17"/>
      <c r="WDJ205" s="17"/>
      <c r="WDK205" s="17"/>
      <c r="WDL205" s="17"/>
      <c r="WDM205" s="17"/>
      <c r="WDN205" s="17"/>
      <c r="WDO205" s="17"/>
      <c r="WDP205" s="17"/>
      <c r="WDQ205" s="17"/>
      <c r="WDR205" s="17"/>
      <c r="WDS205" s="17"/>
      <c r="WDT205" s="17"/>
      <c r="WDU205" s="17"/>
      <c r="WDV205" s="17"/>
      <c r="WDW205" s="17"/>
      <c r="WDX205" s="17"/>
      <c r="WDY205" s="17"/>
      <c r="WDZ205" s="17"/>
      <c r="WEA205" s="17"/>
      <c r="WEB205" s="17"/>
      <c r="WEC205" s="17"/>
      <c r="WED205" s="17"/>
      <c r="WEE205" s="17"/>
      <c r="WEF205" s="17"/>
      <c r="WEG205" s="17"/>
      <c r="WEH205" s="17"/>
      <c r="WEI205" s="17"/>
      <c r="WEJ205" s="17"/>
      <c r="WEK205" s="17"/>
      <c r="WEL205" s="17"/>
      <c r="WEM205" s="17"/>
      <c r="WEN205" s="17"/>
      <c r="WEO205" s="17"/>
      <c r="WEP205" s="17"/>
      <c r="WEQ205" s="17"/>
      <c r="WER205" s="17"/>
      <c r="WES205" s="17"/>
      <c r="WET205" s="17"/>
      <c r="WEU205" s="17"/>
      <c r="WEV205" s="17"/>
      <c r="WEW205" s="17"/>
      <c r="WEX205" s="17"/>
      <c r="WEY205" s="17"/>
      <c r="WEZ205" s="17"/>
      <c r="WFA205" s="17"/>
      <c r="WFB205" s="17"/>
      <c r="WFC205" s="17"/>
      <c r="WFD205" s="17"/>
      <c r="WFE205" s="17"/>
      <c r="WFF205" s="17"/>
      <c r="WFG205" s="17"/>
      <c r="WFH205" s="17"/>
      <c r="WFI205" s="17"/>
      <c r="WFJ205" s="17"/>
      <c r="WFK205" s="17"/>
      <c r="WFL205" s="17"/>
      <c r="WFM205" s="17"/>
      <c r="WFN205" s="17"/>
      <c r="WFO205" s="17"/>
      <c r="WFP205" s="17"/>
      <c r="WFQ205" s="17"/>
      <c r="WFR205" s="17"/>
      <c r="WFS205" s="17"/>
      <c r="WFT205" s="17"/>
      <c r="WFU205" s="17"/>
      <c r="WFV205" s="17"/>
      <c r="WFW205" s="17"/>
      <c r="WFX205" s="17"/>
      <c r="WFY205" s="17"/>
      <c r="WFZ205" s="17"/>
      <c r="WGA205" s="17"/>
      <c r="WGB205" s="17"/>
      <c r="WGC205" s="17"/>
      <c r="WGD205" s="17"/>
      <c r="WGE205" s="17"/>
      <c r="WGF205" s="17"/>
      <c r="WGG205" s="17"/>
      <c r="WGH205" s="17"/>
      <c r="WGI205" s="17"/>
      <c r="WGJ205" s="17"/>
      <c r="WGK205" s="17"/>
      <c r="WGL205" s="17"/>
      <c r="WGM205" s="17"/>
      <c r="WGN205" s="17"/>
      <c r="WGO205" s="17"/>
      <c r="WGP205" s="17"/>
      <c r="WGQ205" s="17"/>
      <c r="WGR205" s="17"/>
      <c r="WGS205" s="17"/>
      <c r="WGT205" s="17"/>
      <c r="WGU205" s="17"/>
      <c r="WGV205" s="17"/>
      <c r="WGW205" s="17"/>
      <c r="WGX205" s="17"/>
      <c r="WGY205" s="17"/>
      <c r="WGZ205" s="17"/>
      <c r="WHA205" s="17"/>
      <c r="WHB205" s="17"/>
      <c r="WHC205" s="17"/>
      <c r="WHD205" s="17"/>
      <c r="WHE205" s="17"/>
      <c r="WHF205" s="17"/>
      <c r="WHG205" s="17"/>
      <c r="WHH205" s="17"/>
      <c r="WHI205" s="17"/>
      <c r="WHJ205" s="17"/>
      <c r="WHK205" s="17"/>
      <c r="WHL205" s="17"/>
      <c r="WHM205" s="17"/>
      <c r="WHN205" s="17"/>
      <c r="WHO205" s="17"/>
      <c r="WHP205" s="17"/>
      <c r="WHQ205" s="17"/>
      <c r="WHR205" s="17"/>
      <c r="WHS205" s="17"/>
      <c r="WHT205" s="17"/>
      <c r="WHU205" s="17"/>
      <c r="WHV205" s="17"/>
      <c r="WHW205" s="17"/>
      <c r="WHX205" s="17"/>
      <c r="WHY205" s="17"/>
      <c r="WHZ205" s="17"/>
      <c r="WIA205" s="17"/>
      <c r="WIB205" s="17"/>
      <c r="WIC205" s="17"/>
      <c r="WID205" s="17"/>
      <c r="WIE205" s="17"/>
      <c r="WIF205" s="17"/>
      <c r="WIG205" s="17"/>
      <c r="WIH205" s="17"/>
      <c r="WII205" s="17"/>
      <c r="WIJ205" s="17"/>
      <c r="WIK205" s="17"/>
      <c r="WIL205" s="17"/>
      <c r="WIM205" s="17"/>
      <c r="WIN205" s="17"/>
      <c r="WIO205" s="17"/>
      <c r="WIP205" s="17"/>
      <c r="WIQ205" s="17"/>
      <c r="WIR205" s="17"/>
      <c r="WIS205" s="17"/>
      <c r="WIT205" s="17"/>
      <c r="WIU205" s="17"/>
      <c r="WIV205" s="17"/>
      <c r="WIW205" s="17"/>
      <c r="WIX205" s="17"/>
      <c r="WIY205" s="17"/>
      <c r="WIZ205" s="17"/>
      <c r="WJA205" s="17"/>
      <c r="WJB205" s="17"/>
      <c r="WJC205" s="17"/>
      <c r="WJD205" s="17"/>
      <c r="WJE205" s="17"/>
      <c r="WJF205" s="17"/>
      <c r="WJG205" s="17"/>
      <c r="WJH205" s="17"/>
      <c r="WJI205" s="17"/>
      <c r="WJJ205" s="17"/>
      <c r="WJK205" s="17"/>
      <c r="WJL205" s="17"/>
      <c r="WJM205" s="17"/>
      <c r="WJN205" s="17"/>
      <c r="WJO205" s="17"/>
      <c r="WJP205" s="17"/>
      <c r="WJQ205" s="17"/>
      <c r="WJR205" s="17"/>
      <c r="WJS205" s="17"/>
      <c r="WJT205" s="17"/>
      <c r="WJU205" s="17"/>
      <c r="WJV205" s="17"/>
      <c r="WJW205" s="17"/>
      <c r="WJX205" s="17"/>
      <c r="WJY205" s="17"/>
      <c r="WJZ205" s="17"/>
      <c r="WKA205" s="17"/>
      <c r="WKB205" s="17"/>
      <c r="WKC205" s="17"/>
      <c r="WKD205" s="17"/>
      <c r="WKE205" s="17"/>
      <c r="WKF205" s="17"/>
      <c r="WKG205" s="17"/>
      <c r="WKH205" s="17"/>
      <c r="WKI205" s="17"/>
      <c r="WKJ205" s="17"/>
      <c r="WKK205" s="17"/>
      <c r="WKL205" s="17"/>
      <c r="WKM205" s="17"/>
      <c r="WKN205" s="17"/>
      <c r="WKO205" s="17"/>
      <c r="WKP205" s="17"/>
      <c r="WKQ205" s="17"/>
      <c r="WKR205" s="17"/>
      <c r="WKS205" s="17"/>
      <c r="WKT205" s="17"/>
      <c r="WKU205" s="17"/>
      <c r="WKV205" s="17"/>
      <c r="WKW205" s="17"/>
      <c r="WKX205" s="17"/>
      <c r="WKY205" s="17"/>
      <c r="WKZ205" s="17"/>
      <c r="WLA205" s="17"/>
      <c r="WLB205" s="17"/>
      <c r="WLC205" s="17"/>
      <c r="WLD205" s="17"/>
      <c r="WLE205" s="17"/>
      <c r="WLF205" s="17"/>
      <c r="WLG205" s="17"/>
      <c r="WLH205" s="17"/>
      <c r="WLI205" s="17"/>
      <c r="WLJ205" s="17"/>
      <c r="WLK205" s="17"/>
      <c r="WLL205" s="17"/>
      <c r="WLM205" s="17"/>
      <c r="WLN205" s="17"/>
      <c r="WLO205" s="17"/>
      <c r="WLP205" s="17"/>
      <c r="WLQ205" s="17"/>
      <c r="WLR205" s="17"/>
      <c r="WLS205" s="17"/>
      <c r="WLT205" s="17"/>
      <c r="WLU205" s="17"/>
      <c r="WLV205" s="17"/>
      <c r="WLW205" s="17"/>
      <c r="WLX205" s="17"/>
      <c r="WLY205" s="17"/>
      <c r="WLZ205" s="17"/>
      <c r="WMA205" s="17"/>
      <c r="WMB205" s="17"/>
      <c r="WMC205" s="17"/>
      <c r="WMD205" s="17"/>
      <c r="WME205" s="17"/>
      <c r="WMF205" s="17"/>
      <c r="WMG205" s="17"/>
      <c r="WMH205" s="17"/>
      <c r="WMI205" s="17"/>
      <c r="WMJ205" s="17"/>
      <c r="WMK205" s="17"/>
      <c r="WML205" s="17"/>
      <c r="WMM205" s="17"/>
      <c r="WMN205" s="17"/>
      <c r="WMO205" s="17"/>
      <c r="WMP205" s="17"/>
      <c r="WMQ205" s="17"/>
      <c r="WMR205" s="17"/>
      <c r="WMS205" s="17"/>
      <c r="WMT205" s="17"/>
      <c r="WMU205" s="17"/>
      <c r="WMV205" s="17"/>
      <c r="WMW205" s="17"/>
      <c r="WMX205" s="17"/>
      <c r="WMY205" s="17"/>
      <c r="WMZ205" s="17"/>
      <c r="WNA205" s="17"/>
      <c r="WNB205" s="17"/>
      <c r="WNC205" s="17"/>
      <c r="WND205" s="17"/>
      <c r="WNE205" s="17"/>
      <c r="WNF205" s="17"/>
      <c r="WNG205" s="17"/>
      <c r="WNH205" s="17"/>
      <c r="WNI205" s="17"/>
      <c r="WNJ205" s="17"/>
      <c r="WNK205" s="17"/>
      <c r="WNL205" s="17"/>
      <c r="WNM205" s="17"/>
      <c r="WNN205" s="17"/>
      <c r="WNO205" s="17"/>
      <c r="WNP205" s="17"/>
      <c r="WNQ205" s="17"/>
      <c r="WNR205" s="17"/>
      <c r="WNS205" s="17"/>
      <c r="WNT205" s="17"/>
      <c r="WNU205" s="17"/>
      <c r="WNV205" s="17"/>
      <c r="WNW205" s="17"/>
      <c r="WNX205" s="17"/>
      <c r="WNY205" s="17"/>
      <c r="WNZ205" s="17"/>
      <c r="WOA205" s="17"/>
      <c r="WOB205" s="17"/>
      <c r="WOC205" s="17"/>
      <c r="WOD205" s="17"/>
      <c r="WOE205" s="17"/>
      <c r="WOF205" s="17"/>
      <c r="WOG205" s="17"/>
      <c r="WOH205" s="17"/>
      <c r="WOI205" s="17"/>
      <c r="WOJ205" s="17"/>
      <c r="WOK205" s="17"/>
      <c r="WOL205" s="17"/>
      <c r="WOM205" s="17"/>
      <c r="WON205" s="17"/>
      <c r="WOO205" s="17"/>
      <c r="WOP205" s="17"/>
      <c r="WOQ205" s="17"/>
      <c r="WOR205" s="17"/>
      <c r="WOS205" s="17"/>
      <c r="WOT205" s="17"/>
      <c r="WOU205" s="17"/>
      <c r="WOV205" s="17"/>
      <c r="WOW205" s="17"/>
      <c r="WOX205" s="17"/>
      <c r="WOY205" s="17"/>
      <c r="WOZ205" s="17"/>
      <c r="WPA205" s="17"/>
      <c r="WPB205" s="17"/>
      <c r="WPC205" s="17"/>
      <c r="WPD205" s="17"/>
      <c r="WPE205" s="17"/>
      <c r="WPF205" s="17"/>
      <c r="WPG205" s="17"/>
      <c r="WPH205" s="17"/>
      <c r="WPI205" s="17"/>
      <c r="WPJ205" s="17"/>
      <c r="WPK205" s="17"/>
      <c r="WPL205" s="17"/>
      <c r="WPM205" s="17"/>
      <c r="WPN205" s="17"/>
      <c r="WPO205" s="17"/>
      <c r="WPP205" s="17"/>
      <c r="WPQ205" s="17"/>
      <c r="WPR205" s="17"/>
      <c r="WPS205" s="17"/>
      <c r="WPT205" s="17"/>
      <c r="WPU205" s="17"/>
      <c r="WPV205" s="17"/>
      <c r="WPW205" s="17"/>
      <c r="WPX205" s="17"/>
      <c r="WPY205" s="17"/>
      <c r="WPZ205" s="17"/>
      <c r="WQA205" s="17"/>
      <c r="WQB205" s="17"/>
      <c r="WQC205" s="17"/>
      <c r="WQD205" s="17"/>
      <c r="WQE205" s="17"/>
      <c r="WQF205" s="17"/>
      <c r="WQG205" s="17"/>
      <c r="WQH205" s="17"/>
      <c r="WQI205" s="17"/>
      <c r="WQJ205" s="17"/>
      <c r="WQK205" s="17"/>
      <c r="WQL205" s="17"/>
      <c r="WQM205" s="17"/>
      <c r="WQN205" s="17"/>
      <c r="WQO205" s="17"/>
      <c r="WQP205" s="17"/>
      <c r="WQQ205" s="17"/>
      <c r="WQR205" s="17"/>
      <c r="WQS205" s="17"/>
      <c r="WQT205" s="17"/>
      <c r="WQU205" s="17"/>
      <c r="WQV205" s="17"/>
      <c r="WQW205" s="17"/>
      <c r="WQX205" s="17"/>
      <c r="WQY205" s="17"/>
      <c r="WQZ205" s="17"/>
      <c r="WRA205" s="17"/>
      <c r="WRB205" s="17"/>
      <c r="WRC205" s="17"/>
      <c r="WRD205" s="17"/>
      <c r="WRE205" s="17"/>
      <c r="WRF205" s="17"/>
      <c r="WRG205" s="17"/>
      <c r="WRH205" s="17"/>
      <c r="WRI205" s="17"/>
      <c r="WRJ205" s="17"/>
      <c r="WRK205" s="17"/>
      <c r="WRL205" s="17"/>
      <c r="WRM205" s="17"/>
      <c r="WRN205" s="17"/>
      <c r="WRO205" s="17"/>
      <c r="WRP205" s="17"/>
      <c r="WRQ205" s="17"/>
      <c r="WRR205" s="17"/>
      <c r="WRS205" s="17"/>
      <c r="WRT205" s="17"/>
      <c r="WRU205" s="17"/>
      <c r="WRV205" s="17"/>
      <c r="WRW205" s="17"/>
      <c r="WRX205" s="17"/>
      <c r="WRY205" s="17"/>
      <c r="WRZ205" s="17"/>
      <c r="WSA205" s="17"/>
      <c r="WSB205" s="17"/>
      <c r="WSC205" s="17"/>
      <c r="WSD205" s="17"/>
      <c r="WSE205" s="17"/>
      <c r="WSF205" s="17"/>
      <c r="WSG205" s="17"/>
      <c r="WSH205" s="17"/>
      <c r="WSI205" s="17"/>
      <c r="WSJ205" s="17"/>
      <c r="WSK205" s="17"/>
      <c r="WSL205" s="17"/>
      <c r="WSM205" s="17"/>
      <c r="WSN205" s="17"/>
      <c r="WSO205" s="17"/>
      <c r="WSP205" s="17"/>
      <c r="WSQ205" s="17"/>
      <c r="WSR205" s="17"/>
      <c r="WSS205" s="17"/>
      <c r="WST205" s="17"/>
      <c r="WSU205" s="17"/>
      <c r="WSV205" s="17"/>
      <c r="WSW205" s="17"/>
      <c r="WSX205" s="17"/>
      <c r="WSY205" s="17"/>
      <c r="WSZ205" s="17"/>
      <c r="WTA205" s="17"/>
      <c r="WTB205" s="17"/>
      <c r="WTC205" s="17"/>
      <c r="WTD205" s="17"/>
      <c r="WTE205" s="17"/>
      <c r="WTF205" s="17"/>
      <c r="WTG205" s="17"/>
      <c r="WTH205" s="17"/>
      <c r="WTI205" s="17"/>
      <c r="WTJ205" s="17"/>
      <c r="WTK205" s="17"/>
      <c r="WTL205" s="17"/>
      <c r="WTM205" s="17"/>
      <c r="WTN205" s="17"/>
      <c r="WTO205" s="17"/>
      <c r="WTP205" s="17"/>
      <c r="WTQ205" s="17"/>
      <c r="WTR205" s="17"/>
      <c r="WTS205" s="17"/>
      <c r="WTT205" s="17"/>
      <c r="WTU205" s="17"/>
      <c r="WTV205" s="17"/>
      <c r="WTW205" s="17"/>
      <c r="WTX205" s="17"/>
      <c r="WTY205" s="17"/>
      <c r="WTZ205" s="17"/>
      <c r="WUA205" s="17"/>
      <c r="WUB205" s="17"/>
      <c r="WUC205" s="17"/>
      <c r="WUD205" s="17"/>
      <c r="WUE205" s="17"/>
      <c r="WUF205" s="17"/>
      <c r="WUG205" s="17"/>
      <c r="WUH205" s="17"/>
      <c r="WUI205" s="17"/>
      <c r="WUJ205" s="17"/>
      <c r="WUK205" s="17"/>
      <c r="WUL205" s="17"/>
      <c r="WUM205" s="17"/>
      <c r="WUN205" s="17"/>
      <c r="WUO205" s="17"/>
      <c r="WUP205" s="17"/>
      <c r="WUQ205" s="17"/>
      <c r="WUR205" s="17"/>
      <c r="WUS205" s="17"/>
      <c r="WUT205" s="17"/>
      <c r="WUU205" s="17"/>
      <c r="WUV205" s="17"/>
      <c r="WUW205" s="17"/>
      <c r="WUX205" s="17"/>
      <c r="WUY205" s="17"/>
      <c r="WUZ205" s="17"/>
      <c r="WVA205" s="17"/>
      <c r="WVB205" s="17"/>
      <c r="WVC205" s="17"/>
      <c r="WVD205" s="17"/>
      <c r="WVE205" s="17"/>
      <c r="WVF205" s="17"/>
      <c r="WVG205" s="17"/>
      <c r="WVH205" s="17"/>
      <c r="WVI205" s="17"/>
      <c r="WVJ205" s="17"/>
      <c r="WVK205" s="17"/>
      <c r="WVL205" s="17"/>
      <c r="WVM205" s="17"/>
      <c r="WVN205" s="17"/>
      <c r="WVO205" s="17"/>
      <c r="WVP205" s="17"/>
      <c r="WVQ205" s="17"/>
      <c r="WVR205" s="17"/>
      <c r="WVS205" s="17"/>
      <c r="WVT205" s="17"/>
      <c r="WVU205" s="17"/>
      <c r="WVV205" s="17"/>
      <c r="WVW205" s="17"/>
      <c r="WVX205" s="17"/>
      <c r="WVY205" s="17"/>
      <c r="WVZ205" s="17"/>
      <c r="WWA205" s="17"/>
      <c r="WWB205" s="17"/>
      <c r="WWC205" s="17"/>
      <c r="WWD205" s="17"/>
      <c r="WWE205" s="17"/>
      <c r="WWF205" s="17"/>
      <c r="WWG205" s="17"/>
      <c r="WWH205" s="17"/>
      <c r="WWI205" s="17"/>
      <c r="WWJ205" s="17"/>
      <c r="WWK205" s="17"/>
      <c r="WWL205" s="17"/>
      <c r="WWM205" s="17"/>
      <c r="WWN205" s="17"/>
      <c r="WWO205" s="17"/>
      <c r="WWP205" s="17"/>
      <c r="WWQ205" s="17"/>
      <c r="WWR205" s="17"/>
      <c r="WWS205" s="17"/>
      <c r="WWT205" s="17"/>
      <c r="WWU205" s="17"/>
      <c r="WWV205" s="17"/>
      <c r="WWW205" s="17"/>
      <c r="WWX205" s="17"/>
      <c r="WWY205" s="17"/>
      <c r="WWZ205" s="17"/>
      <c r="WXA205" s="17"/>
      <c r="WXB205" s="17"/>
      <c r="WXC205" s="17"/>
      <c r="WXD205" s="17"/>
      <c r="WXE205" s="17"/>
      <c r="WXF205" s="17"/>
      <c r="WXG205" s="17"/>
      <c r="WXH205" s="17"/>
      <c r="WXI205" s="17"/>
      <c r="WXJ205" s="17"/>
      <c r="WXK205" s="17"/>
      <c r="WXL205" s="17"/>
      <c r="WXM205" s="17"/>
      <c r="WXN205" s="17"/>
      <c r="WXO205" s="17"/>
      <c r="WXP205" s="17"/>
      <c r="WXQ205" s="17"/>
      <c r="WXR205" s="17"/>
      <c r="WXS205" s="17"/>
      <c r="WXT205" s="17"/>
      <c r="WXU205" s="17"/>
      <c r="WXV205" s="17"/>
      <c r="WXW205" s="17"/>
      <c r="WXX205" s="17"/>
      <c r="WXY205" s="17"/>
      <c r="WXZ205" s="17"/>
      <c r="WYA205" s="17"/>
      <c r="WYB205" s="17"/>
      <c r="WYC205" s="17"/>
      <c r="WYD205" s="17"/>
      <c r="WYE205" s="17"/>
      <c r="WYF205" s="17"/>
      <c r="WYG205" s="17"/>
      <c r="WYH205" s="17"/>
      <c r="WYI205" s="17"/>
      <c r="WYJ205" s="17"/>
      <c r="WYK205" s="17"/>
      <c r="WYL205" s="17"/>
      <c r="WYM205" s="17"/>
      <c r="WYN205" s="17"/>
      <c r="WYO205" s="17"/>
      <c r="WYP205" s="17"/>
      <c r="WYQ205" s="17"/>
      <c r="WYR205" s="17"/>
      <c r="WYS205" s="17"/>
      <c r="WYT205" s="17"/>
      <c r="WYU205" s="17"/>
      <c r="WYV205" s="17"/>
      <c r="WYW205" s="17"/>
      <c r="WYX205" s="17"/>
      <c r="WYY205" s="17"/>
      <c r="WYZ205" s="17"/>
      <c r="WZA205" s="17"/>
      <c r="WZB205" s="17"/>
      <c r="WZC205" s="17"/>
      <c r="WZD205" s="17"/>
      <c r="WZE205" s="17"/>
      <c r="WZF205" s="17"/>
      <c r="WZG205" s="17"/>
      <c r="WZH205" s="17"/>
      <c r="WZI205" s="17"/>
      <c r="WZJ205" s="17"/>
      <c r="WZK205" s="17"/>
      <c r="WZL205" s="17"/>
      <c r="WZM205" s="17"/>
      <c r="WZN205" s="17"/>
      <c r="WZO205" s="17"/>
      <c r="WZP205" s="17"/>
      <c r="WZQ205" s="17"/>
      <c r="WZR205" s="17"/>
      <c r="WZS205" s="17"/>
      <c r="WZT205" s="17"/>
      <c r="WZU205" s="17"/>
      <c r="WZV205" s="17"/>
      <c r="WZW205" s="17"/>
      <c r="WZX205" s="17"/>
      <c r="WZY205" s="17"/>
      <c r="WZZ205" s="17"/>
      <c r="XAA205" s="17"/>
      <c r="XAB205" s="17"/>
      <c r="XAC205" s="17"/>
      <c r="XAD205" s="17"/>
      <c r="XAE205" s="17"/>
      <c r="XAF205" s="17"/>
      <c r="XAG205" s="17"/>
      <c r="XAH205" s="17"/>
      <c r="XAI205" s="17"/>
      <c r="XAJ205" s="17"/>
      <c r="XAK205" s="17"/>
      <c r="XAL205" s="17"/>
      <c r="XAM205" s="17"/>
      <c r="XAN205" s="17"/>
      <c r="XAO205" s="17"/>
      <c r="XAP205" s="17"/>
      <c r="XAQ205" s="17"/>
      <c r="XAR205" s="17"/>
      <c r="XAS205" s="17"/>
      <c r="XAT205" s="17"/>
      <c r="XAU205" s="17"/>
      <c r="XAV205" s="17"/>
      <c r="XAW205" s="17"/>
      <c r="XAX205" s="17"/>
      <c r="XAY205" s="17"/>
      <c r="XAZ205" s="17"/>
      <c r="XBA205" s="17"/>
      <c r="XBB205" s="17"/>
      <c r="XBC205" s="17"/>
      <c r="XBD205" s="17"/>
      <c r="XBE205" s="17"/>
      <c r="XBF205" s="17"/>
      <c r="XBG205" s="17"/>
      <c r="XBH205" s="17"/>
      <c r="XBI205" s="17"/>
      <c r="XBJ205" s="17"/>
      <c r="XBK205" s="17"/>
      <c r="XBL205" s="17"/>
      <c r="XBM205" s="17"/>
      <c r="XBN205" s="17"/>
      <c r="XBO205" s="17"/>
      <c r="XBP205" s="17"/>
      <c r="XBQ205" s="17"/>
      <c r="XBR205" s="17"/>
      <c r="XBS205" s="17"/>
      <c r="XBT205" s="17"/>
      <c r="XBU205" s="17"/>
      <c r="XBV205" s="17"/>
      <c r="XBW205" s="17"/>
      <c r="XBX205" s="17"/>
      <c r="XBY205" s="17"/>
      <c r="XBZ205" s="17"/>
      <c r="XCA205" s="17"/>
      <c r="XCB205" s="17"/>
      <c r="XCC205" s="17"/>
      <c r="XCD205" s="17"/>
      <c r="XCE205" s="17"/>
      <c r="XCF205" s="17"/>
      <c r="XCG205" s="17"/>
      <c r="XCH205" s="17"/>
      <c r="XCI205" s="17"/>
      <c r="XCJ205" s="17"/>
      <c r="XCK205" s="17"/>
      <c r="XCL205" s="17"/>
      <c r="XCM205" s="17"/>
      <c r="XCN205" s="17"/>
      <c r="XCO205" s="17"/>
      <c r="XCP205" s="17"/>
      <c r="XCQ205" s="17"/>
      <c r="XCR205" s="17"/>
      <c r="XCS205" s="17"/>
      <c r="XCT205" s="17"/>
      <c r="XCU205" s="17"/>
      <c r="XCV205" s="17"/>
      <c r="XCW205" s="17"/>
      <c r="XCX205" s="17"/>
      <c r="XCY205" s="17"/>
      <c r="XCZ205" s="17"/>
      <c r="XDA205" s="17"/>
      <c r="XDB205" s="17"/>
      <c r="XDC205" s="17"/>
      <c r="XDD205" s="17"/>
      <c r="XDE205" s="17"/>
      <c r="XDF205" s="17"/>
      <c r="XDG205" s="17"/>
      <c r="XDH205" s="17"/>
      <c r="XDI205" s="17"/>
      <c r="XDJ205" s="17"/>
      <c r="XDK205" s="17"/>
      <c r="XDL205" s="17"/>
      <c r="XDM205" s="17"/>
      <c r="XDN205" s="17"/>
      <c r="XDO205" s="17"/>
      <c r="XDP205" s="17"/>
      <c r="XDQ205" s="17"/>
      <c r="XDR205" s="17"/>
      <c r="XDS205" s="17"/>
      <c r="XDT205" s="17"/>
      <c r="XDU205" s="17"/>
      <c r="XDV205" s="17"/>
      <c r="XDW205" s="17"/>
      <c r="XDX205" s="17"/>
      <c r="XDY205" s="17"/>
      <c r="XDZ205" s="17"/>
      <c r="XEA205" s="17"/>
      <c r="XEB205" s="17"/>
      <c r="XEC205" s="17"/>
      <c r="XED205" s="17"/>
      <c r="XEE205" s="17"/>
      <c r="XEF205" s="17"/>
      <c r="XEG205" s="17"/>
      <c r="XEH205" s="17"/>
      <c r="XEI205" s="17"/>
      <c r="XEJ205" s="17"/>
      <c r="XEK205" s="17"/>
      <c r="XEL205" s="17"/>
      <c r="XEM205" s="17"/>
      <c r="XEN205" s="17"/>
      <c r="XEO205" s="17"/>
      <c r="XEP205" s="17"/>
      <c r="XEQ205" s="17"/>
      <c r="XER205" s="17"/>
      <c r="XES205" s="17"/>
      <c r="XET205" s="17"/>
      <c r="XEU205" s="17"/>
      <c r="XEV205" s="17"/>
      <c r="XEW205" s="17"/>
      <c r="XEX205" s="17"/>
      <c r="XEY205" s="17"/>
      <c r="XEZ205" s="17"/>
      <c r="XFA205" s="17"/>
      <c r="XFB205" s="17"/>
      <c r="XFC205" s="17"/>
    </row>
    <row r="206" spans="2:16383" s="11" customFormat="1" ht="12.5">
      <c r="B206" s="17"/>
      <c r="C206" s="199" t="s">
        <v>277</v>
      </c>
      <c r="D206" s="180" t="str">
        <f>"$/"&amp;D220</f>
        <v>$/ounces</v>
      </c>
      <c r="E206" s="532">
        <v>1600</v>
      </c>
    </row>
    <row r="207" spans="2:16383" s="11" customFormat="1" ht="12.5">
      <c r="B207" s="17"/>
      <c r="C207" s="199" t="s">
        <v>278</v>
      </c>
      <c r="D207" s="180"/>
      <c r="E207" s="532">
        <v>2</v>
      </c>
    </row>
    <row r="208" spans="2:16383" s="11" customFormat="1" ht="12.5">
      <c r="B208" s="17"/>
      <c r="C208" s="340"/>
      <c r="D208" s="166"/>
      <c r="E208" s="341"/>
    </row>
    <row r="209" spans="2:58" s="11" customFormat="1">
      <c r="B209" s="17"/>
      <c r="C209" s="343"/>
      <c r="D209" s="46"/>
      <c r="E209" s="46"/>
      <c r="F209" s="187">
        <v>1</v>
      </c>
      <c r="G209" s="187">
        <v>2</v>
      </c>
      <c r="H209" s="187">
        <v>3</v>
      </c>
      <c r="I209" s="187">
        <v>4</v>
      </c>
      <c r="J209" s="187">
        <v>5</v>
      </c>
      <c r="K209" s="187">
        <v>6</v>
      </c>
      <c r="L209" s="187">
        <v>7</v>
      </c>
      <c r="M209" s="187">
        <v>8</v>
      </c>
      <c r="N209" s="187">
        <v>9</v>
      </c>
      <c r="O209" s="187">
        <v>10</v>
      </c>
      <c r="P209" s="187">
        <v>11</v>
      </c>
      <c r="Q209" s="187">
        <v>12</v>
      </c>
      <c r="R209" s="187">
        <v>13</v>
      </c>
      <c r="S209" s="187">
        <v>14</v>
      </c>
      <c r="T209" s="187">
        <v>15</v>
      </c>
      <c r="U209" s="187">
        <v>16</v>
      </c>
      <c r="V209" s="187">
        <v>17</v>
      </c>
      <c r="W209" s="187">
        <v>18</v>
      </c>
      <c r="X209" s="187">
        <v>19</v>
      </c>
      <c r="Y209" s="187">
        <v>20</v>
      </c>
      <c r="Z209" s="187">
        <v>21</v>
      </c>
      <c r="AA209" s="187">
        <v>22</v>
      </c>
      <c r="AB209" s="187">
        <v>23</v>
      </c>
      <c r="AC209" s="187">
        <v>24</v>
      </c>
      <c r="AD209" s="187">
        <v>25</v>
      </c>
      <c r="AE209" s="187">
        <v>26</v>
      </c>
      <c r="AF209" s="187">
        <v>27</v>
      </c>
      <c r="AG209" s="187">
        <v>28</v>
      </c>
      <c r="AH209" s="187">
        <v>29</v>
      </c>
      <c r="AI209" s="187">
        <v>30</v>
      </c>
      <c r="AJ209" s="187">
        <v>31</v>
      </c>
      <c r="AK209" s="187">
        <v>32</v>
      </c>
      <c r="AL209" s="187">
        <v>33</v>
      </c>
      <c r="AM209" s="187">
        <v>34</v>
      </c>
      <c r="AN209" s="187">
        <v>35</v>
      </c>
      <c r="AO209" s="187">
        <v>36</v>
      </c>
      <c r="AP209" s="187">
        <v>37</v>
      </c>
      <c r="AQ209" s="187">
        <v>38</v>
      </c>
      <c r="AR209" s="187">
        <v>39</v>
      </c>
      <c r="AS209" s="187">
        <v>40</v>
      </c>
      <c r="AT209" s="187">
        <v>41</v>
      </c>
      <c r="AU209" s="187">
        <v>42</v>
      </c>
      <c r="AV209" s="187">
        <v>43</v>
      </c>
      <c r="AW209" s="187">
        <v>44</v>
      </c>
      <c r="AX209" s="187">
        <v>45</v>
      </c>
      <c r="AY209" s="187">
        <v>46</v>
      </c>
      <c r="AZ209" s="187">
        <v>47</v>
      </c>
      <c r="BA209" s="187">
        <v>48</v>
      </c>
      <c r="BB209" s="187">
        <v>49</v>
      </c>
      <c r="BC209" s="187">
        <v>50</v>
      </c>
    </row>
    <row r="210" spans="2:58" s="11" customFormat="1" ht="12.5">
      <c r="B210" s="17"/>
      <c r="C210" s="143" t="s">
        <v>279</v>
      </c>
      <c r="D210" s="138" t="str">
        <f>"$/"&amp;D220</f>
        <v>$/ounces</v>
      </c>
      <c r="E210" s="331"/>
      <c r="F210" s="203">
        <f>Mineral_price</f>
        <v>1600</v>
      </c>
      <c r="G210" s="203">
        <f>Model!$E$1277</f>
        <v>1600</v>
      </c>
      <c r="H210" s="203">
        <f>Model!$E$1277</f>
        <v>1600</v>
      </c>
      <c r="I210" s="203">
        <f>Model!$E$1277</f>
        <v>1600</v>
      </c>
      <c r="J210" s="203">
        <f>Model!$E$1277</f>
        <v>1600</v>
      </c>
      <c r="K210" s="203">
        <f>Model!$E$1277</f>
        <v>1600</v>
      </c>
      <c r="L210" s="203">
        <f>Model!$E$1277</f>
        <v>1600</v>
      </c>
      <c r="M210" s="203">
        <f>Model!$E$1277</f>
        <v>1600</v>
      </c>
      <c r="N210" s="203">
        <f>Model!$E$1277</f>
        <v>1600</v>
      </c>
      <c r="O210" s="203">
        <f>Model!$E$1277</f>
        <v>1600</v>
      </c>
      <c r="P210" s="203">
        <f>Model!$E$1277</f>
        <v>1600</v>
      </c>
      <c r="Q210" s="203">
        <f>Model!$E$1277</f>
        <v>1600</v>
      </c>
      <c r="R210" s="203">
        <f>Model!$E$1277</f>
        <v>1600</v>
      </c>
      <c r="S210" s="203">
        <f>Model!$E$1277</f>
        <v>1600</v>
      </c>
      <c r="T210" s="203">
        <f>Model!$E$1277</f>
        <v>1600</v>
      </c>
      <c r="U210" s="203">
        <f>Model!$E$1277</f>
        <v>1600</v>
      </c>
      <c r="V210" s="203">
        <f>Model!$E$1277</f>
        <v>1600</v>
      </c>
      <c r="W210" s="203">
        <f>Model!$E$1277</f>
        <v>1600</v>
      </c>
      <c r="X210" s="203">
        <f>Model!$E$1277</f>
        <v>1600</v>
      </c>
      <c r="Y210" s="203">
        <f>Model!$E$1277</f>
        <v>1600</v>
      </c>
      <c r="Z210" s="203">
        <f>Model!$E$1277</f>
        <v>1600</v>
      </c>
      <c r="AA210" s="203">
        <f>Model!$E$1277</f>
        <v>1600</v>
      </c>
      <c r="AB210" s="203">
        <f>Model!$E$1277</f>
        <v>1600</v>
      </c>
      <c r="AC210" s="203">
        <f>Model!$E$1277</f>
        <v>1600</v>
      </c>
      <c r="AD210" s="203">
        <f>Model!$E$1277</f>
        <v>1600</v>
      </c>
      <c r="AE210" s="203">
        <f>Model!$E$1277</f>
        <v>1600</v>
      </c>
      <c r="AF210" s="203">
        <f>Model!$E$1277</f>
        <v>1600</v>
      </c>
      <c r="AG210" s="203">
        <f>Model!$E$1277</f>
        <v>1600</v>
      </c>
      <c r="AH210" s="203">
        <f>Model!$E$1277</f>
        <v>1600</v>
      </c>
      <c r="AI210" s="203">
        <f>Model!$E$1277</f>
        <v>1600</v>
      </c>
      <c r="AJ210" s="203">
        <f>Model!$E$1277</f>
        <v>1600</v>
      </c>
      <c r="AK210" s="203">
        <f>Model!$E$1277</f>
        <v>1600</v>
      </c>
      <c r="AL210" s="203">
        <f>Model!$E$1277</f>
        <v>1600</v>
      </c>
      <c r="AM210" s="203">
        <f>Model!$E$1277</f>
        <v>1600</v>
      </c>
      <c r="AN210" s="203">
        <f>Model!$E$1277</f>
        <v>1600</v>
      </c>
      <c r="AO210" s="203">
        <f>Model!$E$1277</f>
        <v>1600</v>
      </c>
      <c r="AP210" s="203">
        <f>Model!$E$1277</f>
        <v>1600</v>
      </c>
      <c r="AQ210" s="203">
        <f>Model!$E$1277</f>
        <v>1600</v>
      </c>
      <c r="AR210" s="203">
        <f>Model!$E$1277</f>
        <v>1600</v>
      </c>
      <c r="AS210" s="203">
        <f>Model!$E$1277</f>
        <v>1600</v>
      </c>
      <c r="AT210" s="203">
        <f>Model!$E$1277</f>
        <v>1600</v>
      </c>
      <c r="AU210" s="203">
        <f>Model!$E$1277</f>
        <v>1600</v>
      </c>
      <c r="AV210" s="203">
        <f>Model!$E$1277</f>
        <v>1600</v>
      </c>
      <c r="AW210" s="203">
        <f>Model!$E$1277</f>
        <v>1600</v>
      </c>
      <c r="AX210" s="203">
        <f>Model!$E$1277</f>
        <v>1600</v>
      </c>
      <c r="AY210" s="203">
        <f>Model!$E$1277</f>
        <v>1600</v>
      </c>
      <c r="AZ210" s="203">
        <f>Model!$E$1277</f>
        <v>1600</v>
      </c>
      <c r="BA210" s="203">
        <f>Model!$E$1277</f>
        <v>1600</v>
      </c>
      <c r="BB210" s="203">
        <f>Model!$E$1277</f>
        <v>1600</v>
      </c>
      <c r="BC210" s="203">
        <f>Model!$E$1277</f>
        <v>1600</v>
      </c>
    </row>
    <row r="211" spans="2:58" s="11" customFormat="1" ht="12.5">
      <c r="B211" s="17"/>
      <c r="C211" s="143" t="s">
        <v>280</v>
      </c>
      <c r="D211" s="138" t="str">
        <f>"$/"&amp;D220</f>
        <v>$/ounces</v>
      </c>
      <c r="E211" s="331"/>
      <c r="F211" s="203">
        <f>Mineral_price</f>
        <v>1600</v>
      </c>
      <c r="G211" s="203">
        <f>Model!$E$1277</f>
        <v>1600</v>
      </c>
      <c r="H211" s="203">
        <f>Model!$E$1277</f>
        <v>1600</v>
      </c>
      <c r="I211" s="203">
        <f>Model!$E$1277</f>
        <v>1600</v>
      </c>
      <c r="J211" s="203">
        <f>Model!$E$1277</f>
        <v>1600</v>
      </c>
      <c r="K211" s="203">
        <f>Model!$E$1277</f>
        <v>1600</v>
      </c>
      <c r="L211" s="203">
        <f>Model!$E$1277</f>
        <v>1600</v>
      </c>
      <c r="M211" s="203">
        <f>Model!$E$1277</f>
        <v>1600</v>
      </c>
      <c r="N211" s="203">
        <v>800</v>
      </c>
      <c r="O211" s="203">
        <v>800</v>
      </c>
      <c r="P211" s="203">
        <v>800</v>
      </c>
      <c r="Q211" s="203">
        <v>800</v>
      </c>
      <c r="R211" s="203">
        <f>Model!$E$1277</f>
        <v>1600</v>
      </c>
      <c r="S211" s="203">
        <f>Model!$E$1277</f>
        <v>1600</v>
      </c>
      <c r="T211" s="203">
        <f>Model!$E$1277</f>
        <v>1600</v>
      </c>
      <c r="U211" s="203">
        <f>Model!$E$1277</f>
        <v>1600</v>
      </c>
      <c r="V211" s="203">
        <f>Model!$E$1277</f>
        <v>1600</v>
      </c>
      <c r="W211" s="203">
        <f>Model!$E$1277</f>
        <v>1600</v>
      </c>
      <c r="X211" s="203">
        <f>Model!$E$1277</f>
        <v>1600</v>
      </c>
      <c r="Y211" s="203">
        <f>Model!$E$1277</f>
        <v>1600</v>
      </c>
      <c r="Z211" s="203">
        <f>Model!$E$1277</f>
        <v>1600</v>
      </c>
      <c r="AA211" s="203">
        <f>Model!$E$1277</f>
        <v>1600</v>
      </c>
      <c r="AB211" s="203">
        <f>Model!$E$1277</f>
        <v>1600</v>
      </c>
      <c r="AC211" s="203">
        <f>Model!$E$1277</f>
        <v>1600</v>
      </c>
      <c r="AD211" s="203">
        <f>Model!$E$1277</f>
        <v>1600</v>
      </c>
      <c r="AE211" s="203">
        <f>Model!$E$1277</f>
        <v>1600</v>
      </c>
      <c r="AF211" s="203">
        <f>Model!$E$1277</f>
        <v>1600</v>
      </c>
      <c r="AG211" s="203">
        <f>Model!$E$1277</f>
        <v>1600</v>
      </c>
      <c r="AH211" s="203">
        <f>Model!$E$1277</f>
        <v>1600</v>
      </c>
      <c r="AI211" s="203">
        <f>Model!$E$1277</f>
        <v>1600</v>
      </c>
      <c r="AJ211" s="203">
        <f>Model!$E$1277</f>
        <v>1600</v>
      </c>
      <c r="AK211" s="203">
        <f>Model!$E$1277</f>
        <v>1600</v>
      </c>
      <c r="AL211" s="203">
        <f>Model!$E$1277</f>
        <v>1600</v>
      </c>
      <c r="AM211" s="203">
        <f>Model!$E$1277</f>
        <v>1600</v>
      </c>
      <c r="AN211" s="203">
        <f>Model!$E$1277</f>
        <v>1600</v>
      </c>
      <c r="AO211" s="203">
        <f>Model!$E$1277</f>
        <v>1600</v>
      </c>
      <c r="AP211" s="203">
        <f>Model!$E$1277</f>
        <v>1600</v>
      </c>
      <c r="AQ211" s="203">
        <f>Model!$E$1277</f>
        <v>1600</v>
      </c>
      <c r="AR211" s="203">
        <f>Model!$E$1277</f>
        <v>1600</v>
      </c>
      <c r="AS211" s="203">
        <f>Model!$E$1277</f>
        <v>1600</v>
      </c>
      <c r="AT211" s="203">
        <f>Model!$E$1277</f>
        <v>1600</v>
      </c>
      <c r="AU211" s="203">
        <f>Model!$E$1277</f>
        <v>1600</v>
      </c>
      <c r="AV211" s="203">
        <f>Model!$E$1277</f>
        <v>1600</v>
      </c>
      <c r="AW211" s="203">
        <f>Model!$E$1277</f>
        <v>1600</v>
      </c>
      <c r="AX211" s="203">
        <f>Model!$E$1277</f>
        <v>1600</v>
      </c>
      <c r="AY211" s="203">
        <f>Model!$E$1277</f>
        <v>1600</v>
      </c>
      <c r="AZ211" s="203">
        <f>Model!$E$1277</f>
        <v>1600</v>
      </c>
      <c r="BA211" s="203">
        <f>Model!$E$1277</f>
        <v>1600</v>
      </c>
      <c r="BB211" s="203">
        <f>Model!$E$1277</f>
        <v>1600</v>
      </c>
      <c r="BC211" s="203">
        <f>Model!$E$1277</f>
        <v>1600</v>
      </c>
    </row>
    <row r="212" spans="2:58" s="11" customFormat="1" ht="12.5">
      <c r="B212" s="17"/>
      <c r="F212" s="53"/>
      <c r="G212" s="53"/>
      <c r="H212" s="53"/>
      <c r="I212" s="53"/>
      <c r="J212" s="53"/>
      <c r="K212" s="53"/>
      <c r="L212" s="53"/>
      <c r="M212" s="53"/>
      <c r="N212" s="53"/>
      <c r="O212" s="53"/>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row>
    <row r="213" spans="2:58" s="11" customFormat="1" ht="12.5" outlineLevel="1">
      <c r="B213" s="17"/>
      <c r="C213" s="344" t="s">
        <v>281</v>
      </c>
      <c r="D213" s="331" t="str">
        <f>"$/"&amp;D220</f>
        <v>$/ounces</v>
      </c>
      <c r="E213" s="532">
        <v>1300</v>
      </c>
    </row>
    <row r="214" spans="2:58" s="11" customFormat="1" ht="12.5" outlineLevel="1">
      <c r="B214" s="17"/>
      <c r="C214" s="42"/>
      <c r="E214" s="342"/>
    </row>
    <row r="215" spans="2:58" s="11" customFormat="1" ht="23" customHeight="1">
      <c r="C215" s="547" t="s">
        <v>791</v>
      </c>
      <c r="D215" s="490"/>
      <c r="E215" s="490"/>
      <c r="F215" s="490"/>
      <c r="G215" s="490"/>
      <c r="H215" s="490"/>
      <c r="I215" s="490"/>
      <c r="J215" s="490"/>
      <c r="K215" s="490"/>
      <c r="L215" s="490"/>
      <c r="M215" s="490"/>
      <c r="N215" s="490"/>
      <c r="O215" s="490"/>
      <c r="P215" s="490"/>
      <c r="Q215" s="490"/>
      <c r="R215" s="490"/>
      <c r="S215" s="490"/>
      <c r="T215" s="490"/>
      <c r="U215" s="490"/>
      <c r="V215" s="490"/>
      <c r="W215" s="490"/>
      <c r="X215" s="490"/>
      <c r="Y215" s="490"/>
      <c r="Z215" s="490"/>
      <c r="AA215" s="490"/>
      <c r="AB215" s="490"/>
      <c r="AC215" s="490"/>
      <c r="AD215" s="490"/>
      <c r="AE215" s="490"/>
      <c r="AF215" s="490"/>
      <c r="AG215" s="490"/>
      <c r="AH215" s="490"/>
      <c r="AI215" s="490"/>
      <c r="AJ215" s="490"/>
      <c r="AK215" s="490"/>
      <c r="AL215" s="490"/>
      <c r="AM215" s="490"/>
      <c r="AN215" s="490"/>
      <c r="AO215" s="490"/>
      <c r="AP215" s="490"/>
      <c r="AQ215" s="490"/>
      <c r="AR215" s="490"/>
      <c r="AS215" s="490"/>
      <c r="AT215" s="490"/>
      <c r="AU215" s="490"/>
      <c r="AV215" s="490"/>
      <c r="AW215" s="490"/>
      <c r="AX215" s="490"/>
      <c r="AY215" s="490"/>
      <c r="AZ215" s="490"/>
      <c r="BA215" s="490"/>
      <c r="BB215" s="490"/>
      <c r="BC215" s="490"/>
      <c r="BD215" s="530"/>
      <c r="BE215" s="530"/>
      <c r="BF215" s="530"/>
    </row>
    <row r="216" spans="2:58" s="11" customFormat="1" ht="15" customHeight="1"/>
    <row r="217" spans="2:58" s="11" customFormat="1" ht="15" customHeight="1">
      <c r="C217" s="563" t="s">
        <v>282</v>
      </c>
      <c r="D217" s="564"/>
      <c r="E217" s="570" t="s">
        <v>300</v>
      </c>
      <c r="F217" s="571"/>
      <c r="G217" s="206">
        <f>MATCH(E217,Lists!$D$3:$D$14,0)</f>
        <v>3</v>
      </c>
    </row>
    <row r="218" spans="2:58" s="11" customFormat="1" ht="15" customHeight="1"/>
    <row r="219" spans="2:58" s="11" customFormat="1">
      <c r="B219" s="422" t="s">
        <v>284</v>
      </c>
      <c r="C219" s="343"/>
      <c r="D219" s="46"/>
      <c r="E219" s="46"/>
      <c r="F219" s="187">
        <v>1</v>
      </c>
      <c r="G219" s="187">
        <v>2</v>
      </c>
      <c r="H219" s="187">
        <v>3</v>
      </c>
      <c r="I219" s="187">
        <v>4</v>
      </c>
      <c r="J219" s="187">
        <v>5</v>
      </c>
      <c r="K219" s="187">
        <v>6</v>
      </c>
      <c r="L219" s="187">
        <v>7</v>
      </c>
      <c r="M219" s="187">
        <v>8</v>
      </c>
      <c r="N219" s="187">
        <v>9</v>
      </c>
      <c r="O219" s="187">
        <v>10</v>
      </c>
      <c r="P219" s="187">
        <v>11</v>
      </c>
      <c r="Q219" s="187">
        <v>12</v>
      </c>
      <c r="R219" s="187">
        <v>13</v>
      </c>
      <c r="S219" s="187">
        <v>14</v>
      </c>
      <c r="T219" s="187">
        <v>15</v>
      </c>
      <c r="U219" s="187">
        <v>16</v>
      </c>
      <c r="V219" s="187">
        <v>17</v>
      </c>
      <c r="W219" s="187">
        <v>18</v>
      </c>
      <c r="X219" s="187">
        <v>19</v>
      </c>
      <c r="Y219" s="187">
        <v>20</v>
      </c>
      <c r="Z219" s="187">
        <v>21</v>
      </c>
      <c r="AA219" s="187">
        <v>22</v>
      </c>
      <c r="AB219" s="187">
        <v>23</v>
      </c>
      <c r="AC219" s="187">
        <v>24</v>
      </c>
      <c r="AD219" s="187">
        <v>25</v>
      </c>
      <c r="AE219" s="187">
        <v>26</v>
      </c>
      <c r="AF219" s="187">
        <v>27</v>
      </c>
      <c r="AG219" s="187">
        <v>28</v>
      </c>
      <c r="AH219" s="187">
        <v>29</v>
      </c>
      <c r="AI219" s="187">
        <v>30</v>
      </c>
      <c r="AJ219" s="187">
        <v>31</v>
      </c>
      <c r="AK219" s="187">
        <v>32</v>
      </c>
      <c r="AL219" s="187">
        <v>33</v>
      </c>
      <c r="AM219" s="187">
        <v>34</v>
      </c>
      <c r="AN219" s="187">
        <v>35</v>
      </c>
      <c r="AO219" s="187">
        <v>36</v>
      </c>
      <c r="AP219" s="187">
        <v>37</v>
      </c>
      <c r="AQ219" s="187">
        <v>38</v>
      </c>
      <c r="AR219" s="187">
        <v>39</v>
      </c>
      <c r="AS219" s="187">
        <v>40</v>
      </c>
      <c r="AT219" s="187">
        <v>41</v>
      </c>
      <c r="AU219" s="187">
        <v>42</v>
      </c>
      <c r="AV219" s="187">
        <v>43</v>
      </c>
      <c r="AW219" s="187">
        <v>44</v>
      </c>
      <c r="AX219" s="187">
        <v>45</v>
      </c>
      <c r="AY219" s="187">
        <v>46</v>
      </c>
      <c r="AZ219" s="187">
        <v>47</v>
      </c>
      <c r="BA219" s="187">
        <v>48</v>
      </c>
      <c r="BB219" s="187">
        <v>49</v>
      </c>
      <c r="BC219" s="187">
        <v>50</v>
      </c>
    </row>
    <row r="220" spans="2:58" s="11" customFormat="1" ht="15" customHeight="1">
      <c r="B220" s="17">
        <f t="shared" ref="B220:B227" si="71">SUM(F220:BC220)</f>
        <v>8000000</v>
      </c>
      <c r="C220" s="18" t="str">
        <f t="shared" ref="C220:D229" si="72">CHOOSE($G$217,C235,C247,C259)</f>
        <v>Production of gold</v>
      </c>
      <c r="D220" s="18" t="str">
        <f t="shared" si="72"/>
        <v>ounces</v>
      </c>
      <c r="E220" s="46"/>
      <c r="F220" s="370">
        <f t="shared" ref="F220:AK220" si="73">CHOOSE($G$217,F235,F247,F259)</f>
        <v>0</v>
      </c>
      <c r="G220" s="370">
        <f t="shared" si="73"/>
        <v>0</v>
      </c>
      <c r="H220" s="370">
        <f t="shared" si="73"/>
        <v>0</v>
      </c>
      <c r="I220" s="370">
        <f t="shared" si="73"/>
        <v>0</v>
      </c>
      <c r="J220" s="370">
        <f t="shared" si="73"/>
        <v>150000</v>
      </c>
      <c r="K220" s="370">
        <f t="shared" si="73"/>
        <v>350000</v>
      </c>
      <c r="L220" s="370">
        <f t="shared" si="73"/>
        <v>350000</v>
      </c>
      <c r="M220" s="370">
        <f t="shared" si="73"/>
        <v>350000</v>
      </c>
      <c r="N220" s="370">
        <f t="shared" si="73"/>
        <v>350000</v>
      </c>
      <c r="O220" s="370">
        <f t="shared" si="73"/>
        <v>350000</v>
      </c>
      <c r="P220" s="370">
        <f t="shared" si="73"/>
        <v>350000</v>
      </c>
      <c r="Q220" s="370">
        <f t="shared" si="73"/>
        <v>350000</v>
      </c>
      <c r="R220" s="370">
        <f t="shared" si="73"/>
        <v>350000</v>
      </c>
      <c r="S220" s="370">
        <f t="shared" si="73"/>
        <v>350000</v>
      </c>
      <c r="T220" s="370">
        <f t="shared" si="73"/>
        <v>350000</v>
      </c>
      <c r="U220" s="370">
        <f t="shared" si="73"/>
        <v>350000</v>
      </c>
      <c r="V220" s="370">
        <f t="shared" si="73"/>
        <v>350000</v>
      </c>
      <c r="W220" s="370">
        <f t="shared" si="73"/>
        <v>350000</v>
      </c>
      <c r="X220" s="370">
        <f t="shared" si="73"/>
        <v>350000</v>
      </c>
      <c r="Y220" s="370">
        <f t="shared" si="73"/>
        <v>350000</v>
      </c>
      <c r="Z220" s="370">
        <f t="shared" si="73"/>
        <v>350000</v>
      </c>
      <c r="AA220" s="370">
        <f t="shared" si="73"/>
        <v>350000</v>
      </c>
      <c r="AB220" s="370">
        <f t="shared" si="73"/>
        <v>350000</v>
      </c>
      <c r="AC220" s="370">
        <f t="shared" si="73"/>
        <v>350000</v>
      </c>
      <c r="AD220" s="370">
        <f t="shared" si="73"/>
        <v>350000</v>
      </c>
      <c r="AE220" s="370">
        <f t="shared" si="73"/>
        <v>350000</v>
      </c>
      <c r="AF220" s="370">
        <f t="shared" si="73"/>
        <v>350000</v>
      </c>
      <c r="AG220" s="370">
        <f t="shared" si="73"/>
        <v>150000</v>
      </c>
      <c r="AH220" s="370">
        <f t="shared" si="73"/>
        <v>0</v>
      </c>
      <c r="AI220" s="370">
        <f t="shared" si="73"/>
        <v>0</v>
      </c>
      <c r="AJ220" s="370">
        <f t="shared" si="73"/>
        <v>0</v>
      </c>
      <c r="AK220" s="370">
        <f t="shared" si="73"/>
        <v>0</v>
      </c>
      <c r="AL220" s="370">
        <f t="shared" ref="AL220:BC220" si="74">CHOOSE($G$217,AL235,AL247,AL259)</f>
        <v>0</v>
      </c>
      <c r="AM220" s="370">
        <f t="shared" si="74"/>
        <v>0</v>
      </c>
      <c r="AN220" s="370">
        <f t="shared" si="74"/>
        <v>0</v>
      </c>
      <c r="AO220" s="370">
        <f t="shared" si="74"/>
        <v>0</v>
      </c>
      <c r="AP220" s="370">
        <f t="shared" si="74"/>
        <v>0</v>
      </c>
      <c r="AQ220" s="370">
        <f t="shared" si="74"/>
        <v>0</v>
      </c>
      <c r="AR220" s="370">
        <f t="shared" si="74"/>
        <v>0</v>
      </c>
      <c r="AS220" s="370">
        <f t="shared" si="74"/>
        <v>0</v>
      </c>
      <c r="AT220" s="370">
        <f t="shared" si="74"/>
        <v>0</v>
      </c>
      <c r="AU220" s="370">
        <f t="shared" si="74"/>
        <v>0</v>
      </c>
      <c r="AV220" s="370">
        <f t="shared" si="74"/>
        <v>0</v>
      </c>
      <c r="AW220" s="370">
        <f t="shared" si="74"/>
        <v>0</v>
      </c>
      <c r="AX220" s="370">
        <f t="shared" si="74"/>
        <v>0</v>
      </c>
      <c r="AY220" s="370">
        <f t="shared" si="74"/>
        <v>0</v>
      </c>
      <c r="AZ220" s="370">
        <f t="shared" si="74"/>
        <v>0</v>
      </c>
      <c r="BA220" s="370">
        <f t="shared" si="74"/>
        <v>0</v>
      </c>
      <c r="BB220" s="370">
        <f t="shared" si="74"/>
        <v>0</v>
      </c>
      <c r="BC220" s="370">
        <f t="shared" si="74"/>
        <v>0</v>
      </c>
    </row>
    <row r="221" spans="2:58" s="11" customFormat="1" ht="15" customHeight="1">
      <c r="B221" s="17">
        <f t="shared" si="71"/>
        <v>0</v>
      </c>
      <c r="C221" s="18" t="str">
        <f t="shared" si="72"/>
        <v>Transport post-fiscal point</v>
      </c>
      <c r="D221" s="18" t="str">
        <f t="shared" si="72"/>
        <v>$mm const</v>
      </c>
      <c r="E221" s="46"/>
      <c r="F221" s="370">
        <f t="shared" ref="F221:AK221" si="75">CHOOSE($G$217,F236,F248,F260)</f>
        <v>0</v>
      </c>
      <c r="G221" s="370">
        <f t="shared" si="75"/>
        <v>0</v>
      </c>
      <c r="H221" s="370">
        <f t="shared" si="75"/>
        <v>0</v>
      </c>
      <c r="I221" s="370">
        <f t="shared" si="75"/>
        <v>0</v>
      </c>
      <c r="J221" s="370">
        <f t="shared" si="75"/>
        <v>0</v>
      </c>
      <c r="K221" s="370">
        <f t="shared" si="75"/>
        <v>0</v>
      </c>
      <c r="L221" s="370">
        <f t="shared" si="75"/>
        <v>0</v>
      </c>
      <c r="M221" s="370">
        <f t="shared" si="75"/>
        <v>0</v>
      </c>
      <c r="N221" s="370">
        <f t="shared" si="75"/>
        <v>0</v>
      </c>
      <c r="O221" s="370">
        <f t="shared" si="75"/>
        <v>0</v>
      </c>
      <c r="P221" s="370">
        <f t="shared" si="75"/>
        <v>0</v>
      </c>
      <c r="Q221" s="370">
        <f t="shared" si="75"/>
        <v>0</v>
      </c>
      <c r="R221" s="370">
        <f t="shared" si="75"/>
        <v>0</v>
      </c>
      <c r="S221" s="370">
        <f t="shared" si="75"/>
        <v>0</v>
      </c>
      <c r="T221" s="370">
        <f t="shared" si="75"/>
        <v>0</v>
      </c>
      <c r="U221" s="370">
        <f t="shared" si="75"/>
        <v>0</v>
      </c>
      <c r="V221" s="370">
        <f t="shared" si="75"/>
        <v>0</v>
      </c>
      <c r="W221" s="370">
        <f t="shared" si="75"/>
        <v>0</v>
      </c>
      <c r="X221" s="370">
        <f t="shared" si="75"/>
        <v>0</v>
      </c>
      <c r="Y221" s="370">
        <f t="shared" si="75"/>
        <v>0</v>
      </c>
      <c r="Z221" s="370">
        <f t="shared" si="75"/>
        <v>0</v>
      </c>
      <c r="AA221" s="370">
        <f t="shared" si="75"/>
        <v>0</v>
      </c>
      <c r="AB221" s="370">
        <f t="shared" si="75"/>
        <v>0</v>
      </c>
      <c r="AC221" s="370">
        <f t="shared" si="75"/>
        <v>0</v>
      </c>
      <c r="AD221" s="370">
        <f t="shared" si="75"/>
        <v>0</v>
      </c>
      <c r="AE221" s="370">
        <f t="shared" si="75"/>
        <v>0</v>
      </c>
      <c r="AF221" s="370">
        <f t="shared" si="75"/>
        <v>0</v>
      </c>
      <c r="AG221" s="370">
        <f t="shared" si="75"/>
        <v>0</v>
      </c>
      <c r="AH221" s="370">
        <f t="shared" si="75"/>
        <v>0</v>
      </c>
      <c r="AI221" s="370">
        <f t="shared" si="75"/>
        <v>0</v>
      </c>
      <c r="AJ221" s="370">
        <f t="shared" si="75"/>
        <v>0</v>
      </c>
      <c r="AK221" s="370">
        <f t="shared" si="75"/>
        <v>0</v>
      </c>
      <c r="AL221" s="370">
        <f t="shared" ref="AL221:BC221" si="76">CHOOSE($G$217,AL236,AL248,AL260)</f>
        <v>0</v>
      </c>
      <c r="AM221" s="370">
        <f t="shared" si="76"/>
        <v>0</v>
      </c>
      <c r="AN221" s="370">
        <f t="shared" si="76"/>
        <v>0</v>
      </c>
      <c r="AO221" s="370">
        <f t="shared" si="76"/>
        <v>0</v>
      </c>
      <c r="AP221" s="370">
        <f t="shared" si="76"/>
        <v>0</v>
      </c>
      <c r="AQ221" s="370">
        <f t="shared" si="76"/>
        <v>0</v>
      </c>
      <c r="AR221" s="370">
        <f t="shared" si="76"/>
        <v>0</v>
      </c>
      <c r="AS221" s="370">
        <f t="shared" si="76"/>
        <v>0</v>
      </c>
      <c r="AT221" s="370">
        <f t="shared" si="76"/>
        <v>0</v>
      </c>
      <c r="AU221" s="370">
        <f t="shared" si="76"/>
        <v>0</v>
      </c>
      <c r="AV221" s="370">
        <f t="shared" si="76"/>
        <v>0</v>
      </c>
      <c r="AW221" s="370">
        <f t="shared" si="76"/>
        <v>0</v>
      </c>
      <c r="AX221" s="370">
        <f t="shared" si="76"/>
        <v>0</v>
      </c>
      <c r="AY221" s="370">
        <f t="shared" si="76"/>
        <v>0</v>
      </c>
      <c r="AZ221" s="370">
        <f t="shared" si="76"/>
        <v>0</v>
      </c>
      <c r="BA221" s="370">
        <f t="shared" si="76"/>
        <v>0</v>
      </c>
      <c r="BB221" s="370">
        <f t="shared" si="76"/>
        <v>0</v>
      </c>
      <c r="BC221" s="370">
        <f t="shared" si="76"/>
        <v>0</v>
      </c>
    </row>
    <row r="222" spans="2:58" s="11" customFormat="1" ht="15" customHeight="1">
      <c r="B222" s="17">
        <f t="shared" si="71"/>
        <v>34.850000000000009</v>
      </c>
      <c r="C222" s="18" t="str">
        <f t="shared" si="72"/>
        <v>Processing and refining post-fiscal point</v>
      </c>
      <c r="D222" s="18" t="str">
        <f t="shared" si="72"/>
        <v>$mm const</v>
      </c>
      <c r="E222" s="46"/>
      <c r="F222" s="370">
        <f t="shared" ref="F222:AK222" si="77">CHOOSE($G$217,F237,F249,F261)</f>
        <v>0</v>
      </c>
      <c r="G222" s="370">
        <f t="shared" si="77"/>
        <v>0</v>
      </c>
      <c r="H222" s="370">
        <f t="shared" si="77"/>
        <v>0</v>
      </c>
      <c r="I222" s="370">
        <f t="shared" si="77"/>
        <v>0</v>
      </c>
      <c r="J222" s="370">
        <f t="shared" si="77"/>
        <v>0.45</v>
      </c>
      <c r="K222" s="370">
        <f t="shared" si="77"/>
        <v>1.05</v>
      </c>
      <c r="L222" s="370">
        <f t="shared" si="77"/>
        <v>1.05</v>
      </c>
      <c r="M222" s="370">
        <f t="shared" si="77"/>
        <v>1.05</v>
      </c>
      <c r="N222" s="370">
        <f t="shared" si="77"/>
        <v>1.05</v>
      </c>
      <c r="O222" s="370">
        <f t="shared" si="77"/>
        <v>1.05</v>
      </c>
      <c r="P222" s="370">
        <f t="shared" si="77"/>
        <v>1.05</v>
      </c>
      <c r="Q222" s="370">
        <f t="shared" si="77"/>
        <v>1.05</v>
      </c>
      <c r="R222" s="370">
        <f t="shared" si="77"/>
        <v>1.05</v>
      </c>
      <c r="S222" s="370">
        <f t="shared" si="77"/>
        <v>1.05</v>
      </c>
      <c r="T222" s="370">
        <f t="shared" si="77"/>
        <v>1.05</v>
      </c>
      <c r="U222" s="370">
        <f t="shared" si="77"/>
        <v>1.05</v>
      </c>
      <c r="V222" s="370">
        <f t="shared" si="77"/>
        <v>1.05</v>
      </c>
      <c r="W222" s="370">
        <f t="shared" si="77"/>
        <v>1.05</v>
      </c>
      <c r="X222" s="370">
        <f t="shared" si="77"/>
        <v>1.05</v>
      </c>
      <c r="Y222" s="370">
        <f t="shared" si="77"/>
        <v>1.05</v>
      </c>
      <c r="Z222" s="370">
        <f t="shared" si="77"/>
        <v>1.05</v>
      </c>
      <c r="AA222" s="370">
        <f t="shared" si="77"/>
        <v>1.05</v>
      </c>
      <c r="AB222" s="370">
        <f t="shared" si="77"/>
        <v>1.05</v>
      </c>
      <c r="AC222" s="370">
        <f t="shared" si="77"/>
        <v>3.5</v>
      </c>
      <c r="AD222" s="370">
        <f t="shared" si="77"/>
        <v>3.5</v>
      </c>
      <c r="AE222" s="370">
        <f t="shared" si="77"/>
        <v>3.5</v>
      </c>
      <c r="AF222" s="370">
        <f t="shared" si="77"/>
        <v>3.5</v>
      </c>
      <c r="AG222" s="370">
        <f t="shared" si="77"/>
        <v>1.5</v>
      </c>
      <c r="AH222" s="370">
        <f t="shared" si="77"/>
        <v>0</v>
      </c>
      <c r="AI222" s="370">
        <f t="shared" si="77"/>
        <v>0</v>
      </c>
      <c r="AJ222" s="370">
        <f t="shared" si="77"/>
        <v>0</v>
      </c>
      <c r="AK222" s="370">
        <f t="shared" si="77"/>
        <v>0</v>
      </c>
      <c r="AL222" s="370">
        <f t="shared" ref="AL222:BC222" si="78">CHOOSE($G$217,AL237,AL249,AL261)</f>
        <v>0</v>
      </c>
      <c r="AM222" s="370">
        <f t="shared" si="78"/>
        <v>0</v>
      </c>
      <c r="AN222" s="370">
        <f t="shared" si="78"/>
        <v>0</v>
      </c>
      <c r="AO222" s="370">
        <f t="shared" si="78"/>
        <v>0</v>
      </c>
      <c r="AP222" s="370">
        <f t="shared" si="78"/>
        <v>0</v>
      </c>
      <c r="AQ222" s="370">
        <f t="shared" si="78"/>
        <v>0</v>
      </c>
      <c r="AR222" s="370">
        <f t="shared" si="78"/>
        <v>0</v>
      </c>
      <c r="AS222" s="370">
        <f t="shared" si="78"/>
        <v>0</v>
      </c>
      <c r="AT222" s="370">
        <f t="shared" si="78"/>
        <v>0</v>
      </c>
      <c r="AU222" s="370">
        <f t="shared" si="78"/>
        <v>0</v>
      </c>
      <c r="AV222" s="370">
        <f t="shared" si="78"/>
        <v>0</v>
      </c>
      <c r="AW222" s="370">
        <f t="shared" si="78"/>
        <v>0</v>
      </c>
      <c r="AX222" s="370">
        <f t="shared" si="78"/>
        <v>0</v>
      </c>
      <c r="AY222" s="370">
        <f t="shared" si="78"/>
        <v>0</v>
      </c>
      <c r="AZ222" s="370">
        <f t="shared" si="78"/>
        <v>0</v>
      </c>
      <c r="BA222" s="370">
        <f t="shared" si="78"/>
        <v>0</v>
      </c>
      <c r="BB222" s="370">
        <f t="shared" si="78"/>
        <v>0</v>
      </c>
      <c r="BC222" s="370">
        <f t="shared" si="78"/>
        <v>0</v>
      </c>
    </row>
    <row r="223" spans="2:58" s="11" customFormat="1" ht="15" customHeight="1">
      <c r="B223" s="17">
        <f t="shared" si="71"/>
        <v>40</v>
      </c>
      <c r="C223" s="18" t="str">
        <f t="shared" si="72"/>
        <v>Exploration costs (expensable)</v>
      </c>
      <c r="D223" s="18" t="str">
        <f t="shared" si="72"/>
        <v>$mm const</v>
      </c>
      <c r="E223" s="46"/>
      <c r="F223" s="370">
        <v>20</v>
      </c>
      <c r="G223" s="370">
        <v>20</v>
      </c>
      <c r="H223" s="370">
        <f t="shared" ref="H223:V223" si="79">CHOOSE($G$217,H238,H250,H262)</f>
        <v>0</v>
      </c>
      <c r="I223" s="370">
        <f t="shared" si="79"/>
        <v>0</v>
      </c>
      <c r="J223" s="370">
        <f t="shared" si="79"/>
        <v>0</v>
      </c>
      <c r="K223" s="370">
        <f t="shared" si="79"/>
        <v>0</v>
      </c>
      <c r="L223" s="370">
        <f t="shared" si="79"/>
        <v>0</v>
      </c>
      <c r="M223" s="370">
        <f t="shared" si="79"/>
        <v>0</v>
      </c>
      <c r="N223" s="370">
        <f t="shared" si="79"/>
        <v>0</v>
      </c>
      <c r="O223" s="370">
        <f t="shared" si="79"/>
        <v>0</v>
      </c>
      <c r="P223" s="370">
        <f t="shared" si="79"/>
        <v>0</v>
      </c>
      <c r="Q223" s="370">
        <f t="shared" si="79"/>
        <v>0</v>
      </c>
      <c r="R223" s="370">
        <f t="shared" si="79"/>
        <v>0</v>
      </c>
      <c r="S223" s="370">
        <f t="shared" si="79"/>
        <v>0</v>
      </c>
      <c r="T223" s="370">
        <f t="shared" si="79"/>
        <v>0</v>
      </c>
      <c r="U223" s="370">
        <f t="shared" si="79"/>
        <v>0</v>
      </c>
      <c r="V223" s="370">
        <f t="shared" si="79"/>
        <v>0</v>
      </c>
      <c r="W223" s="370">
        <f t="shared" ref="W223:AK223" si="80">CHOOSE($G$217,W238,W250,W262)</f>
        <v>0</v>
      </c>
      <c r="X223" s="370">
        <f t="shared" si="80"/>
        <v>0</v>
      </c>
      <c r="Y223" s="370">
        <f t="shared" si="80"/>
        <v>0</v>
      </c>
      <c r="Z223" s="370">
        <f t="shared" si="80"/>
        <v>0</v>
      </c>
      <c r="AA223" s="370">
        <f t="shared" si="80"/>
        <v>0</v>
      </c>
      <c r="AB223" s="370">
        <f t="shared" si="80"/>
        <v>0</v>
      </c>
      <c r="AC223" s="370">
        <f t="shared" si="80"/>
        <v>0</v>
      </c>
      <c r="AD223" s="370">
        <f t="shared" si="80"/>
        <v>0</v>
      </c>
      <c r="AE223" s="370">
        <f t="shared" si="80"/>
        <v>0</v>
      </c>
      <c r="AF223" s="370">
        <f t="shared" si="80"/>
        <v>0</v>
      </c>
      <c r="AG223" s="370">
        <f t="shared" si="80"/>
        <v>0</v>
      </c>
      <c r="AH223" s="370">
        <f t="shared" si="80"/>
        <v>0</v>
      </c>
      <c r="AI223" s="370">
        <f t="shared" si="80"/>
        <v>0</v>
      </c>
      <c r="AJ223" s="370">
        <f t="shared" si="80"/>
        <v>0</v>
      </c>
      <c r="AK223" s="370">
        <f t="shared" si="80"/>
        <v>0</v>
      </c>
      <c r="AL223" s="370">
        <f t="shared" ref="AL223:BC223" si="81">CHOOSE($G$217,AL238,AL250,AL262)</f>
        <v>0</v>
      </c>
      <c r="AM223" s="370">
        <f t="shared" si="81"/>
        <v>0</v>
      </c>
      <c r="AN223" s="370">
        <f t="shared" si="81"/>
        <v>0</v>
      </c>
      <c r="AO223" s="370">
        <f t="shared" si="81"/>
        <v>0</v>
      </c>
      <c r="AP223" s="370">
        <f t="shared" si="81"/>
        <v>0</v>
      </c>
      <c r="AQ223" s="370">
        <f t="shared" si="81"/>
        <v>0</v>
      </c>
      <c r="AR223" s="370">
        <f t="shared" si="81"/>
        <v>0</v>
      </c>
      <c r="AS223" s="370">
        <f t="shared" si="81"/>
        <v>0</v>
      </c>
      <c r="AT223" s="370">
        <f t="shared" si="81"/>
        <v>0</v>
      </c>
      <c r="AU223" s="370">
        <f t="shared" si="81"/>
        <v>0</v>
      </c>
      <c r="AV223" s="370">
        <f t="shared" si="81"/>
        <v>0</v>
      </c>
      <c r="AW223" s="370">
        <f t="shared" si="81"/>
        <v>0</v>
      </c>
      <c r="AX223" s="370">
        <f t="shared" si="81"/>
        <v>0</v>
      </c>
      <c r="AY223" s="370">
        <f t="shared" si="81"/>
        <v>0</v>
      </c>
      <c r="AZ223" s="370">
        <f t="shared" si="81"/>
        <v>0</v>
      </c>
      <c r="BA223" s="370">
        <f t="shared" si="81"/>
        <v>0</v>
      </c>
      <c r="BB223" s="370">
        <f t="shared" si="81"/>
        <v>0</v>
      </c>
      <c r="BC223" s="370">
        <f t="shared" si="81"/>
        <v>0</v>
      </c>
    </row>
    <row r="224" spans="2:58" s="11" customFormat="1" ht="15" customHeight="1">
      <c r="B224" s="17">
        <f t="shared" si="71"/>
        <v>0</v>
      </c>
      <c r="C224" s="18" t="str">
        <f t="shared" si="72"/>
        <v>Development costs - intangibles (expensable)</v>
      </c>
      <c r="D224" s="18" t="str">
        <f t="shared" si="72"/>
        <v>$mm const</v>
      </c>
      <c r="E224" s="46"/>
      <c r="F224" s="370">
        <f t="shared" ref="F224:V224" si="82">CHOOSE($G$217,F239,F251,F263)</f>
        <v>0</v>
      </c>
      <c r="G224" s="370">
        <f t="shared" si="82"/>
        <v>0</v>
      </c>
      <c r="H224" s="370">
        <f t="shared" si="82"/>
        <v>0</v>
      </c>
      <c r="I224" s="370">
        <f t="shared" si="82"/>
        <v>0</v>
      </c>
      <c r="J224" s="370">
        <f t="shared" si="82"/>
        <v>0</v>
      </c>
      <c r="K224" s="370">
        <f t="shared" si="82"/>
        <v>0</v>
      </c>
      <c r="L224" s="370">
        <f t="shared" si="82"/>
        <v>0</v>
      </c>
      <c r="M224" s="370">
        <f t="shared" si="82"/>
        <v>0</v>
      </c>
      <c r="N224" s="370">
        <f t="shared" si="82"/>
        <v>0</v>
      </c>
      <c r="O224" s="370">
        <f t="shared" si="82"/>
        <v>0</v>
      </c>
      <c r="P224" s="370">
        <f t="shared" si="82"/>
        <v>0</v>
      </c>
      <c r="Q224" s="370">
        <f t="shared" si="82"/>
        <v>0</v>
      </c>
      <c r="R224" s="370">
        <f t="shared" si="82"/>
        <v>0</v>
      </c>
      <c r="S224" s="370">
        <f t="shared" si="82"/>
        <v>0</v>
      </c>
      <c r="T224" s="370">
        <f t="shared" si="82"/>
        <v>0</v>
      </c>
      <c r="U224" s="370">
        <f t="shared" si="82"/>
        <v>0</v>
      </c>
      <c r="V224" s="370">
        <f t="shared" si="82"/>
        <v>0</v>
      </c>
      <c r="W224" s="370">
        <f t="shared" ref="W224:AK224" si="83">CHOOSE($G$217,W239,W251,W263)</f>
        <v>0</v>
      </c>
      <c r="X224" s="370">
        <f t="shared" si="83"/>
        <v>0</v>
      </c>
      <c r="Y224" s="370">
        <f t="shared" si="83"/>
        <v>0</v>
      </c>
      <c r="Z224" s="370">
        <f t="shared" si="83"/>
        <v>0</v>
      </c>
      <c r="AA224" s="370">
        <f t="shared" si="83"/>
        <v>0</v>
      </c>
      <c r="AB224" s="370">
        <f t="shared" si="83"/>
        <v>0</v>
      </c>
      <c r="AC224" s="370">
        <f t="shared" si="83"/>
        <v>0</v>
      </c>
      <c r="AD224" s="370">
        <f t="shared" si="83"/>
        <v>0</v>
      </c>
      <c r="AE224" s="370">
        <f t="shared" si="83"/>
        <v>0</v>
      </c>
      <c r="AF224" s="370">
        <f t="shared" si="83"/>
        <v>0</v>
      </c>
      <c r="AG224" s="370">
        <f t="shared" si="83"/>
        <v>0</v>
      </c>
      <c r="AH224" s="370">
        <f t="shared" si="83"/>
        <v>0</v>
      </c>
      <c r="AI224" s="370">
        <f t="shared" si="83"/>
        <v>0</v>
      </c>
      <c r="AJ224" s="370">
        <f t="shared" si="83"/>
        <v>0</v>
      </c>
      <c r="AK224" s="370">
        <f t="shared" si="83"/>
        <v>0</v>
      </c>
      <c r="AL224" s="370">
        <f t="shared" ref="AL224:BC224" si="84">CHOOSE($G$217,AL239,AL251,AL263)</f>
        <v>0</v>
      </c>
      <c r="AM224" s="370">
        <f t="shared" si="84"/>
        <v>0</v>
      </c>
      <c r="AN224" s="370">
        <f t="shared" si="84"/>
        <v>0</v>
      </c>
      <c r="AO224" s="370">
        <f t="shared" si="84"/>
        <v>0</v>
      </c>
      <c r="AP224" s="370">
        <f t="shared" si="84"/>
        <v>0</v>
      </c>
      <c r="AQ224" s="370">
        <f t="shared" si="84"/>
        <v>0</v>
      </c>
      <c r="AR224" s="370">
        <f t="shared" si="84"/>
        <v>0</v>
      </c>
      <c r="AS224" s="370">
        <f t="shared" si="84"/>
        <v>0</v>
      </c>
      <c r="AT224" s="370">
        <f t="shared" si="84"/>
        <v>0</v>
      </c>
      <c r="AU224" s="370">
        <f t="shared" si="84"/>
        <v>0</v>
      </c>
      <c r="AV224" s="370">
        <f t="shared" si="84"/>
        <v>0</v>
      </c>
      <c r="AW224" s="370">
        <f t="shared" si="84"/>
        <v>0</v>
      </c>
      <c r="AX224" s="370">
        <f t="shared" si="84"/>
        <v>0</v>
      </c>
      <c r="AY224" s="370">
        <f t="shared" si="84"/>
        <v>0</v>
      </c>
      <c r="AZ224" s="370">
        <f t="shared" si="84"/>
        <v>0</v>
      </c>
      <c r="BA224" s="370">
        <f t="shared" si="84"/>
        <v>0</v>
      </c>
      <c r="BB224" s="370">
        <f t="shared" si="84"/>
        <v>0</v>
      </c>
      <c r="BC224" s="370">
        <f t="shared" si="84"/>
        <v>0</v>
      </c>
    </row>
    <row r="225" spans="2:56" s="11" customFormat="1" ht="15" customHeight="1">
      <c r="B225" s="17">
        <f t="shared" si="71"/>
        <v>450</v>
      </c>
      <c r="C225" s="18" t="str">
        <f t="shared" si="72"/>
        <v>Development costs - tangibles (depreciable)</v>
      </c>
      <c r="D225" s="18" t="str">
        <f t="shared" si="72"/>
        <v>$mm const</v>
      </c>
      <c r="E225" s="46"/>
      <c r="F225" s="370">
        <f t="shared" ref="F225:V225" si="85">CHOOSE($G$217,F240,F252,F264)</f>
        <v>0</v>
      </c>
      <c r="G225" s="370">
        <f t="shared" si="85"/>
        <v>0</v>
      </c>
      <c r="H225" s="370">
        <f t="shared" si="85"/>
        <v>75</v>
      </c>
      <c r="I225" s="370">
        <f t="shared" si="85"/>
        <v>300</v>
      </c>
      <c r="J225" s="370">
        <f t="shared" si="85"/>
        <v>75</v>
      </c>
      <c r="K225" s="370">
        <f t="shared" si="85"/>
        <v>0</v>
      </c>
      <c r="L225" s="370">
        <f t="shared" si="85"/>
        <v>0</v>
      </c>
      <c r="M225" s="370">
        <f t="shared" si="85"/>
        <v>0</v>
      </c>
      <c r="N225" s="370">
        <f t="shared" si="85"/>
        <v>0</v>
      </c>
      <c r="O225" s="370">
        <f t="shared" si="85"/>
        <v>0</v>
      </c>
      <c r="P225" s="370">
        <f t="shared" si="85"/>
        <v>0</v>
      </c>
      <c r="Q225" s="370">
        <f t="shared" si="85"/>
        <v>0</v>
      </c>
      <c r="R225" s="370">
        <f t="shared" si="85"/>
        <v>0</v>
      </c>
      <c r="S225" s="370">
        <f t="shared" si="85"/>
        <v>0</v>
      </c>
      <c r="T225" s="370">
        <f t="shared" si="85"/>
        <v>0</v>
      </c>
      <c r="U225" s="370">
        <f t="shared" si="85"/>
        <v>0</v>
      </c>
      <c r="V225" s="370">
        <f t="shared" si="85"/>
        <v>0</v>
      </c>
      <c r="W225" s="370">
        <f t="shared" ref="W225:AK225" si="86">CHOOSE($G$217,W240,W252,W264)</f>
        <v>0</v>
      </c>
      <c r="X225" s="370">
        <f t="shared" si="86"/>
        <v>0</v>
      </c>
      <c r="Y225" s="370">
        <f t="shared" si="86"/>
        <v>0</v>
      </c>
      <c r="Z225" s="370">
        <f t="shared" si="86"/>
        <v>0</v>
      </c>
      <c r="AA225" s="370">
        <f t="shared" si="86"/>
        <v>0</v>
      </c>
      <c r="AB225" s="370">
        <f t="shared" si="86"/>
        <v>0</v>
      </c>
      <c r="AC225" s="370">
        <f t="shared" si="86"/>
        <v>0</v>
      </c>
      <c r="AD225" s="370">
        <f t="shared" si="86"/>
        <v>0</v>
      </c>
      <c r="AE225" s="370">
        <f t="shared" si="86"/>
        <v>0</v>
      </c>
      <c r="AF225" s="370">
        <f t="shared" si="86"/>
        <v>0</v>
      </c>
      <c r="AG225" s="370">
        <f t="shared" si="86"/>
        <v>0</v>
      </c>
      <c r="AH225" s="370">
        <f t="shared" si="86"/>
        <v>0</v>
      </c>
      <c r="AI225" s="370">
        <f t="shared" si="86"/>
        <v>0</v>
      </c>
      <c r="AJ225" s="370">
        <f t="shared" si="86"/>
        <v>0</v>
      </c>
      <c r="AK225" s="370">
        <f t="shared" si="86"/>
        <v>0</v>
      </c>
      <c r="AL225" s="370">
        <f t="shared" ref="AL225:BC225" si="87">CHOOSE($G$217,AL240,AL252,AL264)</f>
        <v>0</v>
      </c>
      <c r="AM225" s="370">
        <f t="shared" si="87"/>
        <v>0</v>
      </c>
      <c r="AN225" s="370">
        <f t="shared" si="87"/>
        <v>0</v>
      </c>
      <c r="AO225" s="370">
        <f t="shared" si="87"/>
        <v>0</v>
      </c>
      <c r="AP225" s="370">
        <f t="shared" si="87"/>
        <v>0</v>
      </c>
      <c r="AQ225" s="370">
        <f t="shared" si="87"/>
        <v>0</v>
      </c>
      <c r="AR225" s="370">
        <f t="shared" si="87"/>
        <v>0</v>
      </c>
      <c r="AS225" s="370">
        <f t="shared" si="87"/>
        <v>0</v>
      </c>
      <c r="AT225" s="370">
        <f t="shared" si="87"/>
        <v>0</v>
      </c>
      <c r="AU225" s="370">
        <f t="shared" si="87"/>
        <v>0</v>
      </c>
      <c r="AV225" s="370">
        <f t="shared" si="87"/>
        <v>0</v>
      </c>
      <c r="AW225" s="370">
        <f t="shared" si="87"/>
        <v>0</v>
      </c>
      <c r="AX225" s="370">
        <f t="shared" si="87"/>
        <v>0</v>
      </c>
      <c r="AY225" s="370">
        <f t="shared" si="87"/>
        <v>0</v>
      </c>
      <c r="AZ225" s="370">
        <f t="shared" si="87"/>
        <v>0</v>
      </c>
      <c r="BA225" s="370">
        <f t="shared" si="87"/>
        <v>0</v>
      </c>
      <c r="BB225" s="370">
        <f t="shared" si="87"/>
        <v>0</v>
      </c>
      <c r="BC225" s="370">
        <f t="shared" si="87"/>
        <v>0</v>
      </c>
    </row>
    <row r="226" spans="2:56" s="11" customFormat="1" ht="15" customHeight="1">
      <c r="B226" s="17">
        <f t="shared" si="71"/>
        <v>860</v>
      </c>
      <c r="C226" s="18" t="str">
        <f t="shared" si="72"/>
        <v>Replacement capital costs (depreciable)</v>
      </c>
      <c r="D226" s="18" t="str">
        <f t="shared" si="72"/>
        <v>$mm const</v>
      </c>
      <c r="E226" s="46"/>
      <c r="F226" s="370">
        <f t="shared" ref="F226:V226" si="88">CHOOSE($G$217,F241,F253,F265)</f>
        <v>0</v>
      </c>
      <c r="G226" s="370">
        <f t="shared" si="88"/>
        <v>0</v>
      </c>
      <c r="H226" s="370">
        <f t="shared" si="88"/>
        <v>0</v>
      </c>
      <c r="I226" s="370">
        <f t="shared" si="88"/>
        <v>0</v>
      </c>
      <c r="J226" s="370">
        <f t="shared" si="88"/>
        <v>0</v>
      </c>
      <c r="K226" s="370">
        <f t="shared" si="88"/>
        <v>40</v>
      </c>
      <c r="L226" s="370">
        <f t="shared" si="88"/>
        <v>40</v>
      </c>
      <c r="M226" s="370">
        <f t="shared" si="88"/>
        <v>40</v>
      </c>
      <c r="N226" s="370">
        <f t="shared" si="88"/>
        <v>40</v>
      </c>
      <c r="O226" s="370">
        <f t="shared" si="88"/>
        <v>40</v>
      </c>
      <c r="P226" s="370">
        <f t="shared" si="88"/>
        <v>40</v>
      </c>
      <c r="Q226" s="370">
        <f t="shared" si="88"/>
        <v>40</v>
      </c>
      <c r="R226" s="370">
        <f t="shared" si="88"/>
        <v>40</v>
      </c>
      <c r="S226" s="370">
        <f t="shared" si="88"/>
        <v>40</v>
      </c>
      <c r="T226" s="370">
        <f t="shared" si="88"/>
        <v>40</v>
      </c>
      <c r="U226" s="370">
        <f t="shared" si="88"/>
        <v>40</v>
      </c>
      <c r="V226" s="370">
        <f t="shared" si="88"/>
        <v>40</v>
      </c>
      <c r="W226" s="370">
        <f t="shared" ref="W226:AK226" si="89">CHOOSE($G$217,W241,W253,W265)</f>
        <v>40</v>
      </c>
      <c r="X226" s="370">
        <f t="shared" si="89"/>
        <v>40</v>
      </c>
      <c r="Y226" s="370">
        <f t="shared" si="89"/>
        <v>40</v>
      </c>
      <c r="Z226" s="370">
        <f t="shared" si="89"/>
        <v>40</v>
      </c>
      <c r="AA226" s="370">
        <f t="shared" si="89"/>
        <v>40</v>
      </c>
      <c r="AB226" s="370">
        <f t="shared" si="89"/>
        <v>40</v>
      </c>
      <c r="AC226" s="370">
        <f t="shared" si="89"/>
        <v>40</v>
      </c>
      <c r="AD226" s="370">
        <f t="shared" si="89"/>
        <v>40</v>
      </c>
      <c r="AE226" s="370">
        <f t="shared" si="89"/>
        <v>40</v>
      </c>
      <c r="AF226" s="370">
        <f t="shared" si="89"/>
        <v>20</v>
      </c>
      <c r="AG226" s="370">
        <f t="shared" si="89"/>
        <v>0</v>
      </c>
      <c r="AH226" s="370">
        <f t="shared" si="89"/>
        <v>0</v>
      </c>
      <c r="AI226" s="370">
        <f t="shared" si="89"/>
        <v>0</v>
      </c>
      <c r="AJ226" s="370">
        <f t="shared" si="89"/>
        <v>0</v>
      </c>
      <c r="AK226" s="370">
        <f t="shared" si="89"/>
        <v>0</v>
      </c>
      <c r="AL226" s="370">
        <f t="shared" ref="AL226:BC226" si="90">CHOOSE($G$217,AL241,AL253,AL265)</f>
        <v>0</v>
      </c>
      <c r="AM226" s="370">
        <f t="shared" si="90"/>
        <v>0</v>
      </c>
      <c r="AN226" s="370">
        <f t="shared" si="90"/>
        <v>0</v>
      </c>
      <c r="AO226" s="370">
        <f t="shared" si="90"/>
        <v>0</v>
      </c>
      <c r="AP226" s="370">
        <f t="shared" si="90"/>
        <v>0</v>
      </c>
      <c r="AQ226" s="370">
        <f t="shared" si="90"/>
        <v>0</v>
      </c>
      <c r="AR226" s="370">
        <f t="shared" si="90"/>
        <v>0</v>
      </c>
      <c r="AS226" s="370">
        <f t="shared" si="90"/>
        <v>0</v>
      </c>
      <c r="AT226" s="370">
        <f t="shared" si="90"/>
        <v>0</v>
      </c>
      <c r="AU226" s="370">
        <f t="shared" si="90"/>
        <v>0</v>
      </c>
      <c r="AV226" s="370">
        <f t="shared" si="90"/>
        <v>0</v>
      </c>
      <c r="AW226" s="370">
        <f t="shared" si="90"/>
        <v>0</v>
      </c>
      <c r="AX226" s="370">
        <f t="shared" si="90"/>
        <v>0</v>
      </c>
      <c r="AY226" s="370">
        <f t="shared" si="90"/>
        <v>0</v>
      </c>
      <c r="AZ226" s="370">
        <f t="shared" si="90"/>
        <v>0</v>
      </c>
      <c r="BA226" s="370">
        <f t="shared" si="90"/>
        <v>0</v>
      </c>
      <c r="BB226" s="370">
        <f t="shared" si="90"/>
        <v>0</v>
      </c>
      <c r="BC226" s="370">
        <f t="shared" si="90"/>
        <v>0</v>
      </c>
    </row>
    <row r="227" spans="2:56" s="11" customFormat="1" ht="15" customHeight="1">
      <c r="B227" s="17">
        <f t="shared" si="71"/>
        <v>15</v>
      </c>
      <c r="C227" s="18" t="str">
        <f t="shared" si="72"/>
        <v>Decommissioning costs</v>
      </c>
      <c r="D227" s="18" t="str">
        <f t="shared" si="72"/>
        <v>$mm const</v>
      </c>
      <c r="E227" s="46"/>
      <c r="F227" s="370">
        <f t="shared" ref="F227:AK227" si="91">CHOOSE($G$217,F242,F254,F266)</f>
        <v>0</v>
      </c>
      <c r="G227" s="370">
        <f t="shared" si="91"/>
        <v>0</v>
      </c>
      <c r="H227" s="370">
        <f t="shared" si="91"/>
        <v>0</v>
      </c>
      <c r="I227" s="370">
        <f t="shared" si="91"/>
        <v>0</v>
      </c>
      <c r="J227" s="370">
        <f t="shared" si="91"/>
        <v>0</v>
      </c>
      <c r="K227" s="370">
        <f t="shared" si="91"/>
        <v>0</v>
      </c>
      <c r="L227" s="370">
        <f t="shared" si="91"/>
        <v>0</v>
      </c>
      <c r="M227" s="370">
        <f t="shared" si="91"/>
        <v>0</v>
      </c>
      <c r="N227" s="370">
        <f t="shared" si="91"/>
        <v>0</v>
      </c>
      <c r="O227" s="370">
        <f t="shared" si="91"/>
        <v>0</v>
      </c>
      <c r="P227" s="370">
        <f t="shared" si="91"/>
        <v>0</v>
      </c>
      <c r="Q227" s="370">
        <f t="shared" si="91"/>
        <v>0</v>
      </c>
      <c r="R227" s="370">
        <f t="shared" si="91"/>
        <v>0</v>
      </c>
      <c r="S227" s="370">
        <f t="shared" si="91"/>
        <v>0</v>
      </c>
      <c r="T227" s="370">
        <f t="shared" si="91"/>
        <v>0</v>
      </c>
      <c r="U227" s="370">
        <f t="shared" si="91"/>
        <v>0</v>
      </c>
      <c r="V227" s="370">
        <f t="shared" si="91"/>
        <v>0</v>
      </c>
      <c r="W227" s="370">
        <f t="shared" si="91"/>
        <v>0</v>
      </c>
      <c r="X227" s="370">
        <f t="shared" si="91"/>
        <v>0</v>
      </c>
      <c r="Y227" s="370">
        <f t="shared" si="91"/>
        <v>0</v>
      </c>
      <c r="Z227" s="370">
        <f t="shared" si="91"/>
        <v>0</v>
      </c>
      <c r="AA227" s="370">
        <f t="shared" si="91"/>
        <v>0</v>
      </c>
      <c r="AB227" s="370">
        <f t="shared" si="91"/>
        <v>0</v>
      </c>
      <c r="AC227" s="370">
        <f t="shared" si="91"/>
        <v>0</v>
      </c>
      <c r="AD227" s="370">
        <f t="shared" si="91"/>
        <v>0</v>
      </c>
      <c r="AE227" s="370">
        <f t="shared" si="91"/>
        <v>0</v>
      </c>
      <c r="AF227" s="370">
        <f t="shared" si="91"/>
        <v>0</v>
      </c>
      <c r="AG227" s="370">
        <f t="shared" si="91"/>
        <v>0</v>
      </c>
      <c r="AH227" s="370">
        <f t="shared" si="91"/>
        <v>15</v>
      </c>
      <c r="AI227" s="370">
        <f t="shared" si="91"/>
        <v>0</v>
      </c>
      <c r="AJ227" s="370">
        <f t="shared" si="91"/>
        <v>0</v>
      </c>
      <c r="AK227" s="370">
        <f t="shared" si="91"/>
        <v>0</v>
      </c>
      <c r="AL227" s="370">
        <f t="shared" ref="AL227:BC227" si="92">CHOOSE($G$217,AL242,AL254,AL266)</f>
        <v>0</v>
      </c>
      <c r="AM227" s="370">
        <f t="shared" si="92"/>
        <v>0</v>
      </c>
      <c r="AN227" s="370">
        <f t="shared" si="92"/>
        <v>0</v>
      </c>
      <c r="AO227" s="370">
        <f t="shared" si="92"/>
        <v>0</v>
      </c>
      <c r="AP227" s="370">
        <f t="shared" si="92"/>
        <v>0</v>
      </c>
      <c r="AQ227" s="370">
        <f t="shared" si="92"/>
        <v>0</v>
      </c>
      <c r="AR227" s="370">
        <f t="shared" si="92"/>
        <v>0</v>
      </c>
      <c r="AS227" s="370">
        <f t="shared" si="92"/>
        <v>0</v>
      </c>
      <c r="AT227" s="370">
        <f t="shared" si="92"/>
        <v>0</v>
      </c>
      <c r="AU227" s="370">
        <f t="shared" si="92"/>
        <v>0</v>
      </c>
      <c r="AV227" s="370">
        <f t="shared" si="92"/>
        <v>0</v>
      </c>
      <c r="AW227" s="370">
        <f t="shared" si="92"/>
        <v>0</v>
      </c>
      <c r="AX227" s="370">
        <f t="shared" si="92"/>
        <v>0</v>
      </c>
      <c r="AY227" s="370">
        <f t="shared" si="92"/>
        <v>0</v>
      </c>
      <c r="AZ227" s="370">
        <f t="shared" si="92"/>
        <v>0</v>
      </c>
      <c r="BA227" s="370">
        <f t="shared" si="92"/>
        <v>0</v>
      </c>
      <c r="BB227" s="370">
        <f t="shared" si="92"/>
        <v>0</v>
      </c>
      <c r="BC227" s="370">
        <f t="shared" si="92"/>
        <v>0</v>
      </c>
    </row>
    <row r="228" spans="2:56" s="11" customFormat="1" ht="15" customHeight="1">
      <c r="B228" s="17"/>
      <c r="C228" s="18" t="str">
        <f t="shared" si="72"/>
        <v>Associated mineral (proportion of gold value)</v>
      </c>
      <c r="D228" s="18" t="str">
        <f t="shared" si="72"/>
        <v>%</v>
      </c>
      <c r="E228" s="371">
        <f>CHOOSE($G$217,E243,E255,E267)</f>
        <v>0</v>
      </c>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row>
    <row r="229" spans="2:56" s="11" customFormat="1" ht="15" customHeight="1">
      <c r="B229" s="17">
        <f>E229</f>
        <v>700</v>
      </c>
      <c r="C229" s="18" t="str">
        <f t="shared" si="72"/>
        <v>Operating costs</v>
      </c>
      <c r="D229" s="18" t="str">
        <f t="shared" si="72"/>
        <v>$/ounce</v>
      </c>
      <c r="E229" s="372">
        <f>CHOOSE($G$217,E244,E256,E268)</f>
        <v>700</v>
      </c>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row>
    <row r="230" spans="2:56" s="11" customFormat="1" ht="15" customHeight="1">
      <c r="C230" s="14"/>
      <c r="D230" s="14"/>
      <c r="E230" s="14"/>
      <c r="F230" s="14"/>
    </row>
    <row r="231" spans="2:56" s="11" customFormat="1" ht="15" customHeight="1" outlineLevel="1">
      <c r="C231" s="166"/>
      <c r="D231" s="166"/>
      <c r="E231" s="341"/>
      <c r="F231" s="166"/>
      <c r="G231" s="166"/>
      <c r="H231" s="166"/>
      <c r="I231" s="166"/>
      <c r="J231" s="166"/>
      <c r="K231" s="166"/>
      <c r="L231" s="166"/>
      <c r="M231" s="166"/>
      <c r="N231" s="166"/>
      <c r="O231" s="166"/>
      <c r="P231" s="166"/>
      <c r="Q231" s="166"/>
      <c r="R231" s="166"/>
      <c r="S231" s="166"/>
      <c r="T231" s="166"/>
      <c r="U231" s="166"/>
      <c r="V231" s="166"/>
      <c r="W231" s="166"/>
      <c r="X231" s="166"/>
      <c r="Y231" s="166"/>
      <c r="Z231" s="166"/>
      <c r="AA231" s="166"/>
      <c r="AB231" s="166"/>
      <c r="AC231" s="166"/>
      <c r="AD231" s="166"/>
      <c r="AE231" s="166"/>
      <c r="AF231" s="166"/>
      <c r="AG231" s="166"/>
      <c r="AH231" s="166"/>
      <c r="AI231" s="166"/>
      <c r="AJ231" s="166"/>
      <c r="AK231" s="166"/>
      <c r="AL231" s="166"/>
      <c r="AM231" s="166"/>
      <c r="AN231" s="166"/>
      <c r="AO231" s="166"/>
      <c r="AP231" s="166"/>
      <c r="AQ231" s="166"/>
      <c r="AR231" s="166"/>
      <c r="AS231" s="166"/>
      <c r="AT231" s="166"/>
      <c r="AU231" s="166"/>
      <c r="AV231" s="166"/>
      <c r="AW231" s="166"/>
      <c r="AX231" s="166"/>
      <c r="AY231" s="166"/>
      <c r="AZ231" s="166"/>
      <c r="BA231" s="166"/>
      <c r="BB231" s="166"/>
      <c r="BC231" s="166"/>
      <c r="BD231" s="166"/>
    </row>
    <row r="232" spans="2:56" s="11" customFormat="1" ht="15" customHeight="1" outlineLevel="1">
      <c r="C232" s="286" t="s">
        <v>285</v>
      </c>
      <c r="D232" s="18"/>
      <c r="E232" s="312"/>
    </row>
    <row r="233" spans="2:56" s="11" customFormat="1" ht="15" customHeight="1" outlineLevel="1">
      <c r="C233" s="286"/>
      <c r="D233" s="18"/>
      <c r="E233" s="373"/>
    </row>
    <row r="234" spans="2:56" s="11" customFormat="1" ht="15" customHeight="1" outlineLevel="1">
      <c r="C234" s="247" t="s">
        <v>283</v>
      </c>
      <c r="D234" s="235"/>
      <c r="E234" s="236"/>
      <c r="F234" s="245">
        <v>1</v>
      </c>
      <c r="G234" s="245">
        <v>2</v>
      </c>
      <c r="H234" s="245">
        <v>3</v>
      </c>
      <c r="I234" s="245">
        <v>4</v>
      </c>
      <c r="J234" s="245">
        <v>5</v>
      </c>
      <c r="K234" s="245">
        <v>6</v>
      </c>
      <c r="L234" s="245">
        <v>7</v>
      </c>
      <c r="M234" s="245">
        <v>8</v>
      </c>
      <c r="N234" s="245">
        <v>9</v>
      </c>
      <c r="O234" s="245">
        <v>10</v>
      </c>
      <c r="P234" s="245">
        <v>11</v>
      </c>
      <c r="Q234" s="245">
        <v>12</v>
      </c>
      <c r="R234" s="245">
        <v>13</v>
      </c>
      <c r="S234" s="245">
        <v>14</v>
      </c>
      <c r="T234" s="245">
        <v>15</v>
      </c>
      <c r="U234" s="245">
        <v>16</v>
      </c>
      <c r="V234" s="245">
        <v>17</v>
      </c>
      <c r="W234" s="245">
        <v>18</v>
      </c>
      <c r="X234" s="245">
        <v>19</v>
      </c>
      <c r="Y234" s="245">
        <v>20</v>
      </c>
      <c r="Z234" s="245">
        <v>21</v>
      </c>
      <c r="AA234" s="245">
        <v>22</v>
      </c>
      <c r="AB234" s="245">
        <v>23</v>
      </c>
      <c r="AC234" s="245">
        <v>24</v>
      </c>
      <c r="AD234" s="245">
        <v>25</v>
      </c>
      <c r="AE234" s="245">
        <v>26</v>
      </c>
      <c r="AF234" s="245">
        <v>27</v>
      </c>
      <c r="AG234" s="245">
        <v>28</v>
      </c>
      <c r="AH234" s="245">
        <v>29</v>
      </c>
      <c r="AI234" s="245">
        <v>30</v>
      </c>
      <c r="AJ234" s="245">
        <v>31</v>
      </c>
      <c r="AK234" s="245">
        <v>32</v>
      </c>
      <c r="AL234" s="245">
        <v>33</v>
      </c>
      <c r="AM234" s="245">
        <v>34</v>
      </c>
      <c r="AN234" s="245">
        <v>35</v>
      </c>
      <c r="AO234" s="245">
        <v>36</v>
      </c>
      <c r="AP234" s="245">
        <v>37</v>
      </c>
      <c r="AQ234" s="245">
        <v>38</v>
      </c>
      <c r="AR234" s="245">
        <v>39</v>
      </c>
      <c r="AS234" s="245">
        <v>40</v>
      </c>
      <c r="AT234" s="245">
        <v>41</v>
      </c>
      <c r="AU234" s="245">
        <v>42</v>
      </c>
      <c r="AV234" s="245">
        <v>43</v>
      </c>
      <c r="AW234" s="245">
        <v>44</v>
      </c>
      <c r="AX234" s="245">
        <v>45</v>
      </c>
      <c r="AY234" s="245">
        <v>46</v>
      </c>
      <c r="AZ234" s="245">
        <v>47</v>
      </c>
      <c r="BA234" s="245">
        <v>48</v>
      </c>
      <c r="BB234" s="245">
        <v>49</v>
      </c>
      <c r="BC234" s="245">
        <v>50</v>
      </c>
    </row>
    <row r="235" spans="2:56" s="11" customFormat="1" ht="15" customHeight="1" outlineLevel="1">
      <c r="C235" s="18" t="s">
        <v>286</v>
      </c>
      <c r="D235" s="18" t="s">
        <v>287</v>
      </c>
      <c r="E235" s="162">
        <f>SUM(F235:BC235)</f>
        <v>15500000</v>
      </c>
      <c r="F235" s="533">
        <v>0</v>
      </c>
      <c r="G235" s="534">
        <v>0</v>
      </c>
      <c r="H235" s="534">
        <v>0</v>
      </c>
      <c r="I235" s="534">
        <v>0</v>
      </c>
      <c r="J235" s="534">
        <v>250000</v>
      </c>
      <c r="K235" s="534">
        <v>500000</v>
      </c>
      <c r="L235" s="534">
        <v>500000</v>
      </c>
      <c r="M235" s="534">
        <v>500000</v>
      </c>
      <c r="N235" s="534">
        <v>500000</v>
      </c>
      <c r="O235" s="534">
        <v>500000</v>
      </c>
      <c r="P235" s="534">
        <v>500000</v>
      </c>
      <c r="Q235" s="534">
        <v>500000</v>
      </c>
      <c r="R235" s="534">
        <v>500000</v>
      </c>
      <c r="S235" s="534">
        <v>500000</v>
      </c>
      <c r="T235" s="534">
        <v>500000</v>
      </c>
      <c r="U235" s="534">
        <v>500000</v>
      </c>
      <c r="V235" s="534">
        <v>500000</v>
      </c>
      <c r="W235" s="534">
        <v>500000</v>
      </c>
      <c r="X235" s="534">
        <v>500000</v>
      </c>
      <c r="Y235" s="534">
        <v>500000</v>
      </c>
      <c r="Z235" s="534">
        <v>500000</v>
      </c>
      <c r="AA235" s="534">
        <v>500000</v>
      </c>
      <c r="AB235" s="534">
        <v>500000</v>
      </c>
      <c r="AC235" s="534">
        <v>500000</v>
      </c>
      <c r="AD235" s="534">
        <v>500000</v>
      </c>
      <c r="AE235" s="534">
        <v>500000</v>
      </c>
      <c r="AF235" s="534">
        <v>500000</v>
      </c>
      <c r="AG235" s="534">
        <v>500000</v>
      </c>
      <c r="AH235" s="534">
        <v>500000</v>
      </c>
      <c r="AI235" s="534">
        <v>500000</v>
      </c>
      <c r="AJ235" s="534">
        <v>500000</v>
      </c>
      <c r="AK235" s="534">
        <v>500000</v>
      </c>
      <c r="AL235" s="534">
        <v>500000</v>
      </c>
      <c r="AM235" s="534">
        <v>500000</v>
      </c>
      <c r="AN235" s="534">
        <v>500000</v>
      </c>
      <c r="AO235" s="534">
        <v>250000</v>
      </c>
      <c r="AP235" s="534">
        <v>0</v>
      </c>
      <c r="AQ235" s="534">
        <v>0</v>
      </c>
      <c r="AR235" s="534">
        <v>0</v>
      </c>
      <c r="AS235" s="534">
        <v>0</v>
      </c>
      <c r="AT235" s="534">
        <v>0</v>
      </c>
      <c r="AU235" s="534">
        <v>0</v>
      </c>
      <c r="AV235" s="534">
        <v>0</v>
      </c>
      <c r="AW235" s="534">
        <v>0</v>
      </c>
      <c r="AX235" s="534">
        <v>0</v>
      </c>
      <c r="AY235" s="534">
        <v>0</v>
      </c>
      <c r="AZ235" s="534">
        <v>0</v>
      </c>
      <c r="BA235" s="534">
        <v>0</v>
      </c>
      <c r="BB235" s="534">
        <v>0</v>
      </c>
      <c r="BC235" s="535">
        <v>0</v>
      </c>
    </row>
    <row r="236" spans="2:56" s="11" customFormat="1" ht="15" customHeight="1" outlineLevel="1">
      <c r="C236" s="159" t="s">
        <v>288</v>
      </c>
      <c r="D236" s="18" t="s">
        <v>289</v>
      </c>
      <c r="E236" s="162">
        <f t="shared" ref="E236:E242" si="93">SUM(F236:BC236)</f>
        <v>0</v>
      </c>
      <c r="F236" s="536">
        <v>0</v>
      </c>
      <c r="G236" s="537">
        <v>0</v>
      </c>
      <c r="H236" s="537">
        <v>0</v>
      </c>
      <c r="I236" s="537">
        <v>0</v>
      </c>
      <c r="J236" s="537">
        <v>0</v>
      </c>
      <c r="K236" s="537">
        <v>0</v>
      </c>
      <c r="L236" s="537">
        <v>0</v>
      </c>
      <c r="M236" s="537">
        <v>0</v>
      </c>
      <c r="N236" s="537">
        <v>0</v>
      </c>
      <c r="O236" s="537">
        <v>0</v>
      </c>
      <c r="P236" s="537">
        <v>0</v>
      </c>
      <c r="Q236" s="537">
        <v>0</v>
      </c>
      <c r="R236" s="537">
        <v>0</v>
      </c>
      <c r="S236" s="537">
        <v>0</v>
      </c>
      <c r="T236" s="537">
        <v>0</v>
      </c>
      <c r="U236" s="537">
        <v>0</v>
      </c>
      <c r="V236" s="537">
        <v>0</v>
      </c>
      <c r="W236" s="537">
        <v>0</v>
      </c>
      <c r="X236" s="537">
        <v>0</v>
      </c>
      <c r="Y236" s="537">
        <v>0</v>
      </c>
      <c r="Z236" s="537">
        <v>0</v>
      </c>
      <c r="AA236" s="537">
        <v>0</v>
      </c>
      <c r="AB236" s="537">
        <v>0</v>
      </c>
      <c r="AC236" s="537">
        <v>0</v>
      </c>
      <c r="AD236" s="537">
        <v>0</v>
      </c>
      <c r="AE236" s="537">
        <v>0</v>
      </c>
      <c r="AF236" s="537">
        <v>0</v>
      </c>
      <c r="AG236" s="537">
        <v>0</v>
      </c>
      <c r="AH236" s="537">
        <v>0</v>
      </c>
      <c r="AI236" s="537">
        <v>0</v>
      </c>
      <c r="AJ236" s="537">
        <v>0</v>
      </c>
      <c r="AK236" s="537">
        <v>0</v>
      </c>
      <c r="AL236" s="537">
        <v>0</v>
      </c>
      <c r="AM236" s="537">
        <v>0</v>
      </c>
      <c r="AN236" s="537">
        <v>0</v>
      </c>
      <c r="AO236" s="537">
        <v>0</v>
      </c>
      <c r="AP236" s="537">
        <v>0</v>
      </c>
      <c r="AQ236" s="537">
        <v>0</v>
      </c>
      <c r="AR236" s="537">
        <v>0</v>
      </c>
      <c r="AS236" s="537">
        <v>0</v>
      </c>
      <c r="AT236" s="537">
        <v>0</v>
      </c>
      <c r="AU236" s="537">
        <v>0</v>
      </c>
      <c r="AV236" s="537">
        <v>0</v>
      </c>
      <c r="AW236" s="537">
        <v>0</v>
      </c>
      <c r="AX236" s="537">
        <v>0</v>
      </c>
      <c r="AY236" s="537">
        <v>0</v>
      </c>
      <c r="AZ236" s="537">
        <v>0</v>
      </c>
      <c r="BA236" s="537">
        <v>0</v>
      </c>
      <c r="BB236" s="537">
        <v>0</v>
      </c>
      <c r="BC236" s="538">
        <v>0</v>
      </c>
    </row>
    <row r="237" spans="2:56" s="11" customFormat="1" ht="15" customHeight="1" outlineLevel="1">
      <c r="C237" s="159" t="s">
        <v>290</v>
      </c>
      <c r="D237" s="18" t="s">
        <v>289</v>
      </c>
      <c r="E237" s="162">
        <f t="shared" si="93"/>
        <v>46.5</v>
      </c>
      <c r="F237" s="536">
        <f t="shared" ref="F237:BC237" si="94">(F235 * 3)/1000000</f>
        <v>0</v>
      </c>
      <c r="G237" s="537">
        <f t="shared" si="94"/>
        <v>0</v>
      </c>
      <c r="H237" s="537">
        <f t="shared" si="94"/>
        <v>0</v>
      </c>
      <c r="I237" s="537">
        <f t="shared" si="94"/>
        <v>0</v>
      </c>
      <c r="J237" s="537">
        <f t="shared" si="94"/>
        <v>0.75</v>
      </c>
      <c r="K237" s="537">
        <f t="shared" si="94"/>
        <v>1.5</v>
      </c>
      <c r="L237" s="537">
        <f t="shared" si="94"/>
        <v>1.5</v>
      </c>
      <c r="M237" s="537">
        <f t="shared" si="94"/>
        <v>1.5</v>
      </c>
      <c r="N237" s="537">
        <f t="shared" si="94"/>
        <v>1.5</v>
      </c>
      <c r="O237" s="537">
        <f t="shared" si="94"/>
        <v>1.5</v>
      </c>
      <c r="P237" s="537">
        <f t="shared" si="94"/>
        <v>1.5</v>
      </c>
      <c r="Q237" s="537">
        <f t="shared" si="94"/>
        <v>1.5</v>
      </c>
      <c r="R237" s="537">
        <f t="shared" si="94"/>
        <v>1.5</v>
      </c>
      <c r="S237" s="537">
        <f t="shared" si="94"/>
        <v>1.5</v>
      </c>
      <c r="T237" s="537">
        <f t="shared" si="94"/>
        <v>1.5</v>
      </c>
      <c r="U237" s="537">
        <f t="shared" si="94"/>
        <v>1.5</v>
      </c>
      <c r="V237" s="537">
        <f t="shared" si="94"/>
        <v>1.5</v>
      </c>
      <c r="W237" s="537">
        <f t="shared" si="94"/>
        <v>1.5</v>
      </c>
      <c r="X237" s="537">
        <f t="shared" si="94"/>
        <v>1.5</v>
      </c>
      <c r="Y237" s="537">
        <f t="shared" si="94"/>
        <v>1.5</v>
      </c>
      <c r="Z237" s="537">
        <f t="shared" si="94"/>
        <v>1.5</v>
      </c>
      <c r="AA237" s="537">
        <f t="shared" si="94"/>
        <v>1.5</v>
      </c>
      <c r="AB237" s="537">
        <f t="shared" si="94"/>
        <v>1.5</v>
      </c>
      <c r="AC237" s="537">
        <f t="shared" si="94"/>
        <v>1.5</v>
      </c>
      <c r="AD237" s="537">
        <f t="shared" si="94"/>
        <v>1.5</v>
      </c>
      <c r="AE237" s="537">
        <f t="shared" si="94"/>
        <v>1.5</v>
      </c>
      <c r="AF237" s="537">
        <f t="shared" si="94"/>
        <v>1.5</v>
      </c>
      <c r="AG237" s="537">
        <f t="shared" si="94"/>
        <v>1.5</v>
      </c>
      <c r="AH237" s="537">
        <f t="shared" si="94"/>
        <v>1.5</v>
      </c>
      <c r="AI237" s="537">
        <f t="shared" si="94"/>
        <v>1.5</v>
      </c>
      <c r="AJ237" s="537">
        <f t="shared" si="94"/>
        <v>1.5</v>
      </c>
      <c r="AK237" s="537">
        <f t="shared" si="94"/>
        <v>1.5</v>
      </c>
      <c r="AL237" s="537">
        <f t="shared" ref="AL237:AM237" si="95">(AL235 * 3)/1000000</f>
        <v>1.5</v>
      </c>
      <c r="AM237" s="537">
        <f t="shared" si="95"/>
        <v>1.5</v>
      </c>
      <c r="AN237" s="537">
        <f t="shared" ref="AN237:AQ237" si="96">(AN235 * 3)/1000000</f>
        <v>1.5</v>
      </c>
      <c r="AO237" s="537">
        <f t="shared" si="96"/>
        <v>0.75</v>
      </c>
      <c r="AP237" s="537">
        <f t="shared" si="96"/>
        <v>0</v>
      </c>
      <c r="AQ237" s="537">
        <f t="shared" si="96"/>
        <v>0</v>
      </c>
      <c r="AR237" s="537">
        <f t="shared" si="94"/>
        <v>0</v>
      </c>
      <c r="AS237" s="537">
        <f t="shared" si="94"/>
        <v>0</v>
      </c>
      <c r="AT237" s="537">
        <f t="shared" si="94"/>
        <v>0</v>
      </c>
      <c r="AU237" s="537">
        <f t="shared" si="94"/>
        <v>0</v>
      </c>
      <c r="AV237" s="537">
        <f t="shared" si="94"/>
        <v>0</v>
      </c>
      <c r="AW237" s="537">
        <f t="shared" si="94"/>
        <v>0</v>
      </c>
      <c r="AX237" s="537">
        <f t="shared" si="94"/>
        <v>0</v>
      </c>
      <c r="AY237" s="537">
        <f t="shared" si="94"/>
        <v>0</v>
      </c>
      <c r="AZ237" s="537">
        <f t="shared" si="94"/>
        <v>0</v>
      </c>
      <c r="BA237" s="537">
        <f t="shared" si="94"/>
        <v>0</v>
      </c>
      <c r="BB237" s="537">
        <f t="shared" si="94"/>
        <v>0</v>
      </c>
      <c r="BC237" s="538">
        <f t="shared" si="94"/>
        <v>0</v>
      </c>
    </row>
    <row r="238" spans="2:56" s="11" customFormat="1" ht="15" customHeight="1" outlineLevel="1">
      <c r="C238" s="159" t="s">
        <v>291</v>
      </c>
      <c r="D238" s="18" t="s">
        <v>289</v>
      </c>
      <c r="E238" s="162">
        <f t="shared" si="93"/>
        <v>30</v>
      </c>
      <c r="F238" s="536">
        <v>15</v>
      </c>
      <c r="G238" s="537">
        <v>15</v>
      </c>
      <c r="H238" s="537">
        <v>0</v>
      </c>
      <c r="I238" s="537">
        <v>0</v>
      </c>
      <c r="J238" s="537">
        <v>0</v>
      </c>
      <c r="K238" s="537">
        <v>0</v>
      </c>
      <c r="L238" s="537">
        <v>0</v>
      </c>
      <c r="M238" s="537">
        <v>0</v>
      </c>
      <c r="N238" s="537">
        <v>0</v>
      </c>
      <c r="O238" s="537">
        <v>0</v>
      </c>
      <c r="P238" s="537">
        <v>0</v>
      </c>
      <c r="Q238" s="537">
        <v>0</v>
      </c>
      <c r="R238" s="537">
        <v>0</v>
      </c>
      <c r="S238" s="537">
        <v>0</v>
      </c>
      <c r="T238" s="537">
        <v>0</v>
      </c>
      <c r="U238" s="537">
        <v>0</v>
      </c>
      <c r="V238" s="537">
        <v>0</v>
      </c>
      <c r="W238" s="537">
        <v>0</v>
      </c>
      <c r="X238" s="537">
        <v>0</v>
      </c>
      <c r="Y238" s="537">
        <v>0</v>
      </c>
      <c r="Z238" s="537">
        <v>0</v>
      </c>
      <c r="AA238" s="537">
        <v>0</v>
      </c>
      <c r="AB238" s="537">
        <v>0</v>
      </c>
      <c r="AC238" s="537">
        <v>0</v>
      </c>
      <c r="AD238" s="537">
        <v>0</v>
      </c>
      <c r="AE238" s="537">
        <v>0</v>
      </c>
      <c r="AF238" s="537">
        <v>0</v>
      </c>
      <c r="AG238" s="537">
        <v>0</v>
      </c>
      <c r="AH238" s="537">
        <v>0</v>
      </c>
      <c r="AI238" s="537">
        <v>0</v>
      </c>
      <c r="AJ238" s="537">
        <v>0</v>
      </c>
      <c r="AK238" s="537">
        <v>0</v>
      </c>
      <c r="AL238" s="537">
        <v>0</v>
      </c>
      <c r="AM238" s="537">
        <v>0</v>
      </c>
      <c r="AN238" s="537">
        <v>0</v>
      </c>
      <c r="AO238" s="537">
        <v>0</v>
      </c>
      <c r="AP238" s="537">
        <v>0</v>
      </c>
      <c r="AQ238" s="537">
        <v>0</v>
      </c>
      <c r="AR238" s="537">
        <v>0</v>
      </c>
      <c r="AS238" s="537">
        <v>0</v>
      </c>
      <c r="AT238" s="537">
        <v>0</v>
      </c>
      <c r="AU238" s="537">
        <v>0</v>
      </c>
      <c r="AV238" s="537">
        <v>0</v>
      </c>
      <c r="AW238" s="537">
        <v>0</v>
      </c>
      <c r="AX238" s="537">
        <v>0</v>
      </c>
      <c r="AY238" s="537">
        <v>0</v>
      </c>
      <c r="AZ238" s="537">
        <v>0</v>
      </c>
      <c r="BA238" s="537">
        <v>0</v>
      </c>
      <c r="BB238" s="537">
        <v>0</v>
      </c>
      <c r="BC238" s="538">
        <v>0</v>
      </c>
    </row>
    <row r="239" spans="2:56" s="11" customFormat="1" ht="15" customHeight="1" outlineLevel="1">
      <c r="C239" s="18" t="s">
        <v>292</v>
      </c>
      <c r="D239" s="18" t="s">
        <v>289</v>
      </c>
      <c r="E239" s="162">
        <f t="shared" si="93"/>
        <v>0</v>
      </c>
      <c r="F239" s="536">
        <v>0</v>
      </c>
      <c r="G239" s="537">
        <v>0</v>
      </c>
      <c r="H239" s="537">
        <v>0</v>
      </c>
      <c r="I239" s="537">
        <v>0</v>
      </c>
      <c r="J239" s="537">
        <v>0</v>
      </c>
      <c r="K239" s="537">
        <v>0</v>
      </c>
      <c r="L239" s="537">
        <v>0</v>
      </c>
      <c r="M239" s="537">
        <v>0</v>
      </c>
      <c r="N239" s="537">
        <v>0</v>
      </c>
      <c r="O239" s="537">
        <v>0</v>
      </c>
      <c r="P239" s="537">
        <v>0</v>
      </c>
      <c r="Q239" s="537">
        <v>0</v>
      </c>
      <c r="R239" s="537">
        <v>0</v>
      </c>
      <c r="S239" s="537">
        <v>0</v>
      </c>
      <c r="T239" s="537">
        <v>0</v>
      </c>
      <c r="U239" s="537">
        <v>0</v>
      </c>
      <c r="V239" s="537">
        <v>0</v>
      </c>
      <c r="W239" s="537">
        <v>0</v>
      </c>
      <c r="X239" s="537">
        <v>0</v>
      </c>
      <c r="Y239" s="537">
        <v>0</v>
      </c>
      <c r="Z239" s="537">
        <v>0</v>
      </c>
      <c r="AA239" s="537">
        <v>0</v>
      </c>
      <c r="AB239" s="537">
        <v>0</v>
      </c>
      <c r="AC239" s="537">
        <v>0</v>
      </c>
      <c r="AD239" s="537">
        <v>0</v>
      </c>
      <c r="AE239" s="537">
        <v>0</v>
      </c>
      <c r="AF239" s="537">
        <v>0</v>
      </c>
      <c r="AG239" s="537">
        <v>0</v>
      </c>
      <c r="AH239" s="537">
        <v>0</v>
      </c>
      <c r="AI239" s="537">
        <v>0</v>
      </c>
      <c r="AJ239" s="537">
        <v>0</v>
      </c>
      <c r="AK239" s="537">
        <v>0</v>
      </c>
      <c r="AL239" s="537">
        <v>0</v>
      </c>
      <c r="AM239" s="537">
        <v>0</v>
      </c>
      <c r="AN239" s="537">
        <v>0</v>
      </c>
      <c r="AO239" s="537">
        <v>0</v>
      </c>
      <c r="AP239" s="537">
        <v>0</v>
      </c>
      <c r="AQ239" s="537">
        <v>0</v>
      </c>
      <c r="AR239" s="537">
        <v>0</v>
      </c>
      <c r="AS239" s="537">
        <v>0</v>
      </c>
      <c r="AT239" s="537">
        <v>0</v>
      </c>
      <c r="AU239" s="537">
        <v>0</v>
      </c>
      <c r="AV239" s="537">
        <v>0</v>
      </c>
      <c r="AW239" s="537">
        <v>0</v>
      </c>
      <c r="AX239" s="537">
        <v>0</v>
      </c>
      <c r="AY239" s="537">
        <v>0</v>
      </c>
      <c r="AZ239" s="537">
        <v>0</v>
      </c>
      <c r="BA239" s="537">
        <v>0</v>
      </c>
      <c r="BB239" s="537">
        <v>0</v>
      </c>
      <c r="BC239" s="538">
        <v>0</v>
      </c>
    </row>
    <row r="240" spans="2:56" s="11" customFormat="1" ht="15" customHeight="1" outlineLevel="1">
      <c r="B240" s="287"/>
      <c r="C240" s="18" t="s">
        <v>293</v>
      </c>
      <c r="D240" s="18" t="s">
        <v>289</v>
      </c>
      <c r="E240" s="162">
        <f>SUM(F240:BC240)</f>
        <v>450</v>
      </c>
      <c r="F240" s="536">
        <v>0</v>
      </c>
      <c r="G240" s="537">
        <v>0</v>
      </c>
      <c r="H240" s="537">
        <v>100</v>
      </c>
      <c r="I240" s="537">
        <v>250</v>
      </c>
      <c r="J240" s="537">
        <v>100</v>
      </c>
      <c r="K240" s="537">
        <v>0</v>
      </c>
      <c r="L240" s="537">
        <v>0</v>
      </c>
      <c r="M240" s="537">
        <v>0</v>
      </c>
      <c r="N240" s="537">
        <v>0</v>
      </c>
      <c r="O240" s="537">
        <v>0</v>
      </c>
      <c r="P240" s="537">
        <v>0</v>
      </c>
      <c r="Q240" s="537">
        <v>0</v>
      </c>
      <c r="R240" s="537">
        <v>0</v>
      </c>
      <c r="S240" s="537">
        <v>0</v>
      </c>
      <c r="T240" s="537">
        <v>0</v>
      </c>
      <c r="U240" s="537">
        <v>0</v>
      </c>
      <c r="V240" s="537">
        <v>0</v>
      </c>
      <c r="W240" s="537">
        <v>0</v>
      </c>
      <c r="X240" s="537">
        <v>0</v>
      </c>
      <c r="Y240" s="537">
        <v>0</v>
      </c>
      <c r="Z240" s="537">
        <v>0</v>
      </c>
      <c r="AA240" s="537">
        <v>0</v>
      </c>
      <c r="AB240" s="537">
        <v>0</v>
      </c>
      <c r="AC240" s="537">
        <v>0</v>
      </c>
      <c r="AD240" s="537">
        <v>0</v>
      </c>
      <c r="AE240" s="537">
        <v>0</v>
      </c>
      <c r="AF240" s="537">
        <v>0</v>
      </c>
      <c r="AG240" s="537">
        <v>0</v>
      </c>
      <c r="AH240" s="537">
        <v>0</v>
      </c>
      <c r="AI240" s="537">
        <v>0</v>
      </c>
      <c r="AJ240" s="537">
        <v>0</v>
      </c>
      <c r="AK240" s="537">
        <v>0</v>
      </c>
      <c r="AL240" s="537">
        <v>0</v>
      </c>
      <c r="AM240" s="537">
        <v>0</v>
      </c>
      <c r="AN240" s="537">
        <v>0</v>
      </c>
      <c r="AO240" s="537">
        <v>0</v>
      </c>
      <c r="AP240" s="537">
        <v>0</v>
      </c>
      <c r="AQ240" s="537">
        <v>0</v>
      </c>
      <c r="AR240" s="537">
        <v>0</v>
      </c>
      <c r="AS240" s="537">
        <v>0</v>
      </c>
      <c r="AT240" s="537">
        <v>0</v>
      </c>
      <c r="AU240" s="537">
        <v>0</v>
      </c>
      <c r="AV240" s="537">
        <v>0</v>
      </c>
      <c r="AW240" s="537">
        <v>0</v>
      </c>
      <c r="AX240" s="537">
        <v>0</v>
      </c>
      <c r="AY240" s="537">
        <v>0</v>
      </c>
      <c r="AZ240" s="537">
        <v>0</v>
      </c>
      <c r="BA240" s="537">
        <v>0</v>
      </c>
      <c r="BB240" s="537">
        <v>0</v>
      </c>
      <c r="BC240" s="538">
        <v>0</v>
      </c>
    </row>
    <row r="241" spans="2:55" s="11" customFormat="1" ht="15" customHeight="1" outlineLevel="1">
      <c r="B241" s="287"/>
      <c r="C241" s="18" t="s">
        <v>294</v>
      </c>
      <c r="D241" s="18" t="s">
        <v>289</v>
      </c>
      <c r="E241" s="162">
        <f>SUM(F241:BC241)</f>
        <v>2360</v>
      </c>
      <c r="F241" s="536">
        <v>0</v>
      </c>
      <c r="G241" s="537">
        <v>0</v>
      </c>
      <c r="H241" s="537">
        <v>0</v>
      </c>
      <c r="I241" s="537">
        <v>0</v>
      </c>
      <c r="J241" s="537">
        <v>0</v>
      </c>
      <c r="K241" s="537">
        <v>80</v>
      </c>
      <c r="L241" s="537">
        <v>80</v>
      </c>
      <c r="M241" s="537">
        <v>80</v>
      </c>
      <c r="N241" s="537">
        <v>80</v>
      </c>
      <c r="O241" s="537">
        <v>80</v>
      </c>
      <c r="P241" s="537">
        <v>80</v>
      </c>
      <c r="Q241" s="537">
        <v>80</v>
      </c>
      <c r="R241" s="537">
        <v>80</v>
      </c>
      <c r="S241" s="537">
        <v>80</v>
      </c>
      <c r="T241" s="537">
        <v>80</v>
      </c>
      <c r="U241" s="537">
        <v>80</v>
      </c>
      <c r="V241" s="537">
        <v>80</v>
      </c>
      <c r="W241" s="537">
        <v>80</v>
      </c>
      <c r="X241" s="537">
        <v>80</v>
      </c>
      <c r="Y241" s="537">
        <v>80</v>
      </c>
      <c r="Z241" s="537">
        <v>80</v>
      </c>
      <c r="AA241" s="537">
        <v>80</v>
      </c>
      <c r="AB241" s="537">
        <v>80</v>
      </c>
      <c r="AC241" s="537">
        <v>80</v>
      </c>
      <c r="AD241" s="537">
        <v>80</v>
      </c>
      <c r="AE241" s="537">
        <v>80</v>
      </c>
      <c r="AF241" s="537">
        <v>80</v>
      </c>
      <c r="AG241" s="537">
        <v>80</v>
      </c>
      <c r="AH241" s="537">
        <v>80</v>
      </c>
      <c r="AI241" s="537">
        <v>80</v>
      </c>
      <c r="AJ241" s="537">
        <v>80</v>
      </c>
      <c r="AK241" s="537">
        <v>80</v>
      </c>
      <c r="AL241" s="537">
        <v>80</v>
      </c>
      <c r="AM241" s="537">
        <v>80</v>
      </c>
      <c r="AN241" s="537">
        <v>40</v>
      </c>
      <c r="AO241" s="537">
        <v>0</v>
      </c>
      <c r="AP241" s="537">
        <v>0</v>
      </c>
      <c r="AQ241" s="537">
        <v>0</v>
      </c>
      <c r="AR241" s="537">
        <v>0</v>
      </c>
      <c r="AS241" s="537">
        <v>0</v>
      </c>
      <c r="AT241" s="537">
        <v>0</v>
      </c>
      <c r="AU241" s="537">
        <v>0</v>
      </c>
      <c r="AV241" s="537">
        <v>0</v>
      </c>
      <c r="AW241" s="537">
        <v>0</v>
      </c>
      <c r="AX241" s="537">
        <v>0</v>
      </c>
      <c r="AY241" s="537">
        <v>0</v>
      </c>
      <c r="AZ241" s="537">
        <v>0</v>
      </c>
      <c r="BA241" s="537">
        <v>0</v>
      </c>
      <c r="BB241" s="537">
        <v>0</v>
      </c>
      <c r="BC241" s="538">
        <v>0</v>
      </c>
    </row>
    <row r="242" spans="2:55" s="11" customFormat="1" ht="15" customHeight="1" outlineLevel="1">
      <c r="C242" s="18" t="s">
        <v>295</v>
      </c>
      <c r="D242" s="18" t="s">
        <v>289</v>
      </c>
      <c r="E242" s="162">
        <f t="shared" si="93"/>
        <v>20</v>
      </c>
      <c r="F242" s="539">
        <v>0</v>
      </c>
      <c r="G242" s="540">
        <v>0</v>
      </c>
      <c r="H242" s="540">
        <v>0</v>
      </c>
      <c r="I242" s="540">
        <v>0</v>
      </c>
      <c r="J242" s="540">
        <v>0</v>
      </c>
      <c r="K242" s="540">
        <v>0</v>
      </c>
      <c r="L242" s="540">
        <v>0</v>
      </c>
      <c r="M242" s="540">
        <v>0</v>
      </c>
      <c r="N242" s="540">
        <v>0</v>
      </c>
      <c r="O242" s="540">
        <v>0</v>
      </c>
      <c r="P242" s="540">
        <v>0</v>
      </c>
      <c r="Q242" s="540">
        <v>0</v>
      </c>
      <c r="R242" s="540">
        <v>0</v>
      </c>
      <c r="S242" s="540">
        <v>0</v>
      </c>
      <c r="T242" s="540">
        <v>0</v>
      </c>
      <c r="U242" s="540">
        <v>0</v>
      </c>
      <c r="V242" s="540">
        <v>0</v>
      </c>
      <c r="W242" s="540">
        <v>0</v>
      </c>
      <c r="X242" s="540">
        <v>0</v>
      </c>
      <c r="Y242" s="540">
        <v>0</v>
      </c>
      <c r="Z242" s="540">
        <v>0</v>
      </c>
      <c r="AA242" s="540">
        <v>0</v>
      </c>
      <c r="AB242" s="540">
        <v>0</v>
      </c>
      <c r="AC242" s="540">
        <v>0</v>
      </c>
      <c r="AD242" s="540">
        <v>0</v>
      </c>
      <c r="AE242" s="540">
        <v>0</v>
      </c>
      <c r="AF242" s="540">
        <v>0</v>
      </c>
      <c r="AG242" s="540">
        <v>0</v>
      </c>
      <c r="AH242" s="540">
        <v>0</v>
      </c>
      <c r="AI242" s="540">
        <v>0</v>
      </c>
      <c r="AJ242" s="540">
        <v>0</v>
      </c>
      <c r="AK242" s="540">
        <v>0</v>
      </c>
      <c r="AL242" s="540">
        <v>0</v>
      </c>
      <c r="AM242" s="540">
        <v>0</v>
      </c>
      <c r="AN242" s="540">
        <v>0</v>
      </c>
      <c r="AO242" s="540">
        <v>0</v>
      </c>
      <c r="AP242" s="540">
        <v>0</v>
      </c>
      <c r="AQ242" s="540">
        <v>20</v>
      </c>
      <c r="AR242" s="540">
        <v>0</v>
      </c>
      <c r="AS242" s="540">
        <v>0</v>
      </c>
      <c r="AT242" s="540">
        <v>0</v>
      </c>
      <c r="AU242" s="540">
        <v>0</v>
      </c>
      <c r="AV242" s="540">
        <v>0</v>
      </c>
      <c r="AW242" s="540">
        <v>0</v>
      </c>
      <c r="AX242" s="540">
        <v>0</v>
      </c>
      <c r="AY242" s="540">
        <v>0</v>
      </c>
      <c r="AZ242" s="540">
        <v>0</v>
      </c>
      <c r="BA242" s="540">
        <v>0</v>
      </c>
      <c r="BB242" s="540">
        <v>0</v>
      </c>
      <c r="BC242" s="541">
        <v>0</v>
      </c>
    </row>
    <row r="243" spans="2:55" s="11" customFormat="1" ht="15" customHeight="1" outlineLevel="1">
      <c r="C243" s="18" t="s">
        <v>296</v>
      </c>
      <c r="D243" s="18" t="s">
        <v>30</v>
      </c>
      <c r="E243" s="542">
        <v>0</v>
      </c>
      <c r="F243" s="162"/>
      <c r="G243" s="162"/>
      <c r="H243" s="162"/>
      <c r="I243" s="162"/>
      <c r="J243" s="162"/>
      <c r="K243" s="162"/>
      <c r="L243" s="162"/>
      <c r="M243" s="162"/>
      <c r="N243" s="162"/>
      <c r="O243" s="162"/>
      <c r="P243" s="162"/>
      <c r="Q243" s="162"/>
      <c r="R243" s="162"/>
      <c r="S243" s="162"/>
      <c r="T243" s="162"/>
      <c r="U243" s="162"/>
      <c r="V243" s="18"/>
      <c r="W243" s="18"/>
      <c r="X243" s="18"/>
      <c r="Y243" s="18"/>
      <c r="Z243" s="18"/>
      <c r="AA243" s="18"/>
      <c r="AB243" s="18"/>
      <c r="AC243" s="235"/>
      <c r="AD243" s="235"/>
      <c r="AE243" s="235"/>
      <c r="AF243" s="235"/>
      <c r="AG243" s="235"/>
      <c r="AH243" s="235"/>
      <c r="AI243" s="235"/>
      <c r="AJ243" s="235"/>
      <c r="AK243" s="235"/>
      <c r="AL243" s="235"/>
      <c r="AM243" s="235"/>
      <c r="AN243" s="235"/>
      <c r="AO243" s="235"/>
      <c r="AP243" s="235"/>
      <c r="AQ243" s="235"/>
      <c r="AR243" s="235"/>
      <c r="AS243" s="235"/>
      <c r="AT243" s="235"/>
      <c r="AU243" s="235"/>
      <c r="AV243" s="235"/>
      <c r="AW243" s="235"/>
      <c r="AX243" s="235"/>
      <c r="AY243" s="235"/>
      <c r="AZ243" s="235"/>
      <c r="BA243" s="235"/>
      <c r="BB243" s="235"/>
      <c r="BC243" s="235"/>
    </row>
    <row r="244" spans="2:55" s="11" customFormat="1" ht="15" customHeight="1" outlineLevel="1">
      <c r="C244" s="18" t="s">
        <v>297</v>
      </c>
      <c r="D244" s="18" t="s">
        <v>298</v>
      </c>
      <c r="E244" s="543">
        <v>500</v>
      </c>
      <c r="F244" s="162"/>
      <c r="G244" s="162"/>
      <c r="H244" s="162"/>
      <c r="I244" s="105"/>
      <c r="J244" s="105"/>
      <c r="K244" s="105"/>
      <c r="L244" s="105"/>
      <c r="M244" s="162"/>
      <c r="N244" s="162"/>
      <c r="O244" s="162"/>
      <c r="P244" s="162"/>
      <c r="Q244" s="162"/>
      <c r="R244" s="162"/>
      <c r="S244" s="162"/>
      <c r="T244" s="162"/>
      <c r="U244" s="162"/>
      <c r="V244" s="18"/>
      <c r="W244" s="18"/>
      <c r="X244" s="18"/>
      <c r="Y244" s="18"/>
      <c r="Z244" s="18"/>
      <c r="AA244" s="18"/>
      <c r="AB244" s="18"/>
      <c r="AC244" s="235"/>
      <c r="AD244" s="235"/>
      <c r="AE244" s="235"/>
      <c r="AF244" s="235"/>
      <c r="AG244" s="235"/>
      <c r="AH244" s="235"/>
      <c r="AI244" s="235"/>
      <c r="AJ244" s="235"/>
      <c r="AK244" s="235"/>
      <c r="AL244" s="235"/>
      <c r="AM244" s="235"/>
      <c r="AN244" s="235"/>
      <c r="AO244" s="235"/>
      <c r="AP244" s="235"/>
      <c r="AQ244" s="235"/>
      <c r="AR244" s="235"/>
      <c r="AS244" s="235"/>
      <c r="AT244" s="235"/>
      <c r="AU244" s="235"/>
      <c r="AV244" s="235"/>
      <c r="AW244" s="235"/>
      <c r="AX244" s="235"/>
      <c r="AY244" s="235"/>
      <c r="AZ244" s="235"/>
      <c r="BA244" s="235"/>
      <c r="BB244" s="235"/>
      <c r="BC244" s="235"/>
    </row>
    <row r="245" spans="2:55" s="11" customFormat="1" ht="15" customHeight="1" outlineLevel="1">
      <c r="C245" s="18"/>
      <c r="D245" s="18"/>
      <c r="E245" s="374"/>
      <c r="F245" s="105"/>
      <c r="V245" s="18"/>
      <c r="W245" s="18"/>
      <c r="X245" s="18"/>
      <c r="Y245" s="18"/>
      <c r="Z245" s="18"/>
      <c r="AA245" s="18"/>
      <c r="AB245" s="18"/>
      <c r="AC245" s="235"/>
      <c r="AD245" s="235"/>
      <c r="AE245" s="235"/>
      <c r="AF245" s="235"/>
      <c r="AG245" s="235"/>
      <c r="AH245" s="235"/>
      <c r="AI245" s="235"/>
      <c r="AJ245" s="235"/>
      <c r="AK245" s="235"/>
      <c r="AL245" s="235"/>
      <c r="AM245" s="235"/>
      <c r="AN245" s="235"/>
      <c r="AO245" s="235"/>
      <c r="AP245" s="235"/>
      <c r="AQ245" s="235"/>
      <c r="AR245" s="235"/>
      <c r="AS245" s="235"/>
      <c r="AT245" s="235"/>
      <c r="AU245" s="235"/>
      <c r="AV245" s="235"/>
      <c r="AW245" s="235"/>
      <c r="AX245" s="235"/>
      <c r="AY245" s="235"/>
      <c r="AZ245" s="235"/>
      <c r="BA245" s="235"/>
      <c r="BB245" s="235"/>
      <c r="BC245" s="235"/>
    </row>
    <row r="246" spans="2:55" s="11" customFormat="1" ht="15" customHeight="1" outlineLevel="1">
      <c r="C246" s="247" t="s">
        <v>299</v>
      </c>
      <c r="D246" s="235"/>
      <c r="E246" s="236"/>
      <c r="F246" s="245">
        <v>1</v>
      </c>
      <c r="G246" s="245">
        <v>2</v>
      </c>
      <c r="H246" s="245">
        <v>3</v>
      </c>
      <c r="I246" s="245">
        <v>4</v>
      </c>
      <c r="J246" s="245">
        <v>5</v>
      </c>
      <c r="K246" s="245">
        <v>6</v>
      </c>
      <c r="L246" s="245">
        <v>7</v>
      </c>
      <c r="M246" s="245">
        <v>8</v>
      </c>
      <c r="N246" s="245">
        <v>9</v>
      </c>
      <c r="O246" s="245">
        <v>10</v>
      </c>
      <c r="P246" s="245">
        <v>11</v>
      </c>
      <c r="Q246" s="245">
        <v>12</v>
      </c>
      <c r="R246" s="245">
        <v>13</v>
      </c>
      <c r="S246" s="245">
        <v>14</v>
      </c>
      <c r="T246" s="245">
        <v>15</v>
      </c>
      <c r="U246" s="245">
        <v>16</v>
      </c>
      <c r="V246" s="245">
        <v>17</v>
      </c>
      <c r="W246" s="245">
        <v>18</v>
      </c>
      <c r="X246" s="245">
        <v>19</v>
      </c>
      <c r="Y246" s="245">
        <v>20</v>
      </c>
      <c r="Z246" s="245">
        <v>21</v>
      </c>
      <c r="AA246" s="245">
        <v>22</v>
      </c>
      <c r="AB246" s="245">
        <v>23</v>
      </c>
      <c r="AC246" s="245">
        <v>24</v>
      </c>
      <c r="AD246" s="245">
        <v>25</v>
      </c>
      <c r="AE246" s="245">
        <v>26</v>
      </c>
      <c r="AF246" s="245">
        <v>27</v>
      </c>
      <c r="AG246" s="245">
        <v>28</v>
      </c>
      <c r="AH246" s="245">
        <v>29</v>
      </c>
      <c r="AI246" s="245">
        <v>30</v>
      </c>
      <c r="AJ246" s="245">
        <v>31</v>
      </c>
      <c r="AK246" s="245">
        <v>32</v>
      </c>
      <c r="AL246" s="245">
        <v>33</v>
      </c>
      <c r="AM246" s="245">
        <v>34</v>
      </c>
      <c r="AN246" s="245">
        <v>35</v>
      </c>
      <c r="AO246" s="245">
        <v>36</v>
      </c>
      <c r="AP246" s="245">
        <v>37</v>
      </c>
      <c r="AQ246" s="245">
        <v>38</v>
      </c>
      <c r="AR246" s="245">
        <v>39</v>
      </c>
      <c r="AS246" s="245">
        <v>40</v>
      </c>
      <c r="AT246" s="245">
        <v>41</v>
      </c>
      <c r="AU246" s="245">
        <v>42</v>
      </c>
      <c r="AV246" s="245">
        <v>43</v>
      </c>
      <c r="AW246" s="245">
        <v>44</v>
      </c>
      <c r="AX246" s="245">
        <v>45</v>
      </c>
      <c r="AY246" s="245">
        <v>46</v>
      </c>
      <c r="AZ246" s="245">
        <v>47</v>
      </c>
      <c r="BA246" s="245">
        <v>48</v>
      </c>
      <c r="BB246" s="245">
        <v>49</v>
      </c>
      <c r="BC246" s="245">
        <v>50</v>
      </c>
    </row>
    <row r="247" spans="2:55" s="11" customFormat="1" ht="15" customHeight="1" outlineLevel="1">
      <c r="C247" s="18" t="s">
        <v>286</v>
      </c>
      <c r="D247" s="18" t="s">
        <v>287</v>
      </c>
      <c r="E247" s="162">
        <f t="shared" ref="E247:E254" si="97">SUM(F247:BC247)</f>
        <v>1500000</v>
      </c>
      <c r="F247" s="533">
        <v>0</v>
      </c>
      <c r="G247" s="534">
        <v>0</v>
      </c>
      <c r="H247" s="534">
        <v>0</v>
      </c>
      <c r="I247" s="534">
        <v>0</v>
      </c>
      <c r="J247" s="534">
        <v>50000</v>
      </c>
      <c r="K247" s="534">
        <v>100000</v>
      </c>
      <c r="L247" s="534">
        <v>100000</v>
      </c>
      <c r="M247" s="534">
        <v>100000</v>
      </c>
      <c r="N247" s="534">
        <v>100000</v>
      </c>
      <c r="O247" s="534">
        <v>100000</v>
      </c>
      <c r="P247" s="534">
        <v>100000</v>
      </c>
      <c r="Q247" s="534">
        <v>100000</v>
      </c>
      <c r="R247" s="534">
        <v>100000</v>
      </c>
      <c r="S247" s="534">
        <v>100000</v>
      </c>
      <c r="T247" s="534">
        <v>100000</v>
      </c>
      <c r="U247" s="534">
        <v>100000</v>
      </c>
      <c r="V247" s="534">
        <v>100000</v>
      </c>
      <c r="W247" s="534">
        <v>100000</v>
      </c>
      <c r="X247" s="534">
        <v>100000</v>
      </c>
      <c r="Y247" s="534">
        <v>50000</v>
      </c>
      <c r="Z247" s="534">
        <v>0</v>
      </c>
      <c r="AA247" s="534">
        <v>0</v>
      </c>
      <c r="AB247" s="534">
        <v>0</v>
      </c>
      <c r="AC247" s="534">
        <v>0</v>
      </c>
      <c r="AD247" s="534">
        <v>0</v>
      </c>
      <c r="AE247" s="534">
        <v>0</v>
      </c>
      <c r="AF247" s="534">
        <v>0</v>
      </c>
      <c r="AG247" s="534">
        <v>0</v>
      </c>
      <c r="AH247" s="534">
        <v>0</v>
      </c>
      <c r="AI247" s="534">
        <v>0</v>
      </c>
      <c r="AJ247" s="534">
        <v>0</v>
      </c>
      <c r="AK247" s="534">
        <v>0</v>
      </c>
      <c r="AL247" s="534">
        <v>0</v>
      </c>
      <c r="AM247" s="534">
        <v>0</v>
      </c>
      <c r="AN247" s="534">
        <v>0</v>
      </c>
      <c r="AO247" s="534">
        <v>0</v>
      </c>
      <c r="AP247" s="534">
        <v>0</v>
      </c>
      <c r="AQ247" s="534">
        <v>0</v>
      </c>
      <c r="AR247" s="534">
        <v>0</v>
      </c>
      <c r="AS247" s="534">
        <v>0</v>
      </c>
      <c r="AT247" s="534">
        <v>0</v>
      </c>
      <c r="AU247" s="534">
        <v>0</v>
      </c>
      <c r="AV247" s="534">
        <v>0</v>
      </c>
      <c r="AW247" s="534">
        <v>0</v>
      </c>
      <c r="AX247" s="534">
        <v>0</v>
      </c>
      <c r="AY247" s="534">
        <v>0</v>
      </c>
      <c r="AZ247" s="534">
        <v>0</v>
      </c>
      <c r="BA247" s="534">
        <v>0</v>
      </c>
      <c r="BB247" s="534">
        <v>0</v>
      </c>
      <c r="BC247" s="535">
        <v>0</v>
      </c>
    </row>
    <row r="248" spans="2:55" s="11" customFormat="1" ht="15" customHeight="1" outlineLevel="1">
      <c r="C248" s="18" t="s">
        <v>288</v>
      </c>
      <c r="D248" s="18" t="s">
        <v>289</v>
      </c>
      <c r="E248" s="162">
        <f t="shared" si="97"/>
        <v>0</v>
      </c>
      <c r="F248" s="536">
        <f t="shared" ref="F248:G248" si="98">(F247 * 0)/1000000</f>
        <v>0</v>
      </c>
      <c r="G248" s="537">
        <f t="shared" si="98"/>
        <v>0</v>
      </c>
      <c r="H248" s="537">
        <f t="shared" ref="H248:Z248" si="99">(H247 * 0)/1000000</f>
        <v>0</v>
      </c>
      <c r="I248" s="537">
        <f t="shared" ref="I248:V248" si="100">(I247 * 0)/1000000</f>
        <v>0</v>
      </c>
      <c r="J248" s="537">
        <f t="shared" si="100"/>
        <v>0</v>
      </c>
      <c r="K248" s="537">
        <f t="shared" si="100"/>
        <v>0</v>
      </c>
      <c r="L248" s="537">
        <f t="shared" si="100"/>
        <v>0</v>
      </c>
      <c r="M248" s="537">
        <f t="shared" si="100"/>
        <v>0</v>
      </c>
      <c r="N248" s="537">
        <f t="shared" si="100"/>
        <v>0</v>
      </c>
      <c r="O248" s="537">
        <f t="shared" si="100"/>
        <v>0</v>
      </c>
      <c r="P248" s="537">
        <f t="shared" si="100"/>
        <v>0</v>
      </c>
      <c r="Q248" s="537">
        <f t="shared" si="100"/>
        <v>0</v>
      </c>
      <c r="R248" s="537">
        <f t="shared" si="100"/>
        <v>0</v>
      </c>
      <c r="S248" s="537">
        <f t="shared" si="100"/>
        <v>0</v>
      </c>
      <c r="T248" s="537">
        <f t="shared" si="100"/>
        <v>0</v>
      </c>
      <c r="U248" s="537">
        <f t="shared" si="100"/>
        <v>0</v>
      </c>
      <c r="V248" s="537">
        <f t="shared" si="100"/>
        <v>0</v>
      </c>
      <c r="W248" s="537">
        <f t="shared" ref="W248:X248" si="101">(W247 * 0)/1000000</f>
        <v>0</v>
      </c>
      <c r="X248" s="537">
        <f t="shared" si="101"/>
        <v>0</v>
      </c>
      <c r="Y248" s="537">
        <f t="shared" si="99"/>
        <v>0</v>
      </c>
      <c r="Z248" s="537">
        <f t="shared" si="99"/>
        <v>0</v>
      </c>
      <c r="AA248" s="537">
        <f t="shared" ref="AA248:AB248" si="102">(AA247 * 0)/1000000</f>
        <v>0</v>
      </c>
      <c r="AB248" s="537">
        <f t="shared" si="102"/>
        <v>0</v>
      </c>
      <c r="AC248" s="537">
        <f t="shared" ref="AC248:BC248" si="103">(AC247 * 9)/1000000</f>
        <v>0</v>
      </c>
      <c r="AD248" s="537">
        <f t="shared" si="103"/>
        <v>0</v>
      </c>
      <c r="AE248" s="537">
        <f t="shared" si="103"/>
        <v>0</v>
      </c>
      <c r="AF248" s="537">
        <f t="shared" si="103"/>
        <v>0</v>
      </c>
      <c r="AG248" s="537">
        <f t="shared" si="103"/>
        <v>0</v>
      </c>
      <c r="AH248" s="537">
        <f t="shared" si="103"/>
        <v>0</v>
      </c>
      <c r="AI248" s="537">
        <f t="shared" si="103"/>
        <v>0</v>
      </c>
      <c r="AJ248" s="537">
        <f t="shared" si="103"/>
        <v>0</v>
      </c>
      <c r="AK248" s="537">
        <f t="shared" si="103"/>
        <v>0</v>
      </c>
      <c r="AL248" s="537">
        <f t="shared" si="103"/>
        <v>0</v>
      </c>
      <c r="AM248" s="537">
        <f t="shared" si="103"/>
        <v>0</v>
      </c>
      <c r="AN248" s="537">
        <f t="shared" si="103"/>
        <v>0</v>
      </c>
      <c r="AO248" s="537">
        <f t="shared" si="103"/>
        <v>0</v>
      </c>
      <c r="AP248" s="537">
        <f t="shared" si="103"/>
        <v>0</v>
      </c>
      <c r="AQ248" s="537">
        <f t="shared" si="103"/>
        <v>0</v>
      </c>
      <c r="AR248" s="537">
        <f t="shared" si="103"/>
        <v>0</v>
      </c>
      <c r="AS248" s="537">
        <f t="shared" si="103"/>
        <v>0</v>
      </c>
      <c r="AT248" s="537">
        <f t="shared" si="103"/>
        <v>0</v>
      </c>
      <c r="AU248" s="537">
        <f t="shared" si="103"/>
        <v>0</v>
      </c>
      <c r="AV248" s="537">
        <f t="shared" si="103"/>
        <v>0</v>
      </c>
      <c r="AW248" s="537">
        <f t="shared" si="103"/>
        <v>0</v>
      </c>
      <c r="AX248" s="537">
        <f t="shared" si="103"/>
        <v>0</v>
      </c>
      <c r="AY248" s="537">
        <f t="shared" si="103"/>
        <v>0</v>
      </c>
      <c r="AZ248" s="537">
        <f t="shared" si="103"/>
        <v>0</v>
      </c>
      <c r="BA248" s="537">
        <f t="shared" si="103"/>
        <v>0</v>
      </c>
      <c r="BB248" s="537">
        <f t="shared" si="103"/>
        <v>0</v>
      </c>
      <c r="BC248" s="538">
        <f t="shared" si="103"/>
        <v>0</v>
      </c>
    </row>
    <row r="249" spans="2:55" s="11" customFormat="1" ht="15" customHeight="1" outlineLevel="1">
      <c r="C249" s="159" t="s">
        <v>290</v>
      </c>
      <c r="D249" s="18" t="s">
        <v>289</v>
      </c>
      <c r="E249" s="162">
        <f t="shared" si="97"/>
        <v>8.9999999999999982</v>
      </c>
      <c r="F249" s="536">
        <f>(F247 * 6)/1000000</f>
        <v>0</v>
      </c>
      <c r="G249" s="537">
        <f>(G247 * 6)/1000000</f>
        <v>0</v>
      </c>
      <c r="H249" s="537">
        <f t="shared" ref="H249:BB249" si="104">(H247 * 6)/1000000</f>
        <v>0</v>
      </c>
      <c r="I249" s="537">
        <f t="shared" si="104"/>
        <v>0</v>
      </c>
      <c r="J249" s="537">
        <f t="shared" si="104"/>
        <v>0.3</v>
      </c>
      <c r="K249" s="537">
        <f t="shared" si="104"/>
        <v>0.6</v>
      </c>
      <c r="L249" s="537">
        <f t="shared" si="104"/>
        <v>0.6</v>
      </c>
      <c r="M249" s="537">
        <f t="shared" si="104"/>
        <v>0.6</v>
      </c>
      <c r="N249" s="537">
        <f t="shared" si="104"/>
        <v>0.6</v>
      </c>
      <c r="O249" s="537">
        <f t="shared" si="104"/>
        <v>0.6</v>
      </c>
      <c r="P249" s="537">
        <f t="shared" si="104"/>
        <v>0.6</v>
      </c>
      <c r="Q249" s="537">
        <f t="shared" si="104"/>
        <v>0.6</v>
      </c>
      <c r="R249" s="537">
        <f t="shared" si="104"/>
        <v>0.6</v>
      </c>
      <c r="S249" s="537">
        <f t="shared" si="104"/>
        <v>0.6</v>
      </c>
      <c r="T249" s="537">
        <f t="shared" si="104"/>
        <v>0.6</v>
      </c>
      <c r="U249" s="537">
        <f t="shared" si="104"/>
        <v>0.6</v>
      </c>
      <c r="V249" s="537">
        <f t="shared" si="104"/>
        <v>0.6</v>
      </c>
      <c r="W249" s="537">
        <f t="shared" si="104"/>
        <v>0.6</v>
      </c>
      <c r="X249" s="537">
        <f t="shared" si="104"/>
        <v>0.6</v>
      </c>
      <c r="Y249" s="537">
        <f t="shared" si="104"/>
        <v>0.3</v>
      </c>
      <c r="Z249" s="537">
        <f t="shared" si="104"/>
        <v>0</v>
      </c>
      <c r="AA249" s="537">
        <f t="shared" si="104"/>
        <v>0</v>
      </c>
      <c r="AB249" s="537">
        <f t="shared" si="104"/>
        <v>0</v>
      </c>
      <c r="AC249" s="537">
        <f t="shared" si="104"/>
        <v>0</v>
      </c>
      <c r="AD249" s="537">
        <f t="shared" si="104"/>
        <v>0</v>
      </c>
      <c r="AE249" s="537">
        <f t="shared" si="104"/>
        <v>0</v>
      </c>
      <c r="AF249" s="537">
        <f t="shared" si="104"/>
        <v>0</v>
      </c>
      <c r="AG249" s="537">
        <f t="shared" si="104"/>
        <v>0</v>
      </c>
      <c r="AH249" s="537">
        <f t="shared" si="104"/>
        <v>0</v>
      </c>
      <c r="AI249" s="537">
        <f t="shared" si="104"/>
        <v>0</v>
      </c>
      <c r="AJ249" s="537">
        <f t="shared" si="104"/>
        <v>0</v>
      </c>
      <c r="AK249" s="537">
        <f t="shared" si="104"/>
        <v>0</v>
      </c>
      <c r="AL249" s="537">
        <f t="shared" si="104"/>
        <v>0</v>
      </c>
      <c r="AM249" s="537">
        <f t="shared" si="104"/>
        <v>0</v>
      </c>
      <c r="AN249" s="537">
        <f t="shared" si="104"/>
        <v>0</v>
      </c>
      <c r="AO249" s="537">
        <f t="shared" si="104"/>
        <v>0</v>
      </c>
      <c r="AP249" s="537">
        <f t="shared" si="104"/>
        <v>0</v>
      </c>
      <c r="AQ249" s="537">
        <f t="shared" si="104"/>
        <v>0</v>
      </c>
      <c r="AR249" s="537">
        <f t="shared" si="104"/>
        <v>0</v>
      </c>
      <c r="AS249" s="537">
        <f t="shared" si="104"/>
        <v>0</v>
      </c>
      <c r="AT249" s="537">
        <f t="shared" si="104"/>
        <v>0</v>
      </c>
      <c r="AU249" s="537">
        <f t="shared" si="104"/>
        <v>0</v>
      </c>
      <c r="AV249" s="537">
        <f t="shared" si="104"/>
        <v>0</v>
      </c>
      <c r="AW249" s="537">
        <f t="shared" si="104"/>
        <v>0</v>
      </c>
      <c r="AX249" s="537">
        <f t="shared" si="104"/>
        <v>0</v>
      </c>
      <c r="AY249" s="537">
        <f t="shared" si="104"/>
        <v>0</v>
      </c>
      <c r="AZ249" s="537">
        <f t="shared" si="104"/>
        <v>0</v>
      </c>
      <c r="BA249" s="537">
        <f t="shared" si="104"/>
        <v>0</v>
      </c>
      <c r="BB249" s="537">
        <f t="shared" si="104"/>
        <v>0</v>
      </c>
      <c r="BC249" s="538">
        <f>(BC247 * 6)/1000000</f>
        <v>0</v>
      </c>
    </row>
    <row r="250" spans="2:55" s="11" customFormat="1" ht="15" customHeight="1" outlineLevel="1">
      <c r="C250" s="18" t="s">
        <v>291</v>
      </c>
      <c r="D250" s="18" t="s">
        <v>289</v>
      </c>
      <c r="E250" s="162">
        <f t="shared" si="97"/>
        <v>10</v>
      </c>
      <c r="F250" s="536">
        <v>5</v>
      </c>
      <c r="G250" s="537">
        <v>5</v>
      </c>
      <c r="H250" s="537">
        <v>0</v>
      </c>
      <c r="I250" s="537">
        <v>0</v>
      </c>
      <c r="J250" s="537">
        <v>0</v>
      </c>
      <c r="K250" s="537">
        <v>0</v>
      </c>
      <c r="L250" s="537">
        <v>0</v>
      </c>
      <c r="M250" s="537">
        <v>0</v>
      </c>
      <c r="N250" s="537">
        <v>0</v>
      </c>
      <c r="O250" s="537">
        <v>0</v>
      </c>
      <c r="P250" s="537">
        <v>0</v>
      </c>
      <c r="Q250" s="537">
        <v>0</v>
      </c>
      <c r="R250" s="537">
        <v>0</v>
      </c>
      <c r="S250" s="537">
        <v>0</v>
      </c>
      <c r="T250" s="537">
        <v>0</v>
      </c>
      <c r="U250" s="537">
        <v>0</v>
      </c>
      <c r="V250" s="537">
        <v>0</v>
      </c>
      <c r="W250" s="537">
        <v>0</v>
      </c>
      <c r="X250" s="537">
        <v>0</v>
      </c>
      <c r="Y250" s="537">
        <v>0</v>
      </c>
      <c r="Z250" s="537">
        <v>0</v>
      </c>
      <c r="AA250" s="537">
        <v>0</v>
      </c>
      <c r="AB250" s="537">
        <v>0</v>
      </c>
      <c r="AC250" s="537">
        <v>0</v>
      </c>
      <c r="AD250" s="537">
        <v>0</v>
      </c>
      <c r="AE250" s="537">
        <v>0</v>
      </c>
      <c r="AF250" s="537">
        <v>0</v>
      </c>
      <c r="AG250" s="537">
        <v>0</v>
      </c>
      <c r="AH250" s="537">
        <v>0</v>
      </c>
      <c r="AI250" s="537">
        <v>0</v>
      </c>
      <c r="AJ250" s="537">
        <v>0</v>
      </c>
      <c r="AK250" s="537">
        <v>0</v>
      </c>
      <c r="AL250" s="537">
        <v>0</v>
      </c>
      <c r="AM250" s="537">
        <v>0</v>
      </c>
      <c r="AN250" s="537">
        <v>0</v>
      </c>
      <c r="AO250" s="537">
        <v>0</v>
      </c>
      <c r="AP250" s="537">
        <v>0</v>
      </c>
      <c r="AQ250" s="537">
        <v>0</v>
      </c>
      <c r="AR250" s="537">
        <v>0</v>
      </c>
      <c r="AS250" s="537">
        <v>0</v>
      </c>
      <c r="AT250" s="537">
        <v>0</v>
      </c>
      <c r="AU250" s="537">
        <v>0</v>
      </c>
      <c r="AV250" s="537">
        <v>0</v>
      </c>
      <c r="AW250" s="537">
        <v>0</v>
      </c>
      <c r="AX250" s="537">
        <v>0</v>
      </c>
      <c r="AY250" s="537">
        <v>0</v>
      </c>
      <c r="AZ250" s="537">
        <v>0</v>
      </c>
      <c r="BA250" s="537">
        <v>0</v>
      </c>
      <c r="BB250" s="537">
        <v>0</v>
      </c>
      <c r="BC250" s="538">
        <v>0</v>
      </c>
    </row>
    <row r="251" spans="2:55" s="11" customFormat="1" ht="15" customHeight="1" outlineLevel="1">
      <c r="C251" s="18" t="s">
        <v>292</v>
      </c>
      <c r="D251" s="18" t="s">
        <v>289</v>
      </c>
      <c r="E251" s="162">
        <f t="shared" si="97"/>
        <v>0</v>
      </c>
      <c r="F251" s="536">
        <v>0</v>
      </c>
      <c r="G251" s="537">
        <v>0</v>
      </c>
      <c r="H251" s="537">
        <v>0</v>
      </c>
      <c r="I251" s="537">
        <v>0</v>
      </c>
      <c r="J251" s="537">
        <v>0</v>
      </c>
      <c r="K251" s="537">
        <v>0</v>
      </c>
      <c r="L251" s="537">
        <v>0</v>
      </c>
      <c r="M251" s="537">
        <v>0</v>
      </c>
      <c r="N251" s="537">
        <v>0</v>
      </c>
      <c r="O251" s="537">
        <v>0</v>
      </c>
      <c r="P251" s="537">
        <v>0</v>
      </c>
      <c r="Q251" s="537">
        <v>0</v>
      </c>
      <c r="R251" s="537">
        <v>0</v>
      </c>
      <c r="S251" s="537">
        <v>0</v>
      </c>
      <c r="T251" s="537">
        <v>0</v>
      </c>
      <c r="U251" s="537">
        <v>0</v>
      </c>
      <c r="V251" s="537">
        <v>0</v>
      </c>
      <c r="W251" s="537">
        <v>0</v>
      </c>
      <c r="X251" s="537">
        <v>0</v>
      </c>
      <c r="Y251" s="537">
        <v>0</v>
      </c>
      <c r="Z251" s="537">
        <v>0</v>
      </c>
      <c r="AA251" s="537">
        <v>0</v>
      </c>
      <c r="AB251" s="537">
        <v>0</v>
      </c>
      <c r="AC251" s="537">
        <v>0</v>
      </c>
      <c r="AD251" s="537">
        <v>0</v>
      </c>
      <c r="AE251" s="537">
        <v>0</v>
      </c>
      <c r="AF251" s="537">
        <v>0</v>
      </c>
      <c r="AG251" s="537">
        <v>0</v>
      </c>
      <c r="AH251" s="537">
        <v>0</v>
      </c>
      <c r="AI251" s="537">
        <v>0</v>
      </c>
      <c r="AJ251" s="537">
        <v>0</v>
      </c>
      <c r="AK251" s="537">
        <v>0</v>
      </c>
      <c r="AL251" s="537">
        <v>0</v>
      </c>
      <c r="AM251" s="537">
        <v>0</v>
      </c>
      <c r="AN251" s="537">
        <v>0</v>
      </c>
      <c r="AO251" s="537">
        <v>0</v>
      </c>
      <c r="AP251" s="537">
        <v>0</v>
      </c>
      <c r="AQ251" s="537">
        <v>0</v>
      </c>
      <c r="AR251" s="537">
        <v>0</v>
      </c>
      <c r="AS251" s="537">
        <v>0</v>
      </c>
      <c r="AT251" s="537">
        <v>0</v>
      </c>
      <c r="AU251" s="537">
        <v>0</v>
      </c>
      <c r="AV251" s="537">
        <v>0</v>
      </c>
      <c r="AW251" s="537">
        <v>0</v>
      </c>
      <c r="AX251" s="537">
        <v>0</v>
      </c>
      <c r="AY251" s="537">
        <v>0</v>
      </c>
      <c r="AZ251" s="537">
        <v>0</v>
      </c>
      <c r="BA251" s="537">
        <v>0</v>
      </c>
      <c r="BB251" s="537">
        <v>0</v>
      </c>
      <c r="BC251" s="538">
        <v>0</v>
      </c>
    </row>
    <row r="252" spans="2:55" s="11" customFormat="1" ht="15" customHeight="1" outlineLevel="1">
      <c r="B252" s="287"/>
      <c r="C252" s="18" t="s">
        <v>293</v>
      </c>
      <c r="D252" s="18" t="s">
        <v>289</v>
      </c>
      <c r="E252" s="162">
        <f t="shared" si="97"/>
        <v>300</v>
      </c>
      <c r="F252" s="536">
        <v>0</v>
      </c>
      <c r="G252" s="537">
        <v>0</v>
      </c>
      <c r="H252" s="537">
        <v>50</v>
      </c>
      <c r="I252" s="537">
        <v>200</v>
      </c>
      <c r="J252" s="537">
        <v>50</v>
      </c>
      <c r="K252" s="537">
        <v>0</v>
      </c>
      <c r="L252" s="537">
        <v>0</v>
      </c>
      <c r="M252" s="537">
        <v>0</v>
      </c>
      <c r="N252" s="537">
        <v>0</v>
      </c>
      <c r="O252" s="537">
        <v>0</v>
      </c>
      <c r="P252" s="537">
        <v>0</v>
      </c>
      <c r="Q252" s="537">
        <v>0</v>
      </c>
      <c r="R252" s="537">
        <v>0</v>
      </c>
      <c r="S252" s="537">
        <v>0</v>
      </c>
      <c r="T252" s="537">
        <v>0</v>
      </c>
      <c r="U252" s="537">
        <v>0</v>
      </c>
      <c r="V252" s="537">
        <v>0</v>
      </c>
      <c r="W252" s="537">
        <v>0</v>
      </c>
      <c r="X252" s="537">
        <v>0</v>
      </c>
      <c r="Y252" s="537">
        <v>0</v>
      </c>
      <c r="Z252" s="537">
        <v>0</v>
      </c>
      <c r="AA252" s="537">
        <v>0</v>
      </c>
      <c r="AB252" s="537">
        <v>0</v>
      </c>
      <c r="AC252" s="537">
        <v>0</v>
      </c>
      <c r="AD252" s="537">
        <v>0</v>
      </c>
      <c r="AE252" s="537">
        <v>0</v>
      </c>
      <c r="AF252" s="537">
        <v>0</v>
      </c>
      <c r="AG252" s="537">
        <v>0</v>
      </c>
      <c r="AH252" s="537">
        <v>0</v>
      </c>
      <c r="AI252" s="537">
        <v>0</v>
      </c>
      <c r="AJ252" s="537">
        <v>0</v>
      </c>
      <c r="AK252" s="537">
        <v>0</v>
      </c>
      <c r="AL252" s="537">
        <v>0</v>
      </c>
      <c r="AM252" s="537">
        <v>0</v>
      </c>
      <c r="AN252" s="537">
        <v>0</v>
      </c>
      <c r="AO252" s="537">
        <v>0</v>
      </c>
      <c r="AP252" s="537">
        <v>0</v>
      </c>
      <c r="AQ252" s="537">
        <v>0</v>
      </c>
      <c r="AR252" s="537">
        <v>0</v>
      </c>
      <c r="AS252" s="537">
        <v>0</v>
      </c>
      <c r="AT252" s="537">
        <v>0</v>
      </c>
      <c r="AU252" s="537">
        <v>0</v>
      </c>
      <c r="AV252" s="537">
        <v>0</v>
      </c>
      <c r="AW252" s="537">
        <v>0</v>
      </c>
      <c r="AX252" s="537">
        <v>0</v>
      </c>
      <c r="AY252" s="537">
        <v>0</v>
      </c>
      <c r="AZ252" s="537">
        <v>0</v>
      </c>
      <c r="BA252" s="537">
        <v>0</v>
      </c>
      <c r="BB252" s="537">
        <v>0</v>
      </c>
      <c r="BC252" s="538">
        <v>0</v>
      </c>
    </row>
    <row r="253" spans="2:55" s="11" customFormat="1" ht="15" customHeight="1" outlineLevel="1">
      <c r="B253" s="287"/>
      <c r="C253" s="18" t="s">
        <v>294</v>
      </c>
      <c r="D253" s="18" t="s">
        <v>289</v>
      </c>
      <c r="E253" s="162">
        <f t="shared" si="97"/>
        <v>112</v>
      </c>
      <c r="F253" s="536">
        <v>0</v>
      </c>
      <c r="G253" s="537">
        <v>0</v>
      </c>
      <c r="H253" s="537">
        <v>0</v>
      </c>
      <c r="I253" s="537">
        <v>0</v>
      </c>
      <c r="J253" s="537">
        <v>0</v>
      </c>
      <c r="K253" s="537">
        <v>8</v>
      </c>
      <c r="L253" s="537">
        <v>8</v>
      </c>
      <c r="M253" s="537">
        <v>8</v>
      </c>
      <c r="N253" s="537">
        <v>8</v>
      </c>
      <c r="O253" s="537">
        <v>8</v>
      </c>
      <c r="P253" s="537">
        <v>8</v>
      </c>
      <c r="Q253" s="537">
        <v>8</v>
      </c>
      <c r="R253" s="537">
        <v>8</v>
      </c>
      <c r="S253" s="537">
        <v>8</v>
      </c>
      <c r="T253" s="537">
        <v>8</v>
      </c>
      <c r="U253" s="537">
        <v>8</v>
      </c>
      <c r="V253" s="537">
        <v>8</v>
      </c>
      <c r="W253" s="537">
        <v>8</v>
      </c>
      <c r="X253" s="537">
        <v>8</v>
      </c>
      <c r="Y253" s="537">
        <v>0</v>
      </c>
      <c r="Z253" s="537">
        <v>0</v>
      </c>
      <c r="AA253" s="537">
        <v>0</v>
      </c>
      <c r="AB253" s="537">
        <v>0</v>
      </c>
      <c r="AC253" s="537">
        <v>0</v>
      </c>
      <c r="AD253" s="537">
        <v>0</v>
      </c>
      <c r="AE253" s="537">
        <v>0</v>
      </c>
      <c r="AF253" s="537">
        <v>0</v>
      </c>
      <c r="AG253" s="537">
        <v>0</v>
      </c>
      <c r="AH253" s="537">
        <v>0</v>
      </c>
      <c r="AI253" s="537">
        <v>0</v>
      </c>
      <c r="AJ253" s="537">
        <v>0</v>
      </c>
      <c r="AK253" s="537">
        <v>0</v>
      </c>
      <c r="AL253" s="537">
        <v>0</v>
      </c>
      <c r="AM253" s="537">
        <v>0</v>
      </c>
      <c r="AN253" s="537">
        <v>0</v>
      </c>
      <c r="AO253" s="537">
        <v>0</v>
      </c>
      <c r="AP253" s="537">
        <v>0</v>
      </c>
      <c r="AQ253" s="537">
        <v>0</v>
      </c>
      <c r="AR253" s="537">
        <v>0</v>
      </c>
      <c r="AS253" s="537">
        <v>0</v>
      </c>
      <c r="AT253" s="537">
        <v>0</v>
      </c>
      <c r="AU253" s="537">
        <v>0</v>
      </c>
      <c r="AV253" s="537">
        <v>0</v>
      </c>
      <c r="AW253" s="537">
        <v>0</v>
      </c>
      <c r="AX253" s="537">
        <v>0</v>
      </c>
      <c r="AY253" s="537">
        <v>0</v>
      </c>
      <c r="AZ253" s="537">
        <v>0</v>
      </c>
      <c r="BA253" s="537">
        <v>0</v>
      </c>
      <c r="BB253" s="537">
        <v>0</v>
      </c>
      <c r="BC253" s="538">
        <v>0</v>
      </c>
    </row>
    <row r="254" spans="2:55" s="11" customFormat="1" ht="15" customHeight="1" outlineLevel="1">
      <c r="C254" s="18" t="s">
        <v>295</v>
      </c>
      <c r="D254" s="18" t="s">
        <v>289</v>
      </c>
      <c r="E254" s="162">
        <f t="shared" si="97"/>
        <v>10</v>
      </c>
      <c r="F254" s="539">
        <v>0</v>
      </c>
      <c r="G254" s="540">
        <v>0</v>
      </c>
      <c r="H254" s="540">
        <v>0</v>
      </c>
      <c r="I254" s="540">
        <v>0</v>
      </c>
      <c r="J254" s="540">
        <v>0</v>
      </c>
      <c r="K254" s="540">
        <v>0</v>
      </c>
      <c r="L254" s="540">
        <v>0</v>
      </c>
      <c r="M254" s="540">
        <v>0</v>
      </c>
      <c r="N254" s="540">
        <v>0</v>
      </c>
      <c r="O254" s="540">
        <v>0</v>
      </c>
      <c r="P254" s="540">
        <v>0</v>
      </c>
      <c r="Q254" s="540">
        <v>0</v>
      </c>
      <c r="R254" s="540">
        <v>0</v>
      </c>
      <c r="S254" s="540">
        <v>0</v>
      </c>
      <c r="T254" s="540">
        <v>0</v>
      </c>
      <c r="U254" s="540">
        <v>0</v>
      </c>
      <c r="V254" s="540">
        <v>0</v>
      </c>
      <c r="W254" s="540">
        <v>0</v>
      </c>
      <c r="X254" s="540">
        <v>0</v>
      </c>
      <c r="Y254" s="540">
        <v>0</v>
      </c>
      <c r="Z254" s="540">
        <v>10</v>
      </c>
      <c r="AA254" s="540">
        <v>0</v>
      </c>
      <c r="AB254" s="540">
        <v>0</v>
      </c>
      <c r="AC254" s="540">
        <v>0</v>
      </c>
      <c r="AD254" s="540">
        <v>0</v>
      </c>
      <c r="AE254" s="540">
        <v>0</v>
      </c>
      <c r="AF254" s="540">
        <v>0</v>
      </c>
      <c r="AG254" s="540">
        <v>0</v>
      </c>
      <c r="AH254" s="540">
        <v>0</v>
      </c>
      <c r="AI254" s="540">
        <v>0</v>
      </c>
      <c r="AJ254" s="540">
        <v>0</v>
      </c>
      <c r="AK254" s="540">
        <v>0</v>
      </c>
      <c r="AL254" s="540">
        <v>0</v>
      </c>
      <c r="AM254" s="540">
        <v>0</v>
      </c>
      <c r="AN254" s="540">
        <v>0</v>
      </c>
      <c r="AO254" s="540">
        <v>0</v>
      </c>
      <c r="AP254" s="540">
        <v>0</v>
      </c>
      <c r="AQ254" s="540">
        <v>0</v>
      </c>
      <c r="AR254" s="540">
        <v>0</v>
      </c>
      <c r="AS254" s="540">
        <v>0</v>
      </c>
      <c r="AT254" s="540">
        <v>0</v>
      </c>
      <c r="AU254" s="540">
        <v>0</v>
      </c>
      <c r="AV254" s="540">
        <v>0</v>
      </c>
      <c r="AW254" s="540">
        <v>0</v>
      </c>
      <c r="AX254" s="540">
        <v>0</v>
      </c>
      <c r="AY254" s="540">
        <v>0</v>
      </c>
      <c r="AZ254" s="540">
        <v>0</v>
      </c>
      <c r="BA254" s="540">
        <v>0</v>
      </c>
      <c r="BB254" s="540">
        <v>0</v>
      </c>
      <c r="BC254" s="541">
        <v>0</v>
      </c>
    </row>
    <row r="255" spans="2:55" s="11" customFormat="1" ht="15" customHeight="1" outlineLevel="1">
      <c r="C255" s="18" t="s">
        <v>296</v>
      </c>
      <c r="D255" s="18" t="s">
        <v>30</v>
      </c>
      <c r="E255" s="542">
        <v>0</v>
      </c>
      <c r="F255" s="162"/>
      <c r="G255" s="162"/>
      <c r="H255" s="162"/>
      <c r="I255" s="162"/>
      <c r="J255" s="162"/>
      <c r="K255" s="162"/>
      <c r="L255" s="162"/>
      <c r="M255" s="162"/>
      <c r="N255" s="162"/>
      <c r="O255" s="162"/>
      <c r="P255" s="162"/>
      <c r="Q255" s="162"/>
      <c r="R255" s="162"/>
      <c r="S255" s="162"/>
      <c r="T255" s="162"/>
      <c r="U255" s="162"/>
      <c r="V255" s="18"/>
      <c r="W255" s="18"/>
      <c r="X255" s="18"/>
      <c r="Y255" s="18"/>
      <c r="Z255" s="18"/>
      <c r="AA255" s="18"/>
      <c r="AB255" s="18"/>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235"/>
      <c r="BB255" s="235"/>
      <c r="BC255" s="235"/>
    </row>
    <row r="256" spans="2:55" s="11" customFormat="1" ht="15" customHeight="1" outlineLevel="1">
      <c r="C256" s="18" t="s">
        <v>297</v>
      </c>
      <c r="D256" s="18" t="s">
        <v>298</v>
      </c>
      <c r="E256" s="543">
        <v>800</v>
      </c>
      <c r="F256" s="162"/>
      <c r="G256" s="162"/>
      <c r="H256" s="162"/>
      <c r="I256" s="105"/>
      <c r="J256" s="105"/>
      <c r="K256" s="105"/>
      <c r="L256" s="105"/>
      <c r="M256" s="162"/>
      <c r="N256" s="162"/>
      <c r="O256" s="162"/>
      <c r="P256" s="162"/>
      <c r="Q256" s="162"/>
      <c r="R256" s="162"/>
      <c r="S256" s="162"/>
      <c r="T256" s="162"/>
      <c r="U256" s="162"/>
      <c r="V256" s="18"/>
      <c r="W256" s="18"/>
      <c r="X256" s="18"/>
      <c r="Y256" s="18"/>
      <c r="Z256" s="18"/>
      <c r="AA256" s="18"/>
      <c r="AB256" s="18"/>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235"/>
      <c r="BB256" s="235"/>
      <c r="BC256" s="235"/>
    </row>
    <row r="257" spans="2:58" s="11" customFormat="1" ht="15" customHeight="1" outlineLevel="1">
      <c r="C257" s="235"/>
      <c r="D257" s="235"/>
      <c r="E257" s="113"/>
      <c r="F257" s="10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235"/>
      <c r="BB257" s="235"/>
      <c r="BC257" s="235"/>
    </row>
    <row r="258" spans="2:58" s="11" customFormat="1" ht="15" customHeight="1" outlineLevel="1">
      <c r="C258" s="247" t="s">
        <v>300</v>
      </c>
      <c r="D258" s="235"/>
      <c r="E258" s="236"/>
      <c r="F258" s="245">
        <v>1</v>
      </c>
      <c r="G258" s="245">
        <v>2</v>
      </c>
      <c r="H258" s="245">
        <v>3</v>
      </c>
      <c r="I258" s="245">
        <v>4</v>
      </c>
      <c r="J258" s="245">
        <v>5</v>
      </c>
      <c r="K258" s="245">
        <v>6</v>
      </c>
      <c r="L258" s="245">
        <v>7</v>
      </c>
      <c r="M258" s="245">
        <v>8</v>
      </c>
      <c r="N258" s="245">
        <v>9</v>
      </c>
      <c r="O258" s="245">
        <v>10</v>
      </c>
      <c r="P258" s="245">
        <v>11</v>
      </c>
      <c r="Q258" s="245">
        <v>12</v>
      </c>
      <c r="R258" s="245">
        <v>13</v>
      </c>
      <c r="S258" s="245">
        <v>14</v>
      </c>
      <c r="T258" s="245">
        <v>15</v>
      </c>
      <c r="U258" s="245">
        <v>16</v>
      </c>
      <c r="V258" s="245">
        <v>17</v>
      </c>
      <c r="W258" s="245">
        <v>18</v>
      </c>
      <c r="X258" s="245">
        <v>19</v>
      </c>
      <c r="Y258" s="245">
        <v>20</v>
      </c>
      <c r="Z258" s="245">
        <v>21</v>
      </c>
      <c r="AA258" s="245">
        <v>22</v>
      </c>
      <c r="AB258" s="245">
        <v>23</v>
      </c>
      <c r="AC258" s="245">
        <v>24</v>
      </c>
      <c r="AD258" s="245">
        <v>25</v>
      </c>
      <c r="AE258" s="245">
        <v>26</v>
      </c>
      <c r="AF258" s="245">
        <v>27</v>
      </c>
      <c r="AG258" s="245">
        <v>28</v>
      </c>
      <c r="AH258" s="245">
        <v>29</v>
      </c>
      <c r="AI258" s="245">
        <v>30</v>
      </c>
      <c r="AJ258" s="245">
        <v>31</v>
      </c>
      <c r="AK258" s="245">
        <v>32</v>
      </c>
      <c r="AL258" s="245">
        <v>33</v>
      </c>
      <c r="AM258" s="245">
        <v>34</v>
      </c>
      <c r="AN258" s="245">
        <v>35</v>
      </c>
      <c r="AO258" s="245">
        <v>36</v>
      </c>
      <c r="AP258" s="245">
        <v>37</v>
      </c>
      <c r="AQ258" s="245">
        <v>38</v>
      </c>
      <c r="AR258" s="245">
        <v>39</v>
      </c>
      <c r="AS258" s="245">
        <v>40</v>
      </c>
      <c r="AT258" s="245">
        <v>41</v>
      </c>
      <c r="AU258" s="245">
        <v>42</v>
      </c>
      <c r="AV258" s="245">
        <v>43</v>
      </c>
      <c r="AW258" s="245">
        <v>44</v>
      </c>
      <c r="AX258" s="245">
        <v>45</v>
      </c>
      <c r="AY258" s="245">
        <v>46</v>
      </c>
      <c r="AZ258" s="245">
        <v>47</v>
      </c>
      <c r="BA258" s="245">
        <v>48</v>
      </c>
      <c r="BB258" s="245">
        <v>49</v>
      </c>
      <c r="BC258" s="245">
        <v>50</v>
      </c>
    </row>
    <row r="259" spans="2:58" s="11" customFormat="1" ht="15" customHeight="1" outlineLevel="1">
      <c r="C259" s="18" t="s">
        <v>286</v>
      </c>
      <c r="D259" s="18" t="s">
        <v>287</v>
      </c>
      <c r="E259" s="162">
        <f t="shared" ref="E259:E266" si="105">SUM(F259:BC259)</f>
        <v>8000000</v>
      </c>
      <c r="F259" s="533">
        <v>0</v>
      </c>
      <c r="G259" s="534">
        <v>0</v>
      </c>
      <c r="H259" s="534">
        <v>0</v>
      </c>
      <c r="I259" s="534">
        <v>0</v>
      </c>
      <c r="J259" s="534">
        <v>150000</v>
      </c>
      <c r="K259" s="534">
        <v>350000</v>
      </c>
      <c r="L259" s="534">
        <v>350000</v>
      </c>
      <c r="M259" s="534">
        <v>350000</v>
      </c>
      <c r="N259" s="534">
        <v>350000</v>
      </c>
      <c r="O259" s="534">
        <v>350000</v>
      </c>
      <c r="P259" s="534">
        <v>350000</v>
      </c>
      <c r="Q259" s="534">
        <v>350000</v>
      </c>
      <c r="R259" s="534">
        <v>350000</v>
      </c>
      <c r="S259" s="534">
        <v>350000</v>
      </c>
      <c r="T259" s="534">
        <v>350000</v>
      </c>
      <c r="U259" s="534">
        <v>350000</v>
      </c>
      <c r="V259" s="534">
        <v>350000</v>
      </c>
      <c r="W259" s="534">
        <v>350000</v>
      </c>
      <c r="X259" s="534">
        <v>350000</v>
      </c>
      <c r="Y259" s="534">
        <v>350000</v>
      </c>
      <c r="Z259" s="534">
        <v>350000</v>
      </c>
      <c r="AA259" s="534">
        <v>350000</v>
      </c>
      <c r="AB259" s="534">
        <v>350000</v>
      </c>
      <c r="AC259" s="534">
        <v>350000</v>
      </c>
      <c r="AD259" s="534">
        <v>350000</v>
      </c>
      <c r="AE259" s="534">
        <v>350000</v>
      </c>
      <c r="AF259" s="534">
        <v>350000</v>
      </c>
      <c r="AG259" s="534">
        <v>150000</v>
      </c>
      <c r="AH259" s="534">
        <v>0</v>
      </c>
      <c r="AI259" s="534">
        <v>0</v>
      </c>
      <c r="AJ259" s="534">
        <v>0</v>
      </c>
      <c r="AK259" s="534">
        <v>0</v>
      </c>
      <c r="AL259" s="534">
        <v>0</v>
      </c>
      <c r="AM259" s="534">
        <v>0</v>
      </c>
      <c r="AN259" s="534">
        <v>0</v>
      </c>
      <c r="AO259" s="534">
        <v>0</v>
      </c>
      <c r="AP259" s="534">
        <v>0</v>
      </c>
      <c r="AQ259" s="534">
        <v>0</v>
      </c>
      <c r="AR259" s="534">
        <v>0</v>
      </c>
      <c r="AS259" s="534">
        <v>0</v>
      </c>
      <c r="AT259" s="534">
        <v>0</v>
      </c>
      <c r="AU259" s="534">
        <v>0</v>
      </c>
      <c r="AV259" s="534">
        <v>0</v>
      </c>
      <c r="AW259" s="534">
        <v>0</v>
      </c>
      <c r="AX259" s="534">
        <v>0</v>
      </c>
      <c r="AY259" s="534">
        <v>0</v>
      </c>
      <c r="AZ259" s="534">
        <v>0</v>
      </c>
      <c r="BA259" s="534">
        <v>0</v>
      </c>
      <c r="BB259" s="534">
        <v>0</v>
      </c>
      <c r="BC259" s="535">
        <v>0</v>
      </c>
    </row>
    <row r="260" spans="2:58" s="11" customFormat="1" ht="15" customHeight="1" outlineLevel="1">
      <c r="C260" s="18" t="s">
        <v>288</v>
      </c>
      <c r="D260" s="18" t="s">
        <v>289</v>
      </c>
      <c r="E260" s="162">
        <f t="shared" si="105"/>
        <v>0</v>
      </c>
      <c r="F260" s="536">
        <v>0</v>
      </c>
      <c r="G260" s="537">
        <v>0</v>
      </c>
      <c r="H260" s="537">
        <v>0</v>
      </c>
      <c r="I260" s="537">
        <v>0</v>
      </c>
      <c r="J260" s="537">
        <v>0</v>
      </c>
      <c r="K260" s="537">
        <v>0</v>
      </c>
      <c r="L260" s="537">
        <v>0</v>
      </c>
      <c r="M260" s="537">
        <v>0</v>
      </c>
      <c r="N260" s="537">
        <v>0</v>
      </c>
      <c r="O260" s="537">
        <v>0</v>
      </c>
      <c r="P260" s="537">
        <v>0</v>
      </c>
      <c r="Q260" s="537">
        <v>0</v>
      </c>
      <c r="R260" s="537">
        <v>0</v>
      </c>
      <c r="S260" s="537">
        <v>0</v>
      </c>
      <c r="T260" s="537">
        <v>0</v>
      </c>
      <c r="U260" s="537">
        <v>0</v>
      </c>
      <c r="V260" s="537">
        <v>0</v>
      </c>
      <c r="W260" s="537">
        <v>0</v>
      </c>
      <c r="X260" s="537">
        <v>0</v>
      </c>
      <c r="Y260" s="537">
        <v>0</v>
      </c>
      <c r="Z260" s="537">
        <v>0</v>
      </c>
      <c r="AA260" s="537">
        <v>0</v>
      </c>
      <c r="AB260" s="537">
        <v>0</v>
      </c>
      <c r="AC260" s="537">
        <v>0</v>
      </c>
      <c r="AD260" s="537">
        <v>0</v>
      </c>
      <c r="AE260" s="537">
        <v>0</v>
      </c>
      <c r="AF260" s="537">
        <v>0</v>
      </c>
      <c r="AG260" s="537">
        <v>0</v>
      </c>
      <c r="AH260" s="537">
        <v>0</v>
      </c>
      <c r="AI260" s="537">
        <v>0</v>
      </c>
      <c r="AJ260" s="537">
        <v>0</v>
      </c>
      <c r="AK260" s="537">
        <v>0</v>
      </c>
      <c r="AL260" s="537">
        <v>0</v>
      </c>
      <c r="AM260" s="537">
        <v>0</v>
      </c>
      <c r="AN260" s="537">
        <v>0</v>
      </c>
      <c r="AO260" s="537">
        <v>0</v>
      </c>
      <c r="AP260" s="537">
        <v>0</v>
      </c>
      <c r="AQ260" s="537">
        <v>0</v>
      </c>
      <c r="AR260" s="537">
        <v>0</v>
      </c>
      <c r="AS260" s="537">
        <v>0</v>
      </c>
      <c r="AT260" s="537">
        <v>0</v>
      </c>
      <c r="AU260" s="537">
        <v>0</v>
      </c>
      <c r="AV260" s="537">
        <v>0</v>
      </c>
      <c r="AW260" s="537">
        <v>0</v>
      </c>
      <c r="AX260" s="537">
        <v>0</v>
      </c>
      <c r="AY260" s="537">
        <v>0</v>
      </c>
      <c r="AZ260" s="537">
        <v>0</v>
      </c>
      <c r="BA260" s="537">
        <v>0</v>
      </c>
      <c r="BB260" s="537">
        <v>0</v>
      </c>
      <c r="BC260" s="538">
        <v>0</v>
      </c>
    </row>
    <row r="261" spans="2:58" s="11" customFormat="1" ht="15" customHeight="1" outlineLevel="1">
      <c r="C261" s="159" t="s">
        <v>290</v>
      </c>
      <c r="D261" s="18" t="s">
        <v>289</v>
      </c>
      <c r="E261" s="162">
        <f t="shared" si="105"/>
        <v>34.850000000000009</v>
      </c>
      <c r="F261" s="536">
        <f t="shared" ref="F261:AB261" si="106">(F259 * 3)/1000000</f>
        <v>0</v>
      </c>
      <c r="G261" s="537">
        <f t="shared" si="106"/>
        <v>0</v>
      </c>
      <c r="H261" s="537">
        <f t="shared" si="106"/>
        <v>0</v>
      </c>
      <c r="I261" s="537">
        <f t="shared" si="106"/>
        <v>0</v>
      </c>
      <c r="J261" s="537">
        <f t="shared" si="106"/>
        <v>0.45</v>
      </c>
      <c r="K261" s="537">
        <f t="shared" si="106"/>
        <v>1.05</v>
      </c>
      <c r="L261" s="537">
        <f t="shared" si="106"/>
        <v>1.05</v>
      </c>
      <c r="M261" s="537">
        <f t="shared" si="106"/>
        <v>1.05</v>
      </c>
      <c r="N261" s="537">
        <f t="shared" si="106"/>
        <v>1.05</v>
      </c>
      <c r="O261" s="537">
        <f t="shared" si="106"/>
        <v>1.05</v>
      </c>
      <c r="P261" s="537">
        <f t="shared" si="106"/>
        <v>1.05</v>
      </c>
      <c r="Q261" s="537">
        <f t="shared" si="106"/>
        <v>1.05</v>
      </c>
      <c r="R261" s="537">
        <f t="shared" si="106"/>
        <v>1.05</v>
      </c>
      <c r="S261" s="537">
        <f t="shared" si="106"/>
        <v>1.05</v>
      </c>
      <c r="T261" s="537">
        <f t="shared" si="106"/>
        <v>1.05</v>
      </c>
      <c r="U261" s="537">
        <f t="shared" si="106"/>
        <v>1.05</v>
      </c>
      <c r="V261" s="537">
        <f t="shared" si="106"/>
        <v>1.05</v>
      </c>
      <c r="W261" s="537">
        <f t="shared" si="106"/>
        <v>1.05</v>
      </c>
      <c r="X261" s="537">
        <f t="shared" si="106"/>
        <v>1.05</v>
      </c>
      <c r="Y261" s="537">
        <f t="shared" si="106"/>
        <v>1.05</v>
      </c>
      <c r="Z261" s="537">
        <f t="shared" si="106"/>
        <v>1.05</v>
      </c>
      <c r="AA261" s="537">
        <f t="shared" si="106"/>
        <v>1.05</v>
      </c>
      <c r="AB261" s="537">
        <f t="shared" si="106"/>
        <v>1.05</v>
      </c>
      <c r="AC261" s="537">
        <f t="shared" ref="AC261:BC261" si="107">(AC259 * 10)/1000000</f>
        <v>3.5</v>
      </c>
      <c r="AD261" s="537">
        <f t="shared" si="107"/>
        <v>3.5</v>
      </c>
      <c r="AE261" s="537">
        <f t="shared" si="107"/>
        <v>3.5</v>
      </c>
      <c r="AF261" s="537">
        <f t="shared" si="107"/>
        <v>3.5</v>
      </c>
      <c r="AG261" s="537">
        <f t="shared" si="107"/>
        <v>1.5</v>
      </c>
      <c r="AH261" s="537">
        <f t="shared" si="107"/>
        <v>0</v>
      </c>
      <c r="AI261" s="537">
        <f t="shared" si="107"/>
        <v>0</v>
      </c>
      <c r="AJ261" s="537">
        <f t="shared" si="107"/>
        <v>0</v>
      </c>
      <c r="AK261" s="537">
        <f t="shared" si="107"/>
        <v>0</v>
      </c>
      <c r="AL261" s="537">
        <f t="shared" si="107"/>
        <v>0</v>
      </c>
      <c r="AM261" s="537">
        <f t="shared" si="107"/>
        <v>0</v>
      </c>
      <c r="AN261" s="537">
        <f t="shared" si="107"/>
        <v>0</v>
      </c>
      <c r="AO261" s="537">
        <f t="shared" si="107"/>
        <v>0</v>
      </c>
      <c r="AP261" s="537">
        <f t="shared" si="107"/>
        <v>0</v>
      </c>
      <c r="AQ261" s="537">
        <f t="shared" si="107"/>
        <v>0</v>
      </c>
      <c r="AR261" s="537">
        <f t="shared" si="107"/>
        <v>0</v>
      </c>
      <c r="AS261" s="537">
        <f t="shared" si="107"/>
        <v>0</v>
      </c>
      <c r="AT261" s="537">
        <f t="shared" si="107"/>
        <v>0</v>
      </c>
      <c r="AU261" s="537">
        <f t="shared" si="107"/>
        <v>0</v>
      </c>
      <c r="AV261" s="537">
        <f t="shared" si="107"/>
        <v>0</v>
      </c>
      <c r="AW261" s="537">
        <f t="shared" si="107"/>
        <v>0</v>
      </c>
      <c r="AX261" s="537">
        <f t="shared" si="107"/>
        <v>0</v>
      </c>
      <c r="AY261" s="537">
        <f t="shared" si="107"/>
        <v>0</v>
      </c>
      <c r="AZ261" s="537">
        <f t="shared" si="107"/>
        <v>0</v>
      </c>
      <c r="BA261" s="537">
        <f t="shared" si="107"/>
        <v>0</v>
      </c>
      <c r="BB261" s="537">
        <f t="shared" si="107"/>
        <v>0</v>
      </c>
      <c r="BC261" s="538">
        <f t="shared" si="107"/>
        <v>0</v>
      </c>
    </row>
    <row r="262" spans="2:58" s="11" customFormat="1" ht="15" customHeight="1" outlineLevel="1">
      <c r="C262" s="18" t="s">
        <v>291</v>
      </c>
      <c r="D262" s="18" t="s">
        <v>289</v>
      </c>
      <c r="E262" s="162">
        <f t="shared" si="105"/>
        <v>20</v>
      </c>
      <c r="F262" s="536">
        <v>10</v>
      </c>
      <c r="G262" s="537">
        <v>10</v>
      </c>
      <c r="H262" s="537">
        <v>0</v>
      </c>
      <c r="I262" s="537">
        <v>0</v>
      </c>
      <c r="J262" s="537">
        <v>0</v>
      </c>
      <c r="K262" s="537">
        <v>0</v>
      </c>
      <c r="L262" s="537">
        <v>0</v>
      </c>
      <c r="M262" s="537">
        <v>0</v>
      </c>
      <c r="N262" s="537">
        <v>0</v>
      </c>
      <c r="O262" s="537">
        <v>0</v>
      </c>
      <c r="P262" s="537">
        <v>0</v>
      </c>
      <c r="Q262" s="537">
        <v>0</v>
      </c>
      <c r="R262" s="537">
        <v>0</v>
      </c>
      <c r="S262" s="537">
        <v>0</v>
      </c>
      <c r="T262" s="537">
        <v>0</v>
      </c>
      <c r="U262" s="537">
        <v>0</v>
      </c>
      <c r="V262" s="537">
        <v>0</v>
      </c>
      <c r="W262" s="537">
        <v>0</v>
      </c>
      <c r="X262" s="537">
        <v>0</v>
      </c>
      <c r="Y262" s="537">
        <v>0</v>
      </c>
      <c r="Z262" s="537">
        <v>0</v>
      </c>
      <c r="AA262" s="537">
        <v>0</v>
      </c>
      <c r="AB262" s="537">
        <v>0</v>
      </c>
      <c r="AC262" s="537">
        <v>0</v>
      </c>
      <c r="AD262" s="537">
        <v>0</v>
      </c>
      <c r="AE262" s="537">
        <v>0</v>
      </c>
      <c r="AF262" s="537">
        <v>0</v>
      </c>
      <c r="AG262" s="537">
        <v>0</v>
      </c>
      <c r="AH262" s="537">
        <v>0</v>
      </c>
      <c r="AI262" s="537">
        <v>0</v>
      </c>
      <c r="AJ262" s="537">
        <v>0</v>
      </c>
      <c r="AK262" s="537">
        <v>0</v>
      </c>
      <c r="AL262" s="537">
        <v>0</v>
      </c>
      <c r="AM262" s="537">
        <v>0</v>
      </c>
      <c r="AN262" s="537">
        <v>0</v>
      </c>
      <c r="AO262" s="537">
        <v>0</v>
      </c>
      <c r="AP262" s="537">
        <v>0</v>
      </c>
      <c r="AQ262" s="537">
        <v>0</v>
      </c>
      <c r="AR262" s="537">
        <v>0</v>
      </c>
      <c r="AS262" s="537">
        <v>0</v>
      </c>
      <c r="AT262" s="537">
        <v>0</v>
      </c>
      <c r="AU262" s="537">
        <v>0</v>
      </c>
      <c r="AV262" s="537">
        <v>0</v>
      </c>
      <c r="AW262" s="537">
        <v>0</v>
      </c>
      <c r="AX262" s="537">
        <v>0</v>
      </c>
      <c r="AY262" s="537">
        <v>0</v>
      </c>
      <c r="AZ262" s="537">
        <v>0</v>
      </c>
      <c r="BA262" s="537">
        <v>0</v>
      </c>
      <c r="BB262" s="537">
        <v>0</v>
      </c>
      <c r="BC262" s="538">
        <v>0</v>
      </c>
    </row>
    <row r="263" spans="2:58" s="11" customFormat="1" ht="15" customHeight="1" outlineLevel="1">
      <c r="C263" s="18" t="s">
        <v>292</v>
      </c>
      <c r="D263" s="18" t="s">
        <v>289</v>
      </c>
      <c r="E263" s="162">
        <f t="shared" si="105"/>
        <v>0</v>
      </c>
      <c r="F263" s="536">
        <v>0</v>
      </c>
      <c r="G263" s="537">
        <v>0</v>
      </c>
      <c r="H263" s="537">
        <v>0</v>
      </c>
      <c r="I263" s="537">
        <v>0</v>
      </c>
      <c r="J263" s="537">
        <v>0</v>
      </c>
      <c r="K263" s="537">
        <v>0</v>
      </c>
      <c r="L263" s="537">
        <v>0</v>
      </c>
      <c r="M263" s="537">
        <v>0</v>
      </c>
      <c r="N263" s="537">
        <v>0</v>
      </c>
      <c r="O263" s="537">
        <v>0</v>
      </c>
      <c r="P263" s="537">
        <v>0</v>
      </c>
      <c r="Q263" s="537">
        <v>0</v>
      </c>
      <c r="R263" s="537">
        <v>0</v>
      </c>
      <c r="S263" s="537">
        <v>0</v>
      </c>
      <c r="T263" s="537">
        <v>0</v>
      </c>
      <c r="U263" s="537">
        <v>0</v>
      </c>
      <c r="V263" s="537">
        <v>0</v>
      </c>
      <c r="W263" s="537">
        <v>0</v>
      </c>
      <c r="X263" s="537">
        <v>0</v>
      </c>
      <c r="Y263" s="537">
        <v>0</v>
      </c>
      <c r="Z263" s="537">
        <v>0</v>
      </c>
      <c r="AA263" s="537">
        <v>0</v>
      </c>
      <c r="AB263" s="537">
        <v>0</v>
      </c>
      <c r="AC263" s="537">
        <v>0</v>
      </c>
      <c r="AD263" s="537">
        <v>0</v>
      </c>
      <c r="AE263" s="537">
        <v>0</v>
      </c>
      <c r="AF263" s="537">
        <v>0</v>
      </c>
      <c r="AG263" s="537">
        <v>0</v>
      </c>
      <c r="AH263" s="537">
        <v>0</v>
      </c>
      <c r="AI263" s="537">
        <v>0</v>
      </c>
      <c r="AJ263" s="537">
        <v>0</v>
      </c>
      <c r="AK263" s="537">
        <v>0</v>
      </c>
      <c r="AL263" s="537">
        <v>0</v>
      </c>
      <c r="AM263" s="537">
        <v>0</v>
      </c>
      <c r="AN263" s="537">
        <v>0</v>
      </c>
      <c r="AO263" s="537">
        <v>0</v>
      </c>
      <c r="AP263" s="537">
        <v>0</v>
      </c>
      <c r="AQ263" s="537">
        <v>0</v>
      </c>
      <c r="AR263" s="537">
        <v>0</v>
      </c>
      <c r="AS263" s="537">
        <v>0</v>
      </c>
      <c r="AT263" s="537">
        <v>0</v>
      </c>
      <c r="AU263" s="537">
        <v>0</v>
      </c>
      <c r="AV263" s="537">
        <v>0</v>
      </c>
      <c r="AW263" s="537">
        <v>0</v>
      </c>
      <c r="AX263" s="537">
        <v>0</v>
      </c>
      <c r="AY263" s="537">
        <v>0</v>
      </c>
      <c r="AZ263" s="537">
        <v>0</v>
      </c>
      <c r="BA263" s="537">
        <v>0</v>
      </c>
      <c r="BB263" s="537">
        <v>0</v>
      </c>
      <c r="BC263" s="538">
        <v>0</v>
      </c>
    </row>
    <row r="264" spans="2:58" s="11" customFormat="1" ht="15" customHeight="1" outlineLevel="1">
      <c r="C264" s="18" t="s">
        <v>293</v>
      </c>
      <c r="D264" s="18" t="s">
        <v>289</v>
      </c>
      <c r="E264" s="162">
        <f>SUM(F264:BC264)</f>
        <v>450</v>
      </c>
      <c r="F264" s="536">
        <v>0</v>
      </c>
      <c r="G264" s="537">
        <v>0</v>
      </c>
      <c r="H264" s="537">
        <v>75</v>
      </c>
      <c r="I264" s="537">
        <v>300</v>
      </c>
      <c r="J264" s="537">
        <v>75</v>
      </c>
      <c r="K264" s="537">
        <v>0</v>
      </c>
      <c r="L264" s="537">
        <v>0</v>
      </c>
      <c r="M264" s="537">
        <v>0</v>
      </c>
      <c r="N264" s="537">
        <v>0</v>
      </c>
      <c r="O264" s="537">
        <v>0</v>
      </c>
      <c r="P264" s="537">
        <v>0</v>
      </c>
      <c r="Q264" s="537">
        <v>0</v>
      </c>
      <c r="R264" s="537">
        <v>0</v>
      </c>
      <c r="S264" s="537">
        <v>0</v>
      </c>
      <c r="T264" s="537">
        <v>0</v>
      </c>
      <c r="U264" s="537">
        <v>0</v>
      </c>
      <c r="V264" s="537">
        <v>0</v>
      </c>
      <c r="W264" s="537">
        <v>0</v>
      </c>
      <c r="X264" s="537">
        <v>0</v>
      </c>
      <c r="Y264" s="537">
        <v>0</v>
      </c>
      <c r="Z264" s="537">
        <v>0</v>
      </c>
      <c r="AA264" s="537">
        <v>0</v>
      </c>
      <c r="AB264" s="537">
        <v>0</v>
      </c>
      <c r="AC264" s="537">
        <v>0</v>
      </c>
      <c r="AD264" s="537">
        <v>0</v>
      </c>
      <c r="AE264" s="537">
        <v>0</v>
      </c>
      <c r="AF264" s="537">
        <v>0</v>
      </c>
      <c r="AG264" s="537">
        <v>0</v>
      </c>
      <c r="AH264" s="537">
        <v>0</v>
      </c>
      <c r="AI264" s="537">
        <v>0</v>
      </c>
      <c r="AJ264" s="537">
        <v>0</v>
      </c>
      <c r="AK264" s="537">
        <v>0</v>
      </c>
      <c r="AL264" s="537">
        <v>0</v>
      </c>
      <c r="AM264" s="537">
        <v>0</v>
      </c>
      <c r="AN264" s="537">
        <v>0</v>
      </c>
      <c r="AO264" s="537">
        <v>0</v>
      </c>
      <c r="AP264" s="537">
        <v>0</v>
      </c>
      <c r="AQ264" s="537">
        <v>0</v>
      </c>
      <c r="AR264" s="537">
        <v>0</v>
      </c>
      <c r="AS264" s="537">
        <v>0</v>
      </c>
      <c r="AT264" s="537">
        <v>0</v>
      </c>
      <c r="AU264" s="537">
        <v>0</v>
      </c>
      <c r="AV264" s="537">
        <v>0</v>
      </c>
      <c r="AW264" s="537">
        <v>0</v>
      </c>
      <c r="AX264" s="537">
        <v>0</v>
      </c>
      <c r="AY264" s="537">
        <v>0</v>
      </c>
      <c r="AZ264" s="537">
        <v>0</v>
      </c>
      <c r="BA264" s="537">
        <v>0</v>
      </c>
      <c r="BB264" s="537">
        <v>0</v>
      </c>
      <c r="BC264" s="538">
        <v>0</v>
      </c>
    </row>
    <row r="265" spans="2:58" s="11" customFormat="1" ht="15" customHeight="1" outlineLevel="1">
      <c r="C265" s="18" t="s">
        <v>294</v>
      </c>
      <c r="D265" s="18" t="s">
        <v>289</v>
      </c>
      <c r="E265" s="162">
        <f>SUM(F265:BC265)</f>
        <v>860</v>
      </c>
      <c r="F265" s="536">
        <v>0</v>
      </c>
      <c r="G265" s="537">
        <v>0</v>
      </c>
      <c r="H265" s="537">
        <v>0</v>
      </c>
      <c r="I265" s="537">
        <v>0</v>
      </c>
      <c r="J265" s="537">
        <v>0</v>
      </c>
      <c r="K265" s="537">
        <v>40</v>
      </c>
      <c r="L265" s="537">
        <v>40</v>
      </c>
      <c r="M265" s="537">
        <v>40</v>
      </c>
      <c r="N265" s="537">
        <v>40</v>
      </c>
      <c r="O265" s="537">
        <v>40</v>
      </c>
      <c r="P265" s="537">
        <v>40</v>
      </c>
      <c r="Q265" s="537">
        <v>40</v>
      </c>
      <c r="R265" s="537">
        <v>40</v>
      </c>
      <c r="S265" s="537">
        <v>40</v>
      </c>
      <c r="T265" s="537">
        <v>40</v>
      </c>
      <c r="U265" s="537">
        <v>40</v>
      </c>
      <c r="V265" s="537">
        <v>40</v>
      </c>
      <c r="W265" s="537">
        <v>40</v>
      </c>
      <c r="X265" s="537">
        <v>40</v>
      </c>
      <c r="Y265" s="537">
        <v>40</v>
      </c>
      <c r="Z265" s="537">
        <v>40</v>
      </c>
      <c r="AA265" s="537">
        <v>40</v>
      </c>
      <c r="AB265" s="537">
        <v>40</v>
      </c>
      <c r="AC265" s="537">
        <v>40</v>
      </c>
      <c r="AD265" s="537">
        <v>40</v>
      </c>
      <c r="AE265" s="537">
        <v>40</v>
      </c>
      <c r="AF265" s="537">
        <v>20</v>
      </c>
      <c r="AG265" s="537">
        <v>0</v>
      </c>
      <c r="AH265" s="537">
        <v>0</v>
      </c>
      <c r="AI265" s="537">
        <v>0</v>
      </c>
      <c r="AJ265" s="537">
        <v>0</v>
      </c>
      <c r="AK265" s="537">
        <v>0</v>
      </c>
      <c r="AL265" s="537">
        <v>0</v>
      </c>
      <c r="AM265" s="537">
        <v>0</v>
      </c>
      <c r="AN265" s="537">
        <v>0</v>
      </c>
      <c r="AO265" s="537">
        <v>0</v>
      </c>
      <c r="AP265" s="537">
        <v>0</v>
      </c>
      <c r="AQ265" s="537">
        <v>0</v>
      </c>
      <c r="AR265" s="537">
        <v>0</v>
      </c>
      <c r="AS265" s="537">
        <v>0</v>
      </c>
      <c r="AT265" s="537">
        <v>0</v>
      </c>
      <c r="AU265" s="537">
        <v>0</v>
      </c>
      <c r="AV265" s="537">
        <v>0</v>
      </c>
      <c r="AW265" s="537">
        <v>0</v>
      </c>
      <c r="AX265" s="537">
        <v>0</v>
      </c>
      <c r="AY265" s="537">
        <v>0</v>
      </c>
      <c r="AZ265" s="537">
        <v>0</v>
      </c>
      <c r="BA265" s="537">
        <v>0</v>
      </c>
      <c r="BB265" s="537">
        <v>0</v>
      </c>
      <c r="BC265" s="538">
        <v>0</v>
      </c>
    </row>
    <row r="266" spans="2:58" s="11" customFormat="1" ht="15" customHeight="1" outlineLevel="1">
      <c r="C266" s="18" t="s">
        <v>295</v>
      </c>
      <c r="D266" s="18" t="s">
        <v>289</v>
      </c>
      <c r="E266" s="162">
        <f t="shared" si="105"/>
        <v>15</v>
      </c>
      <c r="F266" s="539">
        <v>0</v>
      </c>
      <c r="G266" s="540">
        <v>0</v>
      </c>
      <c r="H266" s="540">
        <v>0</v>
      </c>
      <c r="I266" s="540">
        <v>0</v>
      </c>
      <c r="J266" s="540">
        <v>0</v>
      </c>
      <c r="K266" s="540">
        <v>0</v>
      </c>
      <c r="L266" s="540">
        <v>0</v>
      </c>
      <c r="M266" s="540">
        <v>0</v>
      </c>
      <c r="N266" s="540">
        <v>0</v>
      </c>
      <c r="O266" s="540">
        <v>0</v>
      </c>
      <c r="P266" s="540">
        <v>0</v>
      </c>
      <c r="Q266" s="540">
        <v>0</v>
      </c>
      <c r="R266" s="540">
        <v>0</v>
      </c>
      <c r="S266" s="540">
        <v>0</v>
      </c>
      <c r="T266" s="540">
        <v>0</v>
      </c>
      <c r="U266" s="540">
        <v>0</v>
      </c>
      <c r="V266" s="540">
        <v>0</v>
      </c>
      <c r="W266" s="540">
        <v>0</v>
      </c>
      <c r="X266" s="540">
        <v>0</v>
      </c>
      <c r="Y266" s="540">
        <v>0</v>
      </c>
      <c r="Z266" s="540">
        <v>0</v>
      </c>
      <c r="AA266" s="540">
        <v>0</v>
      </c>
      <c r="AB266" s="540">
        <v>0</v>
      </c>
      <c r="AC266" s="540">
        <v>0</v>
      </c>
      <c r="AD266" s="540">
        <v>0</v>
      </c>
      <c r="AE266" s="540">
        <v>0</v>
      </c>
      <c r="AF266" s="540">
        <v>0</v>
      </c>
      <c r="AG266" s="540">
        <v>0</v>
      </c>
      <c r="AH266" s="540">
        <v>15</v>
      </c>
      <c r="AI266" s="540">
        <v>0</v>
      </c>
      <c r="AJ266" s="540">
        <v>0</v>
      </c>
      <c r="AK266" s="540">
        <v>0</v>
      </c>
      <c r="AL266" s="540">
        <v>0</v>
      </c>
      <c r="AM266" s="540">
        <v>0</v>
      </c>
      <c r="AN266" s="540">
        <v>0</v>
      </c>
      <c r="AO266" s="540">
        <v>0</v>
      </c>
      <c r="AP266" s="540">
        <v>0</v>
      </c>
      <c r="AQ266" s="540">
        <v>0</v>
      </c>
      <c r="AR266" s="540">
        <v>0</v>
      </c>
      <c r="AS266" s="540">
        <v>0</v>
      </c>
      <c r="AT266" s="540">
        <v>0</v>
      </c>
      <c r="AU266" s="540">
        <v>0</v>
      </c>
      <c r="AV266" s="540">
        <v>0</v>
      </c>
      <c r="AW266" s="540">
        <v>0</v>
      </c>
      <c r="AX266" s="540">
        <v>0</v>
      </c>
      <c r="AY266" s="540">
        <v>0</v>
      </c>
      <c r="AZ266" s="540">
        <v>0</v>
      </c>
      <c r="BA266" s="540">
        <v>0</v>
      </c>
      <c r="BB266" s="540">
        <v>0</v>
      </c>
      <c r="BC266" s="541">
        <v>0</v>
      </c>
    </row>
    <row r="267" spans="2:58" s="11" customFormat="1" ht="15" customHeight="1" outlineLevel="1">
      <c r="C267" s="18" t="s">
        <v>296</v>
      </c>
      <c r="D267" s="18" t="s">
        <v>30</v>
      </c>
      <c r="E267" s="542">
        <v>0</v>
      </c>
      <c r="F267" s="162"/>
      <c r="G267" s="162"/>
      <c r="H267" s="162"/>
      <c r="I267" s="162"/>
      <c r="J267" s="162"/>
      <c r="K267" s="162"/>
      <c r="L267" s="162"/>
      <c r="M267" s="162"/>
      <c r="N267" s="162"/>
      <c r="O267" s="162"/>
      <c r="P267" s="162"/>
      <c r="Q267" s="162"/>
      <c r="R267" s="162"/>
      <c r="S267" s="162"/>
      <c r="T267" s="162"/>
      <c r="U267" s="162"/>
      <c r="V267" s="18"/>
      <c r="W267" s="18"/>
      <c r="X267" s="18"/>
      <c r="Y267" s="18"/>
      <c r="Z267" s="18"/>
      <c r="AA267" s="18"/>
      <c r="AB267" s="18"/>
      <c r="AC267" s="235"/>
      <c r="AD267" s="235"/>
      <c r="AE267" s="235"/>
      <c r="AF267" s="235"/>
      <c r="AG267" s="235"/>
      <c r="AH267" s="235"/>
      <c r="AI267" s="235"/>
      <c r="AJ267" s="235"/>
      <c r="AK267" s="235"/>
      <c r="AL267" s="235"/>
      <c r="AM267" s="235"/>
      <c r="AN267" s="235"/>
      <c r="AO267" s="235"/>
      <c r="AP267" s="235"/>
      <c r="AQ267" s="235"/>
      <c r="AR267" s="235"/>
      <c r="AS267" s="235"/>
      <c r="AT267" s="235"/>
      <c r="AU267" s="235"/>
      <c r="AV267" s="235"/>
      <c r="AW267" s="235"/>
      <c r="AX267" s="235"/>
      <c r="AY267" s="235"/>
      <c r="AZ267" s="235"/>
      <c r="BA267" s="235"/>
      <c r="BB267" s="235"/>
      <c r="BC267" s="235"/>
    </row>
    <row r="268" spans="2:58" s="11" customFormat="1" ht="15" customHeight="1" outlineLevel="1">
      <c r="C268" s="18" t="s">
        <v>297</v>
      </c>
      <c r="D268" s="18" t="s">
        <v>298</v>
      </c>
      <c r="E268" s="543">
        <v>700</v>
      </c>
      <c r="F268" s="162"/>
      <c r="G268" s="162"/>
      <c r="H268" s="162"/>
      <c r="I268" s="105"/>
      <c r="J268" s="105"/>
      <c r="K268" s="105"/>
      <c r="L268" s="105"/>
      <c r="M268" s="162"/>
      <c r="N268" s="162"/>
      <c r="O268" s="162"/>
      <c r="P268" s="162"/>
      <c r="Q268" s="162"/>
      <c r="R268" s="162"/>
      <c r="S268" s="162"/>
      <c r="T268" s="162"/>
      <c r="U268" s="162"/>
      <c r="V268" s="18"/>
      <c r="W268" s="18"/>
      <c r="X268" s="18"/>
      <c r="Y268" s="18"/>
      <c r="Z268" s="18"/>
      <c r="AA268" s="18"/>
      <c r="AB268" s="18"/>
      <c r="AC268" s="235"/>
      <c r="AD268" s="235"/>
      <c r="AE268" s="235"/>
      <c r="AF268" s="235"/>
      <c r="AG268" s="235"/>
      <c r="AH268" s="235"/>
      <c r="AI268" s="235"/>
      <c r="AJ268" s="235"/>
      <c r="AK268" s="235"/>
      <c r="AL268" s="235"/>
      <c r="AM268" s="235"/>
      <c r="AN268" s="235"/>
      <c r="AO268" s="235"/>
      <c r="AP268" s="235"/>
      <c r="AQ268" s="235"/>
      <c r="AR268" s="235"/>
      <c r="AS268" s="235"/>
      <c r="AT268" s="235"/>
      <c r="AU268" s="235"/>
      <c r="AV268" s="235"/>
      <c r="AW268" s="235"/>
      <c r="AX268" s="235"/>
      <c r="AY268" s="235"/>
      <c r="AZ268" s="235"/>
      <c r="BA268" s="235"/>
      <c r="BB268" s="235"/>
      <c r="BC268" s="235"/>
    </row>
    <row r="269" spans="2:58" s="11" customFormat="1" ht="15" customHeight="1" outlineLevel="1">
      <c r="C269" s="18"/>
      <c r="D269" s="18"/>
      <c r="E269" s="113"/>
      <c r="F269" s="47"/>
      <c r="V269" s="235"/>
      <c r="W269" s="235"/>
      <c r="X269" s="235"/>
      <c r="Y269" s="235"/>
      <c r="Z269" s="235"/>
      <c r="AA269" s="235"/>
      <c r="AB269" s="235"/>
      <c r="AC269" s="235"/>
      <c r="AD269" s="235"/>
      <c r="AE269" s="235"/>
      <c r="AF269" s="235"/>
      <c r="AG269" s="235"/>
      <c r="AH269" s="235"/>
      <c r="AI269" s="235"/>
      <c r="AJ269" s="235"/>
      <c r="AK269" s="235"/>
      <c r="AL269" s="235"/>
      <c r="AM269" s="235"/>
      <c r="AN269" s="235"/>
      <c r="AO269" s="235"/>
      <c r="AP269" s="235"/>
      <c r="AQ269" s="235"/>
      <c r="AR269" s="235"/>
      <c r="AS269" s="235"/>
      <c r="AT269" s="235"/>
      <c r="AU269" s="235"/>
      <c r="AV269" s="235"/>
      <c r="AW269" s="235"/>
      <c r="AX269" s="235"/>
      <c r="AY269" s="235"/>
      <c r="AZ269" s="235"/>
      <c r="BA269" s="235"/>
      <c r="BB269" s="235"/>
      <c r="BC269" s="235"/>
    </row>
    <row r="270" spans="2:58" s="11" customFormat="1" ht="23" customHeight="1">
      <c r="C270" s="547" t="s">
        <v>301</v>
      </c>
      <c r="D270" s="490"/>
      <c r="E270" s="490"/>
      <c r="F270" s="490"/>
      <c r="G270" s="490"/>
      <c r="H270" s="490"/>
      <c r="I270" s="490"/>
      <c r="J270" s="490"/>
      <c r="K270" s="490"/>
      <c r="L270" s="490"/>
      <c r="M270" s="490"/>
      <c r="N270" s="490"/>
      <c r="O270" s="490"/>
      <c r="P270" s="490"/>
      <c r="Q270" s="490"/>
      <c r="R270" s="490"/>
      <c r="S270" s="490"/>
      <c r="T270" s="490"/>
      <c r="U270" s="490"/>
      <c r="V270" s="490"/>
      <c r="W270" s="490"/>
      <c r="X270" s="490"/>
      <c r="Y270" s="490"/>
      <c r="Z270" s="490"/>
      <c r="AA270" s="490"/>
      <c r="AB270" s="490"/>
      <c r="AC270" s="490"/>
      <c r="AD270" s="490"/>
      <c r="AE270" s="490"/>
      <c r="AF270" s="490"/>
      <c r="AG270" s="490"/>
      <c r="AH270" s="490"/>
      <c r="AI270" s="490"/>
      <c r="AJ270" s="490"/>
      <c r="AK270" s="490"/>
      <c r="AL270" s="490"/>
      <c r="AM270" s="490"/>
      <c r="AN270" s="490"/>
      <c r="AO270" s="490"/>
      <c r="AP270" s="490"/>
      <c r="AQ270" s="490"/>
      <c r="AR270" s="490"/>
      <c r="AS270" s="490"/>
      <c r="AT270" s="490"/>
      <c r="AU270" s="490"/>
      <c r="AV270" s="490"/>
      <c r="AW270" s="490"/>
      <c r="AX270" s="490"/>
      <c r="AY270" s="490"/>
      <c r="AZ270" s="490"/>
      <c r="BA270" s="490"/>
      <c r="BB270" s="490"/>
      <c r="BC270" s="490"/>
      <c r="BD270" s="530"/>
      <c r="BE270" s="530"/>
      <c r="BF270" s="530"/>
    </row>
    <row r="271" spans="2:58" s="11" customFormat="1" ht="15" customHeight="1"/>
    <row r="272" spans="2:58" s="11" customFormat="1" ht="12.5">
      <c r="B272" s="17"/>
      <c r="C272" s="177" t="s">
        <v>302</v>
      </c>
      <c r="D272" s="180" t="s">
        <v>30</v>
      </c>
      <c r="E272" s="497">
        <v>0.5</v>
      </c>
    </row>
    <row r="273" spans="2:5" s="11" customFormat="1" ht="12.5">
      <c r="B273" s="17"/>
      <c r="C273" s="15" t="s">
        <v>303</v>
      </c>
      <c r="D273" s="122" t="s">
        <v>30</v>
      </c>
      <c r="E273" s="497">
        <v>0.75</v>
      </c>
    </row>
    <row r="274" spans="2:5" s="11" customFormat="1" ht="12.5">
      <c r="B274" s="17"/>
      <c r="C274" s="177" t="s">
        <v>304</v>
      </c>
      <c r="D274" s="180" t="s">
        <v>30</v>
      </c>
      <c r="E274" s="497">
        <v>0.5</v>
      </c>
    </row>
    <row r="275" spans="2:5" s="11" customFormat="1" ht="12.5">
      <c r="B275" s="17"/>
      <c r="C275" s="15" t="s">
        <v>305</v>
      </c>
      <c r="D275" s="122" t="s">
        <v>30</v>
      </c>
      <c r="E275" s="497">
        <v>1</v>
      </c>
    </row>
    <row r="276" spans="2:5" s="11" customFormat="1" ht="12.5">
      <c r="B276" s="17"/>
      <c r="C276" s="15" t="s">
        <v>306</v>
      </c>
      <c r="D276" s="122" t="s">
        <v>30</v>
      </c>
      <c r="E276" s="497">
        <v>0.2</v>
      </c>
    </row>
    <row r="277" spans="2:5" s="11" customFormat="1" ht="12.5">
      <c r="B277" s="17"/>
      <c r="C277" s="42"/>
      <c r="E277" s="342"/>
    </row>
    <row r="278" spans="2:5">
      <c r="B278" s="423"/>
      <c r="C278" s="143" t="s">
        <v>307</v>
      </c>
      <c r="D278" s="331" t="s">
        <v>30</v>
      </c>
      <c r="E278" s="497">
        <v>0</v>
      </c>
    </row>
    <row r="279" spans="2:5">
      <c r="B279" s="423"/>
    </row>
    <row r="280" spans="2:5">
      <c r="B280" s="423"/>
    </row>
    <row r="281" spans="2:5">
      <c r="B281" s="423"/>
    </row>
    <row r="282" spans="2:5">
      <c r="B282" s="423"/>
    </row>
    <row r="283" spans="2:5">
      <c r="B283" s="423"/>
    </row>
    <row r="284" spans="2:5">
      <c r="B284" s="423"/>
    </row>
    <row r="285" spans="2:5">
      <c r="B285" s="423"/>
    </row>
    <row r="286" spans="2:5">
      <c r="B286" s="423"/>
    </row>
    <row r="287" spans="2:5">
      <c r="B287" s="423"/>
    </row>
    <row r="288" spans="2:5">
      <c r="B288" s="423"/>
    </row>
    <row r="289" spans="2:2">
      <c r="B289" s="423"/>
    </row>
    <row r="290" spans="2:2">
      <c r="B290" s="423"/>
    </row>
    <row r="291" spans="2:2">
      <c r="B291" s="423"/>
    </row>
    <row r="292" spans="2:2">
      <c r="B292" s="423"/>
    </row>
    <row r="293" spans="2:2">
      <c r="B293" s="423"/>
    </row>
    <row r="294" spans="2:2">
      <c r="B294" s="423"/>
    </row>
    <row r="295" spans="2:2">
      <c r="B295" s="423"/>
    </row>
    <row r="296" spans="2:2">
      <c r="B296" s="423"/>
    </row>
    <row r="297" spans="2:2">
      <c r="B297" s="423"/>
    </row>
    <row r="298" spans="2:2">
      <c r="B298" s="423"/>
    </row>
    <row r="299" spans="2:2">
      <c r="B299" s="423"/>
    </row>
    <row r="300" spans="2:2">
      <c r="B300" s="423"/>
    </row>
    <row r="301" spans="2:2">
      <c r="B301" s="423"/>
    </row>
    <row r="302" spans="2:2">
      <c r="B302" s="423"/>
    </row>
    <row r="303" spans="2:2">
      <c r="B303" s="423"/>
    </row>
    <row r="304" spans="2:2">
      <c r="B304" s="423"/>
    </row>
    <row r="305" spans="2:2">
      <c r="B305" s="423"/>
    </row>
    <row r="306" spans="2:2">
      <c r="B306" s="423"/>
    </row>
    <row r="307" spans="2:2">
      <c r="B307" s="423"/>
    </row>
    <row r="308" spans="2:2">
      <c r="B308" s="423"/>
    </row>
    <row r="309" spans="2:2">
      <c r="B309" s="423"/>
    </row>
    <row r="310" spans="2:2">
      <c r="B310" s="423"/>
    </row>
    <row r="311" spans="2:2">
      <c r="B311" s="423"/>
    </row>
    <row r="312" spans="2:2">
      <c r="B312" s="423"/>
    </row>
    <row r="313" spans="2:2">
      <c r="B313" s="423"/>
    </row>
    <row r="314" spans="2:2">
      <c r="B314" s="423"/>
    </row>
    <row r="315" spans="2:2">
      <c r="B315" s="423"/>
    </row>
    <row r="316" spans="2:2">
      <c r="B316" s="423"/>
    </row>
    <row r="317" spans="2:2">
      <c r="B317" s="423"/>
    </row>
    <row r="318" spans="2:2">
      <c r="B318" s="423"/>
    </row>
    <row r="319" spans="2:2">
      <c r="B319" s="423"/>
    </row>
    <row r="320" spans="2:2">
      <c r="B320" s="423"/>
    </row>
    <row r="321" spans="2:2">
      <c r="B321" s="423"/>
    </row>
    <row r="322" spans="2:2">
      <c r="B322" s="423"/>
    </row>
    <row r="323" spans="2:2">
      <c r="B323" s="423"/>
    </row>
    <row r="324" spans="2:2">
      <c r="B324" s="423"/>
    </row>
    <row r="325" spans="2:2">
      <c r="B325" s="423"/>
    </row>
    <row r="326" spans="2:2">
      <c r="B326" s="423"/>
    </row>
    <row r="327" spans="2:2">
      <c r="B327" s="423"/>
    </row>
    <row r="328" spans="2:2">
      <c r="B328" s="423"/>
    </row>
    <row r="329" spans="2:2">
      <c r="B329" s="423"/>
    </row>
    <row r="330" spans="2:2">
      <c r="B330" s="423"/>
    </row>
    <row r="331" spans="2:2">
      <c r="B331" s="423"/>
    </row>
    <row r="332" spans="2:2">
      <c r="B332" s="423"/>
    </row>
    <row r="333" spans="2:2"/>
    <row r="334" spans="2:2"/>
    <row r="335" spans="2:2"/>
    <row r="336" spans="2:2"/>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ht="15" customHeight="1"/>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sheetData>
  <mergeCells count="43">
    <mergeCell ref="U131:V131"/>
    <mergeCell ref="AM145:AN145"/>
    <mergeCell ref="AK145:AL145"/>
    <mergeCell ref="AG163:AH163"/>
    <mergeCell ref="AI163:AJ163"/>
    <mergeCell ref="AK163:AL163"/>
    <mergeCell ref="AM163:AN163"/>
    <mergeCell ref="AG145:AH145"/>
    <mergeCell ref="AI145:AJ145"/>
    <mergeCell ref="AC145:AD145"/>
    <mergeCell ref="AE145:AF145"/>
    <mergeCell ref="AA163:AB163"/>
    <mergeCell ref="AC163:AD163"/>
    <mergeCell ref="AE163:AF163"/>
    <mergeCell ref="M145:N145"/>
    <mergeCell ref="K163:L163"/>
    <mergeCell ref="O163:P163"/>
    <mergeCell ref="O131:P131"/>
    <mergeCell ref="Q131:R131"/>
    <mergeCell ref="E217:F217"/>
    <mergeCell ref="G145:H145"/>
    <mergeCell ref="I145:J145"/>
    <mergeCell ref="C217:D217"/>
    <mergeCell ref="G131:H131"/>
    <mergeCell ref="I131:J131"/>
    <mergeCell ref="G163:H163"/>
    <mergeCell ref="I163:J163"/>
    <mergeCell ref="C14:D14"/>
    <mergeCell ref="M131:N131"/>
    <mergeCell ref="S131:T131"/>
    <mergeCell ref="Q163:R163"/>
    <mergeCell ref="AA145:AB145"/>
    <mergeCell ref="Q145:R145"/>
    <mergeCell ref="U145:V145"/>
    <mergeCell ref="S145:T145"/>
    <mergeCell ref="S163:T163"/>
    <mergeCell ref="Y145:Z145"/>
    <mergeCell ref="U163:V163"/>
    <mergeCell ref="Y163:Z163"/>
    <mergeCell ref="K145:L145"/>
    <mergeCell ref="K131:L131"/>
    <mergeCell ref="O145:P145"/>
    <mergeCell ref="M163:N163"/>
  </mergeCells>
  <phoneticPr fontId="228" type="noConversion"/>
  <dataValidations count="4">
    <dataValidation type="list" allowBlank="1" showInputMessage="1" showErrorMessage="1" sqref="E14" xr:uid="{00000000-0002-0000-0200-000000000000}">
      <formula1>$G$14:$Q$14</formula1>
    </dataValidation>
    <dataValidation type="list" allowBlank="1" showInputMessage="1" showErrorMessage="1" sqref="AN66:BB66 BF66:BG66 AE66:AF66" xr:uid="{00000000-0002-0000-0200-000001000000}">
      <formula1>"yes, no"</formula1>
    </dataValidation>
    <dataValidation type="list" allowBlank="1" showInputMessage="1" showErrorMessage="1" sqref="AB30:BG30" xr:uid="{00000000-0002-0000-0200-000002000000}">
      <formula1>"gross, net"</formula1>
    </dataValidation>
    <dataValidation type="list" allowBlank="1" showInputMessage="1" showErrorMessage="1" sqref="AB47:BG49" xr:uid="{00000000-0002-0000-0200-000003000000}">
      <formula1>"immediate, deferred"</formula1>
    </dataValidation>
  </dataValidations>
  <hyperlinks>
    <hyperlink ref="V102" r:id="rId1" xr:uid="{00000000-0004-0000-0200-000002000000}"/>
    <hyperlink ref="V100" r:id="rId2" location="country" xr:uid="{6F76B347-DFC3-458E-9482-7D9F1817B4BB}"/>
    <hyperlink ref="V101" r:id="rId3" display="https://taxreform.dof.gov.ph/tax-reform-packages/package-2plus-mining-taxes/" xr:uid="{4F21C6DA-E350-4EC6-B08E-EAADACB5E7DD}"/>
    <hyperlink ref="V99" r:id="rId4" xr:uid="{5BD8A888-9077-4C8B-AA2A-7F6F87779BA1}"/>
    <hyperlink ref="AE99" r:id="rId5" location="country" display="https://www.ey.com/gl/en/services/tax/international-tax/tax-alert-library#country" xr:uid="{97677D33-482C-447B-AB60-56607B4C4A72}"/>
    <hyperlink ref="AE100" r:id="rId6" display="https://taxreform.dof.gov.ph/tax-reform-packages/package-2plus-mining-taxes/" xr:uid="{AD1DB279-B934-4736-9E65-0729EA31C796}"/>
  </hyperlinks>
  <pageMargins left="0.7" right="0.7" top="0.75" bottom="0.75" header="0.3" footer="0.3"/>
  <pageSetup orientation="portrait" r:id="rId7"/>
  <drawing r:id="rId8"/>
  <legacyDrawing r:id="rId9"/>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4000000}">
          <x14:formula1>
            <xm:f>Lists!$B$3:$B$6</xm:f>
          </x14:formula1>
          <xm:sqref>C8 C6</xm:sqref>
        </x14:dataValidation>
        <x14:dataValidation type="list" allowBlank="1" showInputMessage="1" showErrorMessage="1" xr:uid="{00000000-0002-0000-0200-000005000000}">
          <x14:formula1>
            <xm:f>Lists!$D$3:$D$5</xm:f>
          </x14:formula1>
          <xm:sqref>E217:F217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C5325D"/>
    <pageSetUpPr fitToPage="1"/>
  </sheetPr>
  <dimension ref="A1:XFD2265"/>
  <sheetViews>
    <sheetView showGridLines="0" zoomScale="50" zoomScaleNormal="50" workbookViewId="0">
      <pane xSplit="5" topLeftCell="F1" activePane="topRight" state="frozen"/>
      <selection activeCell="A334" sqref="A334"/>
      <selection pane="topRight" activeCell="B30" sqref="B30"/>
    </sheetView>
  </sheetViews>
  <sheetFormatPr defaultColWidth="0" defaultRowHeight="0" customHeight="1" zeroHeight="1"/>
  <cols>
    <col min="1" max="1" width="10.1796875" style="10" customWidth="1"/>
    <col min="2" max="2" width="32.453125" style="11" customWidth="1"/>
    <col min="3" max="3" width="11" style="11" customWidth="1"/>
    <col min="4" max="4" width="97.453125" style="11" customWidth="1"/>
    <col min="5" max="5" width="21" style="11" customWidth="1"/>
    <col min="6" max="6" width="17.453125" style="11" customWidth="1"/>
    <col min="7" max="56" width="16.54296875" style="11" customWidth="1"/>
    <col min="57" max="57" width="10.81640625" style="11" customWidth="1"/>
    <col min="58" max="16383" width="10.81640625" style="132" hidden="1"/>
    <col min="16384" max="16384" width="12" style="132" hidden="1"/>
  </cols>
  <sheetData>
    <row r="1" spans="1:57" ht="13" customHeight="1">
      <c r="A1" s="472"/>
      <c r="B1" s="473"/>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4"/>
      <c r="AC1" s="474"/>
      <c r="AD1" s="474"/>
      <c r="AE1" s="474"/>
      <c r="AF1" s="474"/>
      <c r="AG1" s="474"/>
      <c r="AH1" s="474"/>
      <c r="AI1" s="474"/>
      <c r="AJ1" s="474"/>
      <c r="AK1" s="474"/>
      <c r="AL1" s="474"/>
      <c r="AM1" s="474"/>
      <c r="AN1" s="474"/>
      <c r="AO1" s="474"/>
      <c r="AP1" s="474"/>
      <c r="AQ1" s="474"/>
      <c r="AR1" s="474"/>
      <c r="AS1" s="474"/>
      <c r="AT1" s="474"/>
      <c r="AU1" s="474"/>
      <c r="AV1" s="474"/>
      <c r="AW1" s="474"/>
      <c r="AX1" s="474"/>
      <c r="AY1" s="474"/>
      <c r="AZ1" s="474"/>
      <c r="BA1" s="474"/>
      <c r="BB1" s="474"/>
      <c r="BC1" s="474"/>
      <c r="BD1" s="474"/>
      <c r="BE1" s="474"/>
    </row>
    <row r="2" spans="1:57" ht="40" customHeight="1">
      <c r="A2" s="472"/>
      <c r="B2" s="475" t="s">
        <v>7</v>
      </c>
      <c r="C2" s="474"/>
      <c r="D2" s="474"/>
      <c r="E2" s="474"/>
      <c r="F2" s="474"/>
      <c r="G2" s="474"/>
      <c r="H2" s="474"/>
      <c r="I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c r="AL2" s="474"/>
      <c r="AM2" s="474"/>
      <c r="AN2" s="474"/>
      <c r="AO2" s="474"/>
      <c r="AP2" s="474"/>
      <c r="AQ2" s="474"/>
      <c r="AR2" s="474"/>
      <c r="AS2" s="474"/>
      <c r="AT2" s="474"/>
      <c r="AU2" s="474"/>
      <c r="AV2" s="474"/>
      <c r="AW2" s="474"/>
      <c r="AX2" s="474"/>
      <c r="AY2" s="474"/>
      <c r="AZ2" s="474"/>
      <c r="BA2" s="474"/>
      <c r="BB2" s="474"/>
      <c r="BC2" s="474"/>
      <c r="BD2" s="474"/>
      <c r="BE2" s="474"/>
    </row>
    <row r="3" spans="1:57" ht="13" customHeight="1">
      <c r="A3" s="472"/>
      <c r="B3" s="473"/>
      <c r="C3" s="474"/>
      <c r="D3" s="474"/>
      <c r="E3" s="474"/>
      <c r="F3" s="474"/>
      <c r="G3" s="474"/>
      <c r="H3" s="474"/>
      <c r="I3" s="474"/>
      <c r="J3" s="474"/>
      <c r="K3" s="474"/>
      <c r="L3" s="474"/>
      <c r="M3" s="474"/>
      <c r="N3" s="474"/>
      <c r="O3" s="474"/>
      <c r="P3" s="474"/>
      <c r="Q3" s="474"/>
      <c r="R3" s="474"/>
      <c r="S3" s="474"/>
      <c r="T3" s="474"/>
      <c r="U3" s="474"/>
      <c r="V3" s="474"/>
      <c r="W3" s="474"/>
      <c r="X3" s="474"/>
      <c r="Y3" s="474"/>
      <c r="Z3" s="474"/>
      <c r="AA3" s="474"/>
      <c r="AB3" s="474"/>
      <c r="AC3" s="474"/>
      <c r="AD3" s="474"/>
      <c r="AE3" s="474"/>
      <c r="AF3" s="474"/>
      <c r="AG3" s="474"/>
      <c r="AH3" s="474"/>
      <c r="AI3" s="474"/>
      <c r="AJ3" s="474"/>
      <c r="AK3" s="474"/>
      <c r="AL3" s="474"/>
      <c r="AM3" s="474"/>
      <c r="AN3" s="474"/>
      <c r="AO3" s="474"/>
      <c r="AP3" s="474"/>
      <c r="AQ3" s="474"/>
      <c r="AR3" s="474"/>
      <c r="AS3" s="474"/>
      <c r="AT3" s="474"/>
      <c r="AU3" s="474"/>
      <c r="AV3" s="474"/>
      <c r="AW3" s="474"/>
      <c r="AX3" s="474"/>
      <c r="AY3" s="474"/>
      <c r="AZ3" s="474"/>
      <c r="BA3" s="474"/>
      <c r="BB3" s="474"/>
      <c r="BC3" s="474"/>
      <c r="BD3" s="474"/>
      <c r="BE3" s="474"/>
    </row>
    <row r="4" spans="1:57" ht="12.5"/>
    <row r="5" spans="1:57" s="136" customFormat="1" ht="27" customHeight="1">
      <c r="A5" s="271" t="s">
        <v>308</v>
      </c>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row>
    <row r="6" spans="1:57" s="136" customFormat="1" ht="13">
      <c r="A6" s="272" t="b">
        <f>AND(A$9:A$1048576)</f>
        <v>1</v>
      </c>
      <c r="B6" s="9"/>
      <c r="C6" s="11"/>
      <c r="D6" s="463"/>
      <c r="E6" s="463" t="s">
        <v>19</v>
      </c>
      <c r="F6" s="463"/>
      <c r="G6" s="544">
        <v>1</v>
      </c>
      <c r="H6" s="544">
        <f t="shared" ref="H6:AM6" si="0">G6+1</f>
        <v>2</v>
      </c>
      <c r="I6" s="544">
        <f t="shared" si="0"/>
        <v>3</v>
      </c>
      <c r="J6" s="544">
        <f t="shared" si="0"/>
        <v>4</v>
      </c>
      <c r="K6" s="544">
        <f t="shared" si="0"/>
        <v>5</v>
      </c>
      <c r="L6" s="544">
        <f t="shared" si="0"/>
        <v>6</v>
      </c>
      <c r="M6" s="544">
        <f t="shared" si="0"/>
        <v>7</v>
      </c>
      <c r="N6" s="544">
        <f t="shared" si="0"/>
        <v>8</v>
      </c>
      <c r="O6" s="544">
        <f t="shared" si="0"/>
        <v>9</v>
      </c>
      <c r="P6" s="544">
        <f t="shared" si="0"/>
        <v>10</v>
      </c>
      <c r="Q6" s="544">
        <f t="shared" si="0"/>
        <v>11</v>
      </c>
      <c r="R6" s="544">
        <f t="shared" si="0"/>
        <v>12</v>
      </c>
      <c r="S6" s="544">
        <f t="shared" si="0"/>
        <v>13</v>
      </c>
      <c r="T6" s="544">
        <f t="shared" si="0"/>
        <v>14</v>
      </c>
      <c r="U6" s="544">
        <f t="shared" si="0"/>
        <v>15</v>
      </c>
      <c r="V6" s="544">
        <f t="shared" si="0"/>
        <v>16</v>
      </c>
      <c r="W6" s="544">
        <f t="shared" si="0"/>
        <v>17</v>
      </c>
      <c r="X6" s="544">
        <f t="shared" si="0"/>
        <v>18</v>
      </c>
      <c r="Y6" s="544">
        <f t="shared" si="0"/>
        <v>19</v>
      </c>
      <c r="Z6" s="544">
        <f t="shared" si="0"/>
        <v>20</v>
      </c>
      <c r="AA6" s="544">
        <f t="shared" si="0"/>
        <v>21</v>
      </c>
      <c r="AB6" s="544">
        <f t="shared" si="0"/>
        <v>22</v>
      </c>
      <c r="AC6" s="544">
        <f t="shared" si="0"/>
        <v>23</v>
      </c>
      <c r="AD6" s="544">
        <f t="shared" si="0"/>
        <v>24</v>
      </c>
      <c r="AE6" s="544">
        <f t="shared" si="0"/>
        <v>25</v>
      </c>
      <c r="AF6" s="544">
        <f t="shared" si="0"/>
        <v>26</v>
      </c>
      <c r="AG6" s="544">
        <f t="shared" si="0"/>
        <v>27</v>
      </c>
      <c r="AH6" s="544">
        <f t="shared" si="0"/>
        <v>28</v>
      </c>
      <c r="AI6" s="544">
        <f t="shared" si="0"/>
        <v>29</v>
      </c>
      <c r="AJ6" s="544">
        <f t="shared" si="0"/>
        <v>30</v>
      </c>
      <c r="AK6" s="544">
        <f t="shared" si="0"/>
        <v>31</v>
      </c>
      <c r="AL6" s="544">
        <f t="shared" si="0"/>
        <v>32</v>
      </c>
      <c r="AM6" s="544">
        <f t="shared" si="0"/>
        <v>33</v>
      </c>
      <c r="AN6" s="544">
        <f t="shared" ref="AN6:BD6" si="1">AM6+1</f>
        <v>34</v>
      </c>
      <c r="AO6" s="544">
        <f t="shared" si="1"/>
        <v>35</v>
      </c>
      <c r="AP6" s="544">
        <f t="shared" si="1"/>
        <v>36</v>
      </c>
      <c r="AQ6" s="544">
        <f t="shared" si="1"/>
        <v>37</v>
      </c>
      <c r="AR6" s="544">
        <f t="shared" si="1"/>
        <v>38</v>
      </c>
      <c r="AS6" s="544">
        <f t="shared" si="1"/>
        <v>39</v>
      </c>
      <c r="AT6" s="544">
        <f t="shared" si="1"/>
        <v>40</v>
      </c>
      <c r="AU6" s="544">
        <f t="shared" si="1"/>
        <v>41</v>
      </c>
      <c r="AV6" s="544">
        <f t="shared" si="1"/>
        <v>42</v>
      </c>
      <c r="AW6" s="544">
        <f t="shared" si="1"/>
        <v>43</v>
      </c>
      <c r="AX6" s="544">
        <f t="shared" si="1"/>
        <v>44</v>
      </c>
      <c r="AY6" s="544">
        <f t="shared" si="1"/>
        <v>45</v>
      </c>
      <c r="AZ6" s="544">
        <f t="shared" si="1"/>
        <v>46</v>
      </c>
      <c r="BA6" s="544">
        <f t="shared" si="1"/>
        <v>47</v>
      </c>
      <c r="BB6" s="544">
        <f t="shared" si="1"/>
        <v>48</v>
      </c>
      <c r="BC6" s="544">
        <f t="shared" si="1"/>
        <v>49</v>
      </c>
      <c r="BD6" s="544">
        <f t="shared" si="1"/>
        <v>50</v>
      </c>
      <c r="BE6" s="9"/>
    </row>
    <row r="7" spans="1:57" ht="15" customHeight="1"/>
    <row r="8" spans="1:57" s="549" customFormat="1" ht="23" customHeight="1">
      <c r="A8" s="547"/>
      <c r="B8" s="547" t="s">
        <v>309</v>
      </c>
      <c r="C8" s="547"/>
      <c r="D8" s="547"/>
      <c r="E8" s="547"/>
      <c r="F8" s="553"/>
      <c r="G8" s="554"/>
      <c r="H8" s="554"/>
      <c r="I8" s="554"/>
      <c r="J8" s="554"/>
      <c r="K8" s="554"/>
      <c r="L8" s="554"/>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48"/>
    </row>
    <row r="9" spans="1:57" ht="12.5">
      <c r="C9" s="17"/>
      <c r="E9" s="18"/>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row>
    <row r="10" spans="1:57" ht="12.5">
      <c r="C10" s="17"/>
      <c r="E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row>
    <row r="11" spans="1:57" ht="13">
      <c r="C11" s="20"/>
      <c r="D11" s="463" t="s">
        <v>310</v>
      </c>
      <c r="E11" s="463" t="s">
        <v>19</v>
      </c>
      <c r="F11" s="463"/>
      <c r="G11" s="544">
        <f t="shared" ref="G11:AL11" si="2">G$6</f>
        <v>1</v>
      </c>
      <c r="H11" s="544">
        <f t="shared" si="2"/>
        <v>2</v>
      </c>
      <c r="I11" s="544">
        <f t="shared" si="2"/>
        <v>3</v>
      </c>
      <c r="J11" s="544">
        <f t="shared" si="2"/>
        <v>4</v>
      </c>
      <c r="K11" s="544">
        <f t="shared" si="2"/>
        <v>5</v>
      </c>
      <c r="L11" s="544">
        <f t="shared" si="2"/>
        <v>6</v>
      </c>
      <c r="M11" s="544">
        <f t="shared" si="2"/>
        <v>7</v>
      </c>
      <c r="N11" s="544">
        <f t="shared" si="2"/>
        <v>8</v>
      </c>
      <c r="O11" s="544">
        <f t="shared" si="2"/>
        <v>9</v>
      </c>
      <c r="P11" s="544">
        <f t="shared" si="2"/>
        <v>10</v>
      </c>
      <c r="Q11" s="544">
        <f t="shared" si="2"/>
        <v>11</v>
      </c>
      <c r="R11" s="544">
        <f t="shared" si="2"/>
        <v>12</v>
      </c>
      <c r="S11" s="544">
        <f t="shared" si="2"/>
        <v>13</v>
      </c>
      <c r="T11" s="544">
        <f t="shared" si="2"/>
        <v>14</v>
      </c>
      <c r="U11" s="544">
        <f t="shared" si="2"/>
        <v>15</v>
      </c>
      <c r="V11" s="544">
        <f t="shared" si="2"/>
        <v>16</v>
      </c>
      <c r="W11" s="544">
        <f t="shared" si="2"/>
        <v>17</v>
      </c>
      <c r="X11" s="544">
        <f t="shared" si="2"/>
        <v>18</v>
      </c>
      <c r="Y11" s="544">
        <f t="shared" si="2"/>
        <v>19</v>
      </c>
      <c r="Z11" s="544">
        <f t="shared" si="2"/>
        <v>20</v>
      </c>
      <c r="AA11" s="544">
        <f t="shared" si="2"/>
        <v>21</v>
      </c>
      <c r="AB11" s="544">
        <f t="shared" si="2"/>
        <v>22</v>
      </c>
      <c r="AC11" s="544">
        <f t="shared" si="2"/>
        <v>23</v>
      </c>
      <c r="AD11" s="544">
        <f t="shared" si="2"/>
        <v>24</v>
      </c>
      <c r="AE11" s="544">
        <f t="shared" si="2"/>
        <v>25</v>
      </c>
      <c r="AF11" s="544">
        <f t="shared" si="2"/>
        <v>26</v>
      </c>
      <c r="AG11" s="544">
        <f t="shared" si="2"/>
        <v>27</v>
      </c>
      <c r="AH11" s="544">
        <f t="shared" si="2"/>
        <v>28</v>
      </c>
      <c r="AI11" s="544">
        <f t="shared" si="2"/>
        <v>29</v>
      </c>
      <c r="AJ11" s="544">
        <f t="shared" si="2"/>
        <v>30</v>
      </c>
      <c r="AK11" s="544">
        <f t="shared" si="2"/>
        <v>31</v>
      </c>
      <c r="AL11" s="544">
        <f t="shared" si="2"/>
        <v>32</v>
      </c>
      <c r="AM11" s="544">
        <f t="shared" ref="AM11:BD11" si="3">AM$6</f>
        <v>33</v>
      </c>
      <c r="AN11" s="544">
        <f t="shared" si="3"/>
        <v>34</v>
      </c>
      <c r="AO11" s="544">
        <f t="shared" si="3"/>
        <v>35</v>
      </c>
      <c r="AP11" s="544">
        <f t="shared" si="3"/>
        <v>36</v>
      </c>
      <c r="AQ11" s="544">
        <f t="shared" si="3"/>
        <v>37</v>
      </c>
      <c r="AR11" s="544">
        <f t="shared" si="3"/>
        <v>38</v>
      </c>
      <c r="AS11" s="544">
        <f t="shared" si="3"/>
        <v>39</v>
      </c>
      <c r="AT11" s="544">
        <f t="shared" si="3"/>
        <v>40</v>
      </c>
      <c r="AU11" s="544">
        <f t="shared" si="3"/>
        <v>41</v>
      </c>
      <c r="AV11" s="544">
        <f t="shared" si="3"/>
        <v>42</v>
      </c>
      <c r="AW11" s="544">
        <f t="shared" si="3"/>
        <v>43</v>
      </c>
      <c r="AX11" s="544">
        <f t="shared" si="3"/>
        <v>44</v>
      </c>
      <c r="AY11" s="544">
        <f t="shared" si="3"/>
        <v>45</v>
      </c>
      <c r="AZ11" s="544">
        <f t="shared" si="3"/>
        <v>46</v>
      </c>
      <c r="BA11" s="544">
        <f t="shared" si="3"/>
        <v>47</v>
      </c>
      <c r="BB11" s="544">
        <f t="shared" si="3"/>
        <v>48</v>
      </c>
      <c r="BC11" s="544">
        <f t="shared" si="3"/>
        <v>49</v>
      </c>
      <c r="BD11" s="544">
        <f t="shared" si="3"/>
        <v>50</v>
      </c>
    </row>
    <row r="12" spans="1:57" ht="13" customHeight="1">
      <c r="B12" s="21"/>
      <c r="C12" s="17">
        <f t="shared" ref="C12:C23" si="4">SUM(G12:BD12)</f>
        <v>8000000</v>
      </c>
      <c r="D12" s="22" t="s">
        <v>311</v>
      </c>
      <c r="E12" s="18" t="str">
        <f>Inputs!D220</f>
        <v>ounces</v>
      </c>
      <c r="F12" s="23"/>
      <c r="G12" s="19">
        <f>Inputs!F220</f>
        <v>0</v>
      </c>
      <c r="H12" s="19">
        <f>Inputs!G220</f>
        <v>0</v>
      </c>
      <c r="I12" s="19">
        <f>Inputs!H220</f>
        <v>0</v>
      </c>
      <c r="J12" s="19">
        <f>Inputs!I220</f>
        <v>0</v>
      </c>
      <c r="K12" s="19">
        <f>Inputs!J220</f>
        <v>150000</v>
      </c>
      <c r="L12" s="19">
        <f>Inputs!K220</f>
        <v>350000</v>
      </c>
      <c r="M12" s="19">
        <f>Inputs!L220</f>
        <v>350000</v>
      </c>
      <c r="N12" s="19">
        <f>Inputs!M220</f>
        <v>350000</v>
      </c>
      <c r="O12" s="19">
        <f>Inputs!N220</f>
        <v>350000</v>
      </c>
      <c r="P12" s="19">
        <f>Inputs!O220</f>
        <v>350000</v>
      </c>
      <c r="Q12" s="19">
        <f>Inputs!P220</f>
        <v>350000</v>
      </c>
      <c r="R12" s="19">
        <f>Inputs!Q220</f>
        <v>350000</v>
      </c>
      <c r="S12" s="19">
        <f>Inputs!R220</f>
        <v>350000</v>
      </c>
      <c r="T12" s="19">
        <f>Inputs!S220</f>
        <v>350000</v>
      </c>
      <c r="U12" s="19">
        <f>Inputs!T220</f>
        <v>350000</v>
      </c>
      <c r="V12" s="19">
        <f>Inputs!U220</f>
        <v>350000</v>
      </c>
      <c r="W12" s="19">
        <f>Inputs!V220</f>
        <v>350000</v>
      </c>
      <c r="X12" s="19">
        <f>Inputs!W220</f>
        <v>350000</v>
      </c>
      <c r="Y12" s="19">
        <f>Inputs!X220</f>
        <v>350000</v>
      </c>
      <c r="Z12" s="19">
        <f>Inputs!Y220</f>
        <v>350000</v>
      </c>
      <c r="AA12" s="19">
        <f>Inputs!Z220</f>
        <v>350000</v>
      </c>
      <c r="AB12" s="19">
        <f>Inputs!AA220</f>
        <v>350000</v>
      </c>
      <c r="AC12" s="19">
        <f>Inputs!AB220</f>
        <v>350000</v>
      </c>
      <c r="AD12" s="19">
        <f>Inputs!AC220</f>
        <v>350000</v>
      </c>
      <c r="AE12" s="19">
        <f>Inputs!AD220</f>
        <v>350000</v>
      </c>
      <c r="AF12" s="19">
        <f>Inputs!AE220</f>
        <v>350000</v>
      </c>
      <c r="AG12" s="19">
        <f>Inputs!AF220</f>
        <v>350000</v>
      </c>
      <c r="AH12" s="19">
        <f>Inputs!AG220</f>
        <v>150000</v>
      </c>
      <c r="AI12" s="19">
        <f>Inputs!AH220</f>
        <v>0</v>
      </c>
      <c r="AJ12" s="19">
        <f>Inputs!AI220</f>
        <v>0</v>
      </c>
      <c r="AK12" s="19">
        <f>Inputs!AJ220</f>
        <v>0</v>
      </c>
      <c r="AL12" s="19">
        <f>Inputs!AK220</f>
        <v>0</v>
      </c>
      <c r="AM12" s="19">
        <f>Inputs!AL220</f>
        <v>0</v>
      </c>
      <c r="AN12" s="19">
        <f>Inputs!AM220</f>
        <v>0</v>
      </c>
      <c r="AO12" s="19">
        <f>Inputs!AN220</f>
        <v>0</v>
      </c>
      <c r="AP12" s="19">
        <f>Inputs!AO220</f>
        <v>0</v>
      </c>
      <c r="AQ12" s="19">
        <f>Inputs!AP220</f>
        <v>0</v>
      </c>
      <c r="AR12" s="19">
        <f>Inputs!AQ220</f>
        <v>0</v>
      </c>
      <c r="AS12" s="19">
        <f>Inputs!AR220</f>
        <v>0</v>
      </c>
      <c r="AT12" s="19">
        <f>Inputs!AS220</f>
        <v>0</v>
      </c>
      <c r="AU12" s="19">
        <f>Inputs!AT220</f>
        <v>0</v>
      </c>
      <c r="AV12" s="19">
        <f>Inputs!AU220</f>
        <v>0</v>
      </c>
      <c r="AW12" s="19">
        <f>Inputs!AV220</f>
        <v>0</v>
      </c>
      <c r="AX12" s="19">
        <f>Inputs!AW220</f>
        <v>0</v>
      </c>
      <c r="AY12" s="19">
        <f>Inputs!AX220</f>
        <v>0</v>
      </c>
      <c r="AZ12" s="19">
        <f>Inputs!AY220</f>
        <v>0</v>
      </c>
      <c r="BA12" s="19">
        <f>Inputs!AZ220</f>
        <v>0</v>
      </c>
      <c r="BB12" s="19">
        <f>Inputs!BA220</f>
        <v>0</v>
      </c>
      <c r="BC12" s="19">
        <f>Inputs!BB220</f>
        <v>0</v>
      </c>
      <c r="BD12" s="19">
        <f>Inputs!BC220</f>
        <v>0</v>
      </c>
    </row>
    <row r="13" spans="1:57" ht="13" customHeight="1">
      <c r="B13" s="21"/>
      <c r="C13" s="17">
        <f t="shared" si="4"/>
        <v>12800</v>
      </c>
      <c r="D13" s="22" t="s">
        <v>312</v>
      </c>
      <c r="E13" s="18" t="s">
        <v>289</v>
      </c>
      <c r="F13" s="23"/>
      <c r="G13" s="19">
        <f>(G12 * IF(Inputs!$E$207 = 2, Inputs!F210, Inputs!F211)) / 1000000</f>
        <v>0</v>
      </c>
      <c r="H13" s="19">
        <f>(H12 * IF(Inputs!$E$207 = 2, Inputs!G210, Inputs!G211)) / 1000000</f>
        <v>0</v>
      </c>
      <c r="I13" s="19">
        <f>(I12 * IF(Inputs!$E$207 = 2, Inputs!H210, Inputs!H211)) / 1000000</f>
        <v>0</v>
      </c>
      <c r="J13" s="19">
        <f>(J12 * IF(Inputs!$E$207 = 2, Inputs!I210, Inputs!I211)) / 1000000</f>
        <v>0</v>
      </c>
      <c r="K13" s="19">
        <f>(K12 * IF(Inputs!$E$207 = 2, Inputs!J210, Inputs!J211)) / 1000000</f>
        <v>240</v>
      </c>
      <c r="L13" s="19">
        <f>(L12 * IF(Inputs!$E$207 = 2, Inputs!K210, Inputs!K211)) / 1000000</f>
        <v>560</v>
      </c>
      <c r="M13" s="19">
        <f>(M12 * IF(Inputs!$E$207 = 2, Inputs!L210, Inputs!L211)) / 1000000</f>
        <v>560</v>
      </c>
      <c r="N13" s="19">
        <f>(N12 * IF(Inputs!$E$207 = 2, Inputs!M210, Inputs!M211)) / 1000000</f>
        <v>560</v>
      </c>
      <c r="O13" s="19">
        <f>(O12 * IF(Inputs!$E$207 = 2, Inputs!N210, Inputs!N211)) / 1000000</f>
        <v>560</v>
      </c>
      <c r="P13" s="19">
        <f>(P12 * IF(Inputs!$E$207 = 2, Inputs!O210, Inputs!O211)) / 1000000</f>
        <v>560</v>
      </c>
      <c r="Q13" s="19">
        <f>(Q12 * IF(Inputs!$E$207 = 2, Inputs!P210, Inputs!P211)) / 1000000</f>
        <v>560</v>
      </c>
      <c r="R13" s="19">
        <f>(R12 * IF(Inputs!$E$207 = 2, Inputs!Q210, Inputs!Q211)) / 1000000</f>
        <v>560</v>
      </c>
      <c r="S13" s="19">
        <f>(S12 * IF(Inputs!$E$207 = 2, Inputs!R210, Inputs!R211)) / 1000000</f>
        <v>560</v>
      </c>
      <c r="T13" s="19">
        <f>(T12 * IF(Inputs!$E$207 = 2, Inputs!S210, Inputs!S211)) / 1000000</f>
        <v>560</v>
      </c>
      <c r="U13" s="19">
        <f>(U12 * IF(Inputs!$E$207 = 2, Inputs!T210, Inputs!T211)) / 1000000</f>
        <v>560</v>
      </c>
      <c r="V13" s="19">
        <f>(V12 * IF(Inputs!$E$207 = 2, Inputs!U210, Inputs!U211)) / 1000000</f>
        <v>560</v>
      </c>
      <c r="W13" s="19">
        <f>(W12 * IF(Inputs!$E$207 = 2, Inputs!V210, Inputs!V211)) / 1000000</f>
        <v>560</v>
      </c>
      <c r="X13" s="19">
        <f>(X12 * IF(Inputs!$E$207 = 2, Inputs!W210, Inputs!W211)) / 1000000</f>
        <v>560</v>
      </c>
      <c r="Y13" s="19">
        <f>(Y12 * IF(Inputs!$E$207 = 2, Inputs!X210, Inputs!X211)) / 1000000</f>
        <v>560</v>
      </c>
      <c r="Z13" s="19">
        <f>(Z12 * IF(Inputs!$E$207 = 2, Inputs!Y210, Inputs!Y211)) / 1000000</f>
        <v>560</v>
      </c>
      <c r="AA13" s="19">
        <f>(AA12 * IF(Inputs!$E$207 = 2, Inputs!Z210, Inputs!Z211)) / 1000000</f>
        <v>560</v>
      </c>
      <c r="AB13" s="19">
        <f>(AB12 * IF(Inputs!$E$207 = 2, Inputs!AA210, Inputs!AA211)) / 1000000</f>
        <v>560</v>
      </c>
      <c r="AC13" s="19">
        <f>(AC12 * IF(Inputs!$E$207 = 2, Inputs!AB210, Inputs!AB211)) / 1000000</f>
        <v>560</v>
      </c>
      <c r="AD13" s="19">
        <f>(AD12 * IF(Inputs!$E$207 = 2, Inputs!AC210, Inputs!AC211)) / 1000000</f>
        <v>560</v>
      </c>
      <c r="AE13" s="19">
        <f>(AE12 * IF(Inputs!$E$207 = 2, Inputs!AD210, Inputs!AD211)) / 1000000</f>
        <v>560</v>
      </c>
      <c r="AF13" s="19">
        <f>(AF12 * IF(Inputs!$E$207 = 2, Inputs!AE210, Inputs!AE211)) / 1000000</f>
        <v>560</v>
      </c>
      <c r="AG13" s="19">
        <f>(AG12 * IF(Inputs!$E$207 = 2, Inputs!AF210, Inputs!AF211)) / 1000000</f>
        <v>560</v>
      </c>
      <c r="AH13" s="19">
        <f>(AH12 * IF(Inputs!$E$207 = 2, Inputs!AG210, Inputs!AG211)) / 1000000</f>
        <v>240</v>
      </c>
      <c r="AI13" s="19">
        <f>(AI12 * IF(Inputs!$E$207 = 2, Inputs!AH210, Inputs!AH211)) / 1000000</f>
        <v>0</v>
      </c>
      <c r="AJ13" s="19">
        <f>(AJ12 * IF(Inputs!$E$207 = 2, Inputs!AI210, Inputs!AI211)) / 1000000</f>
        <v>0</v>
      </c>
      <c r="AK13" s="19">
        <f>(AK12 * IF(Inputs!$E$207 = 2, Inputs!AJ210, Inputs!AJ211)) / 1000000</f>
        <v>0</v>
      </c>
      <c r="AL13" s="19">
        <f>(AL12 * IF(Inputs!$E$207 = 2, Inputs!AK210, Inputs!AK211)) / 1000000</f>
        <v>0</v>
      </c>
      <c r="AM13" s="19">
        <f>(AM12 * IF(Inputs!$E$207 = 2, Inputs!AL210, Inputs!AL211)) / 1000000</f>
        <v>0</v>
      </c>
      <c r="AN13" s="19">
        <f>(AN12 * IF(Inputs!$E$207 = 2, Inputs!AM210, Inputs!AM211)) / 1000000</f>
        <v>0</v>
      </c>
      <c r="AO13" s="19">
        <f>(AO12 * IF(Inputs!$E$207 = 2, Inputs!AN210, Inputs!AN211)) / 1000000</f>
        <v>0</v>
      </c>
      <c r="AP13" s="19">
        <f>(AP12 * IF(Inputs!$E$207 = 2, Inputs!AO210, Inputs!AO211)) / 1000000</f>
        <v>0</v>
      </c>
      <c r="AQ13" s="19">
        <f>(AQ12 * IF(Inputs!$E$207 = 2, Inputs!AP210, Inputs!AP211)) / 1000000</f>
        <v>0</v>
      </c>
      <c r="AR13" s="19">
        <f>(AR12 * IF(Inputs!$E$207 = 2, Inputs!AQ210, Inputs!AQ211)) / 1000000</f>
        <v>0</v>
      </c>
      <c r="AS13" s="19">
        <f>(AS12 * IF(Inputs!$E$207 = 2, Inputs!AR210, Inputs!AR211)) / 1000000</f>
        <v>0</v>
      </c>
      <c r="AT13" s="19">
        <f>(AT12 * IF(Inputs!$E$207 = 2, Inputs!AS210, Inputs!AS211)) / 1000000</f>
        <v>0</v>
      </c>
      <c r="AU13" s="19">
        <f>(AU12 * IF(Inputs!$E$207 = 2, Inputs!AT210, Inputs!AT211)) / 1000000</f>
        <v>0</v>
      </c>
      <c r="AV13" s="19">
        <f>(AV12 * IF(Inputs!$E$207 = 2, Inputs!AU210, Inputs!AU211)) / 1000000</f>
        <v>0</v>
      </c>
      <c r="AW13" s="19">
        <f>(AW12 * IF(Inputs!$E$207 = 2, Inputs!AV210, Inputs!AV211)) / 1000000</f>
        <v>0</v>
      </c>
      <c r="AX13" s="19">
        <f>(AX12 * IF(Inputs!$E$207 = 2, Inputs!AW210, Inputs!AW211)) / 1000000</f>
        <v>0</v>
      </c>
      <c r="AY13" s="19">
        <f>(AY12 * IF(Inputs!$E$207 = 2, Inputs!AX210, Inputs!AX211)) / 1000000</f>
        <v>0</v>
      </c>
      <c r="AZ13" s="19">
        <f>(AZ12 * IF(Inputs!$E$207 = 2, Inputs!AY210, Inputs!AY211)) / 1000000</f>
        <v>0</v>
      </c>
      <c r="BA13" s="19">
        <f>(BA12 * IF(Inputs!$E$207 = 2, Inputs!AZ210, Inputs!AZ211)) / 1000000</f>
        <v>0</v>
      </c>
      <c r="BB13" s="19">
        <f>(BB12 * IF(Inputs!$E$207 = 2, Inputs!BA210, Inputs!BA211)) / 1000000</f>
        <v>0</v>
      </c>
      <c r="BC13" s="19">
        <f>(BC12 * IF(Inputs!$E$207 = 2, Inputs!BB210, Inputs!BB211)) / 1000000</f>
        <v>0</v>
      </c>
      <c r="BD13" s="19">
        <f>(BD12 * IF(Inputs!$E$207 = 2, Inputs!BC210, Inputs!BC211)) / 1000000</f>
        <v>0</v>
      </c>
    </row>
    <row r="14" spans="1:57" ht="13" customHeight="1">
      <c r="B14" s="21"/>
      <c r="C14" s="17">
        <f t="shared" si="4"/>
        <v>0</v>
      </c>
      <c r="D14" s="22" t="s">
        <v>313</v>
      </c>
      <c r="E14" s="18" t="s">
        <v>289</v>
      </c>
      <c r="F14" s="23"/>
      <c r="G14" s="19">
        <f>G13 * Inputs!$E$228</f>
        <v>0</v>
      </c>
      <c r="H14" s="19">
        <f>H13 * Inputs!$E$228</f>
        <v>0</v>
      </c>
      <c r="I14" s="19">
        <f>I13 * Inputs!$E$228</f>
        <v>0</v>
      </c>
      <c r="J14" s="19">
        <f>J13 * Inputs!$E$228</f>
        <v>0</v>
      </c>
      <c r="K14" s="19">
        <f>K13 * Inputs!$E$228</f>
        <v>0</v>
      </c>
      <c r="L14" s="19">
        <f>L13 * Inputs!$E$228</f>
        <v>0</v>
      </c>
      <c r="M14" s="19">
        <f>M13 * Inputs!$E$228</f>
        <v>0</v>
      </c>
      <c r="N14" s="19">
        <f>N13 * Inputs!$E$228</f>
        <v>0</v>
      </c>
      <c r="O14" s="19">
        <f>O13 * Inputs!$E$228</f>
        <v>0</v>
      </c>
      <c r="P14" s="19">
        <f>P13 * Inputs!$E$228</f>
        <v>0</v>
      </c>
      <c r="Q14" s="19">
        <f>Q13 * Inputs!$E$228</f>
        <v>0</v>
      </c>
      <c r="R14" s="19">
        <f>R13 * Inputs!$E$228</f>
        <v>0</v>
      </c>
      <c r="S14" s="19">
        <f>S13 * Inputs!$E$228</f>
        <v>0</v>
      </c>
      <c r="T14" s="19">
        <f>T13 * Inputs!$E$228</f>
        <v>0</v>
      </c>
      <c r="U14" s="19">
        <f>U13 * Inputs!$E$228</f>
        <v>0</v>
      </c>
      <c r="V14" s="19">
        <f>V13 * Inputs!$E$228</f>
        <v>0</v>
      </c>
      <c r="W14" s="19">
        <f>W13 * Inputs!$E$228</f>
        <v>0</v>
      </c>
      <c r="X14" s="19">
        <f>X13 * Inputs!$E$228</f>
        <v>0</v>
      </c>
      <c r="Y14" s="19">
        <f>Y13 * Inputs!$E$228</f>
        <v>0</v>
      </c>
      <c r="Z14" s="19">
        <f>Z13 * Inputs!$E$228</f>
        <v>0</v>
      </c>
      <c r="AA14" s="19">
        <f>AA13 * Inputs!$E$228</f>
        <v>0</v>
      </c>
      <c r="AB14" s="19">
        <f>AB13 * Inputs!$E$228</f>
        <v>0</v>
      </c>
      <c r="AC14" s="19">
        <f>AC13 * Inputs!$E$228</f>
        <v>0</v>
      </c>
      <c r="AD14" s="19">
        <f>AD13 * Inputs!$E$228</f>
        <v>0</v>
      </c>
      <c r="AE14" s="19">
        <f>AE13 * Inputs!$E$228</f>
        <v>0</v>
      </c>
      <c r="AF14" s="19">
        <f>AF13 * Inputs!$E$228</f>
        <v>0</v>
      </c>
      <c r="AG14" s="19">
        <f>AG13 * Inputs!$E$228</f>
        <v>0</v>
      </c>
      <c r="AH14" s="19">
        <f>AH13 * Inputs!$E$228</f>
        <v>0</v>
      </c>
      <c r="AI14" s="19">
        <f>AI13 * Inputs!$E$228</f>
        <v>0</v>
      </c>
      <c r="AJ14" s="19">
        <f>AJ13 * Inputs!$E$228</f>
        <v>0</v>
      </c>
      <c r="AK14" s="19">
        <f>AK13 * Inputs!$E$228</f>
        <v>0</v>
      </c>
      <c r="AL14" s="19">
        <f>AL13 * Inputs!$E$228</f>
        <v>0</v>
      </c>
      <c r="AM14" s="19">
        <f>AM13 * Inputs!$E$228</f>
        <v>0</v>
      </c>
      <c r="AN14" s="19">
        <f>AN13 * Inputs!$E$228</f>
        <v>0</v>
      </c>
      <c r="AO14" s="19">
        <f>AO13 * Inputs!$E$228</f>
        <v>0</v>
      </c>
      <c r="AP14" s="19">
        <f>AP13 * Inputs!$E$228</f>
        <v>0</v>
      </c>
      <c r="AQ14" s="19">
        <f>AQ13 * Inputs!$E$228</f>
        <v>0</v>
      </c>
      <c r="AR14" s="19">
        <f>AR13 * Inputs!$E$228</f>
        <v>0</v>
      </c>
      <c r="AS14" s="19">
        <f>AS13 * Inputs!$E$228</f>
        <v>0</v>
      </c>
      <c r="AT14" s="19">
        <f>AT13 * Inputs!$E$228</f>
        <v>0</v>
      </c>
      <c r="AU14" s="19">
        <f>AU13 * Inputs!$E$228</f>
        <v>0</v>
      </c>
      <c r="AV14" s="19">
        <f>AV13 * Inputs!$E$228</f>
        <v>0</v>
      </c>
      <c r="AW14" s="19">
        <f>AW13 * Inputs!$E$228</f>
        <v>0</v>
      </c>
      <c r="AX14" s="19">
        <f>AX13 * Inputs!$E$228</f>
        <v>0</v>
      </c>
      <c r="AY14" s="19">
        <f>AY13 * Inputs!$E$228</f>
        <v>0</v>
      </c>
      <c r="AZ14" s="19">
        <f>AZ13 * Inputs!$E$228</f>
        <v>0</v>
      </c>
      <c r="BA14" s="19">
        <f>BA13 * Inputs!$E$228</f>
        <v>0</v>
      </c>
      <c r="BB14" s="19">
        <f>BB13 * Inputs!$E$228</f>
        <v>0</v>
      </c>
      <c r="BC14" s="19">
        <f>BC13 * Inputs!$E$228</f>
        <v>0</v>
      </c>
      <c r="BD14" s="19">
        <f>BD13 * Inputs!$E$228</f>
        <v>0</v>
      </c>
    </row>
    <row r="15" spans="1:57" ht="13" customHeight="1">
      <c r="B15" s="21"/>
      <c r="C15" s="17">
        <f t="shared" si="4"/>
        <v>12800</v>
      </c>
      <c r="D15" s="22" t="s">
        <v>314</v>
      </c>
      <c r="E15" s="18" t="s">
        <v>289</v>
      </c>
      <c r="F15" s="23"/>
      <c r="G15" s="19">
        <f>SUM(G13:G14)</f>
        <v>0</v>
      </c>
      <c r="H15" s="19">
        <f t="shared" ref="H15:BD15" si="5">SUM(H13:H14)</f>
        <v>0</v>
      </c>
      <c r="I15" s="19">
        <f t="shared" si="5"/>
        <v>0</v>
      </c>
      <c r="J15" s="19">
        <f t="shared" si="5"/>
        <v>0</v>
      </c>
      <c r="K15" s="19">
        <f t="shared" si="5"/>
        <v>240</v>
      </c>
      <c r="L15" s="19">
        <f t="shared" si="5"/>
        <v>560</v>
      </c>
      <c r="M15" s="19">
        <f t="shared" si="5"/>
        <v>560</v>
      </c>
      <c r="N15" s="19">
        <f t="shared" si="5"/>
        <v>560</v>
      </c>
      <c r="O15" s="19">
        <f t="shared" si="5"/>
        <v>560</v>
      </c>
      <c r="P15" s="19">
        <f t="shared" si="5"/>
        <v>560</v>
      </c>
      <c r="Q15" s="19">
        <f t="shared" si="5"/>
        <v>560</v>
      </c>
      <c r="R15" s="19">
        <f t="shared" si="5"/>
        <v>560</v>
      </c>
      <c r="S15" s="19">
        <f t="shared" si="5"/>
        <v>560</v>
      </c>
      <c r="T15" s="19">
        <f t="shared" si="5"/>
        <v>560</v>
      </c>
      <c r="U15" s="19">
        <f t="shared" si="5"/>
        <v>560</v>
      </c>
      <c r="V15" s="19">
        <f t="shared" si="5"/>
        <v>560</v>
      </c>
      <c r="W15" s="19">
        <f t="shared" si="5"/>
        <v>560</v>
      </c>
      <c r="X15" s="19">
        <f t="shared" si="5"/>
        <v>560</v>
      </c>
      <c r="Y15" s="19">
        <f t="shared" si="5"/>
        <v>560</v>
      </c>
      <c r="Z15" s="19">
        <f t="shared" si="5"/>
        <v>560</v>
      </c>
      <c r="AA15" s="19">
        <f t="shared" si="5"/>
        <v>560</v>
      </c>
      <c r="AB15" s="19">
        <f t="shared" si="5"/>
        <v>560</v>
      </c>
      <c r="AC15" s="19">
        <f t="shared" si="5"/>
        <v>560</v>
      </c>
      <c r="AD15" s="19">
        <f t="shared" si="5"/>
        <v>560</v>
      </c>
      <c r="AE15" s="19">
        <f t="shared" si="5"/>
        <v>560</v>
      </c>
      <c r="AF15" s="19">
        <f t="shared" si="5"/>
        <v>560</v>
      </c>
      <c r="AG15" s="19">
        <f t="shared" si="5"/>
        <v>560</v>
      </c>
      <c r="AH15" s="19">
        <f t="shared" si="5"/>
        <v>240</v>
      </c>
      <c r="AI15" s="19">
        <f t="shared" si="5"/>
        <v>0</v>
      </c>
      <c r="AJ15" s="19">
        <f t="shared" si="5"/>
        <v>0</v>
      </c>
      <c r="AK15" s="19">
        <f t="shared" si="5"/>
        <v>0</v>
      </c>
      <c r="AL15" s="19">
        <f t="shared" si="5"/>
        <v>0</v>
      </c>
      <c r="AM15" s="19">
        <f t="shared" si="5"/>
        <v>0</v>
      </c>
      <c r="AN15" s="19">
        <f t="shared" si="5"/>
        <v>0</v>
      </c>
      <c r="AO15" s="19">
        <f t="shared" si="5"/>
        <v>0</v>
      </c>
      <c r="AP15" s="19">
        <f t="shared" si="5"/>
        <v>0</v>
      </c>
      <c r="AQ15" s="19">
        <f t="shared" si="5"/>
        <v>0</v>
      </c>
      <c r="AR15" s="19">
        <f t="shared" si="5"/>
        <v>0</v>
      </c>
      <c r="AS15" s="19">
        <f t="shared" si="5"/>
        <v>0</v>
      </c>
      <c r="AT15" s="19">
        <f t="shared" si="5"/>
        <v>0</v>
      </c>
      <c r="AU15" s="19">
        <f t="shared" si="5"/>
        <v>0</v>
      </c>
      <c r="AV15" s="19">
        <f t="shared" si="5"/>
        <v>0</v>
      </c>
      <c r="AW15" s="19">
        <f t="shared" si="5"/>
        <v>0</v>
      </c>
      <c r="AX15" s="19">
        <f t="shared" si="5"/>
        <v>0</v>
      </c>
      <c r="AY15" s="19">
        <f t="shared" si="5"/>
        <v>0</v>
      </c>
      <c r="AZ15" s="19">
        <f t="shared" si="5"/>
        <v>0</v>
      </c>
      <c r="BA15" s="19">
        <f t="shared" si="5"/>
        <v>0</v>
      </c>
      <c r="BB15" s="19">
        <f t="shared" si="5"/>
        <v>0</v>
      </c>
      <c r="BC15" s="19">
        <f t="shared" si="5"/>
        <v>0</v>
      </c>
      <c r="BD15" s="19">
        <f t="shared" si="5"/>
        <v>0</v>
      </c>
    </row>
    <row r="16" spans="1:57" ht="13" customHeight="1">
      <c r="B16" s="21"/>
      <c r="C16" s="17">
        <f t="shared" si="4"/>
        <v>34.850000000000009</v>
      </c>
      <c r="D16" s="24" t="s">
        <v>315</v>
      </c>
      <c r="E16" s="18" t="s">
        <v>289</v>
      </c>
      <c r="F16" s="23"/>
      <c r="G16" s="19">
        <f>(Inputs!F221 + Inputs!F222) * (1 + Inputs!$E$278)</f>
        <v>0</v>
      </c>
      <c r="H16" s="19">
        <f>(Inputs!G221 + Inputs!G222) * (1 + Inputs!$E$278)</f>
        <v>0</v>
      </c>
      <c r="I16" s="19">
        <f>(Inputs!H221 + Inputs!H222) * (1 + Inputs!$E$278)</f>
        <v>0</v>
      </c>
      <c r="J16" s="19">
        <f>(Inputs!I221 + Inputs!I222) * (1 + Inputs!$E$278)</f>
        <v>0</v>
      </c>
      <c r="K16" s="19">
        <f>(Inputs!J221 + Inputs!J222) * (1 + Inputs!$E$278)</f>
        <v>0.45</v>
      </c>
      <c r="L16" s="19">
        <f>(Inputs!K221 + Inputs!K222) * (1 + Inputs!$E$278)</f>
        <v>1.05</v>
      </c>
      <c r="M16" s="19">
        <f>(Inputs!L221 + Inputs!L222) * (1 + Inputs!$E$278)</f>
        <v>1.05</v>
      </c>
      <c r="N16" s="19">
        <f>(Inputs!M221 + Inputs!M222) * (1 + Inputs!$E$278)</f>
        <v>1.05</v>
      </c>
      <c r="O16" s="19">
        <f>(Inputs!N221 + Inputs!N222) * (1 + Inputs!$E$278)</f>
        <v>1.05</v>
      </c>
      <c r="P16" s="19">
        <f>(Inputs!O221 + Inputs!O222) * (1 + Inputs!$E$278)</f>
        <v>1.05</v>
      </c>
      <c r="Q16" s="19">
        <f>(Inputs!P221 + Inputs!P222) * (1 + Inputs!$E$278)</f>
        <v>1.05</v>
      </c>
      <c r="R16" s="19">
        <f>(Inputs!Q221 + Inputs!Q222) * (1 + Inputs!$E$278)</f>
        <v>1.05</v>
      </c>
      <c r="S16" s="19">
        <f>(Inputs!R221 + Inputs!R222) * (1 + Inputs!$E$278)</f>
        <v>1.05</v>
      </c>
      <c r="T16" s="19">
        <f>(Inputs!S221 + Inputs!S222) * (1 + Inputs!$E$278)</f>
        <v>1.05</v>
      </c>
      <c r="U16" s="19">
        <f>(Inputs!T221 + Inputs!T222) * (1 + Inputs!$E$278)</f>
        <v>1.05</v>
      </c>
      <c r="V16" s="19">
        <f>(Inputs!U221 + Inputs!U222) * (1 + Inputs!$E$278)</f>
        <v>1.05</v>
      </c>
      <c r="W16" s="19">
        <f>(Inputs!V221 + Inputs!V222) * (1 + Inputs!$E$278)</f>
        <v>1.05</v>
      </c>
      <c r="X16" s="19">
        <f>(Inputs!W221 + Inputs!W222) * (1 + Inputs!$E$278)</f>
        <v>1.05</v>
      </c>
      <c r="Y16" s="19">
        <f>(Inputs!X221 + Inputs!X222) * (1 + Inputs!$E$278)</f>
        <v>1.05</v>
      </c>
      <c r="Z16" s="19">
        <f>(Inputs!Y221 + Inputs!Y222) * (1 + Inputs!$E$278)</f>
        <v>1.05</v>
      </c>
      <c r="AA16" s="19">
        <f>(Inputs!Z221 + Inputs!Z222) * (1 + Inputs!$E$278)</f>
        <v>1.05</v>
      </c>
      <c r="AB16" s="19">
        <f>(Inputs!AA221 + Inputs!AA222) * (1 + Inputs!$E$278)</f>
        <v>1.05</v>
      </c>
      <c r="AC16" s="19">
        <f>(Inputs!AB221 + Inputs!AB222) * (1 + Inputs!$E$278)</f>
        <v>1.05</v>
      </c>
      <c r="AD16" s="19">
        <f>(Inputs!AC221 + Inputs!AC222) * (1 + Inputs!$E$278)</f>
        <v>3.5</v>
      </c>
      <c r="AE16" s="19">
        <f>(Inputs!AD221 + Inputs!AD222) * (1 + Inputs!$E$278)</f>
        <v>3.5</v>
      </c>
      <c r="AF16" s="19">
        <f>(Inputs!AE221 + Inputs!AE222) * (1 + Inputs!$E$278)</f>
        <v>3.5</v>
      </c>
      <c r="AG16" s="19">
        <f>(Inputs!AF221 + Inputs!AF222) * (1 + Inputs!$E$278)</f>
        <v>3.5</v>
      </c>
      <c r="AH16" s="19">
        <f>(Inputs!AG221 + Inputs!AG222) * (1 + Inputs!$E$278)</f>
        <v>1.5</v>
      </c>
      <c r="AI16" s="19">
        <f>(Inputs!AH221 + Inputs!AH222) * (1 + Inputs!$E$278)</f>
        <v>0</v>
      </c>
      <c r="AJ16" s="19">
        <f>(Inputs!AI221 + Inputs!AI222) * (1 + Inputs!$E$278)</f>
        <v>0</v>
      </c>
      <c r="AK16" s="19">
        <f>(Inputs!AJ221 + Inputs!AJ222) * (1 + Inputs!$E$278)</f>
        <v>0</v>
      </c>
      <c r="AL16" s="19">
        <f>(Inputs!AK221 + Inputs!AK222) * (1 + Inputs!$E$278)</f>
        <v>0</v>
      </c>
      <c r="AM16" s="19">
        <f>(Inputs!AL221 + Inputs!AL222) * (1 + Inputs!$E$278)</f>
        <v>0</v>
      </c>
      <c r="AN16" s="19">
        <f>(Inputs!AM221 + Inputs!AM222) * (1 + Inputs!$E$278)</f>
        <v>0</v>
      </c>
      <c r="AO16" s="19">
        <f>(Inputs!AN221 + Inputs!AN222) * (1 + Inputs!$E$278)</f>
        <v>0</v>
      </c>
      <c r="AP16" s="19">
        <f>(Inputs!AO221 + Inputs!AO222) * (1 + Inputs!$E$278)</f>
        <v>0</v>
      </c>
      <c r="AQ16" s="19">
        <f>(Inputs!AP221 + Inputs!AP222) * (1 + Inputs!$E$278)</f>
        <v>0</v>
      </c>
      <c r="AR16" s="19">
        <f>(Inputs!AQ221 + Inputs!AQ222) * (1 + Inputs!$E$278)</f>
        <v>0</v>
      </c>
      <c r="AS16" s="19">
        <f>(Inputs!AR221 + Inputs!AR222) * (1 + Inputs!$E$278)</f>
        <v>0</v>
      </c>
      <c r="AT16" s="19">
        <f>(Inputs!AS221 + Inputs!AS222) * (1 + Inputs!$E$278)</f>
        <v>0</v>
      </c>
      <c r="AU16" s="19">
        <f>(Inputs!AT221 + Inputs!AT222) * (1 + Inputs!$E$278)</f>
        <v>0</v>
      </c>
      <c r="AV16" s="19">
        <f>(Inputs!AU221 + Inputs!AU222) * (1 + Inputs!$E$278)</f>
        <v>0</v>
      </c>
      <c r="AW16" s="19">
        <f>(Inputs!AV221 + Inputs!AV222) * (1 + Inputs!$E$278)</f>
        <v>0</v>
      </c>
      <c r="AX16" s="19">
        <f>(Inputs!AW221 + Inputs!AW222) * (1 + Inputs!$E$278)</f>
        <v>0</v>
      </c>
      <c r="AY16" s="19">
        <f>(Inputs!AX221 + Inputs!AX222) * (1 + Inputs!$E$278)</f>
        <v>0</v>
      </c>
      <c r="AZ16" s="19">
        <f>(Inputs!AY221 + Inputs!AY222) * (1 + Inputs!$E$278)</f>
        <v>0</v>
      </c>
      <c r="BA16" s="19">
        <f>(Inputs!AZ221 + Inputs!AZ222) * (1 + Inputs!$E$278)</f>
        <v>0</v>
      </c>
      <c r="BB16" s="19">
        <f>(Inputs!BA221 + Inputs!BA222) * (1 + Inputs!$E$278)</f>
        <v>0</v>
      </c>
      <c r="BC16" s="19">
        <f>(Inputs!BB221 + Inputs!BB222) * (1 + Inputs!$E$278)</f>
        <v>0</v>
      </c>
      <c r="BD16" s="19">
        <f>(Inputs!BC221 + Inputs!BC222) * (1 + Inputs!$E$278)</f>
        <v>0</v>
      </c>
    </row>
    <row r="17" spans="1:56" ht="13" customHeight="1">
      <c r="A17" s="25" t="b">
        <f>ROUND(C17-(C15-C16),5)=0</f>
        <v>1</v>
      </c>
      <c r="B17" s="21"/>
      <c r="C17" s="17">
        <f>SUM(G17:BD17)</f>
        <v>12765.150000000001</v>
      </c>
      <c r="D17" s="22" t="s">
        <v>316</v>
      </c>
      <c r="E17" s="18" t="s">
        <v>289</v>
      </c>
      <c r="F17" s="23"/>
      <c r="G17" s="19">
        <f>G15 - G16</f>
        <v>0</v>
      </c>
      <c r="H17" s="19">
        <f t="shared" ref="H17:BD17" si="6">H15 - H16</f>
        <v>0</v>
      </c>
      <c r="I17" s="19">
        <f t="shared" si="6"/>
        <v>0</v>
      </c>
      <c r="J17" s="19">
        <f t="shared" si="6"/>
        <v>0</v>
      </c>
      <c r="K17" s="19">
        <f t="shared" si="6"/>
        <v>239.55</v>
      </c>
      <c r="L17" s="19">
        <f t="shared" si="6"/>
        <v>558.95000000000005</v>
      </c>
      <c r="M17" s="19">
        <f t="shared" si="6"/>
        <v>558.95000000000005</v>
      </c>
      <c r="N17" s="19">
        <f t="shared" si="6"/>
        <v>558.95000000000005</v>
      </c>
      <c r="O17" s="19">
        <f t="shared" si="6"/>
        <v>558.95000000000005</v>
      </c>
      <c r="P17" s="19">
        <f t="shared" si="6"/>
        <v>558.95000000000005</v>
      </c>
      <c r="Q17" s="19">
        <f t="shared" si="6"/>
        <v>558.95000000000005</v>
      </c>
      <c r="R17" s="19">
        <f t="shared" si="6"/>
        <v>558.95000000000005</v>
      </c>
      <c r="S17" s="19">
        <f t="shared" si="6"/>
        <v>558.95000000000005</v>
      </c>
      <c r="T17" s="19">
        <f t="shared" si="6"/>
        <v>558.95000000000005</v>
      </c>
      <c r="U17" s="19">
        <f t="shared" si="6"/>
        <v>558.95000000000005</v>
      </c>
      <c r="V17" s="19">
        <f t="shared" si="6"/>
        <v>558.95000000000005</v>
      </c>
      <c r="W17" s="19">
        <f t="shared" si="6"/>
        <v>558.95000000000005</v>
      </c>
      <c r="X17" s="19">
        <f t="shared" si="6"/>
        <v>558.95000000000005</v>
      </c>
      <c r="Y17" s="19">
        <f t="shared" si="6"/>
        <v>558.95000000000005</v>
      </c>
      <c r="Z17" s="19">
        <f t="shared" si="6"/>
        <v>558.95000000000005</v>
      </c>
      <c r="AA17" s="19">
        <f t="shared" si="6"/>
        <v>558.95000000000005</v>
      </c>
      <c r="AB17" s="19">
        <f t="shared" si="6"/>
        <v>558.95000000000005</v>
      </c>
      <c r="AC17" s="19">
        <f t="shared" si="6"/>
        <v>558.95000000000005</v>
      </c>
      <c r="AD17" s="19">
        <f t="shared" si="6"/>
        <v>556.5</v>
      </c>
      <c r="AE17" s="19">
        <f t="shared" si="6"/>
        <v>556.5</v>
      </c>
      <c r="AF17" s="19">
        <f t="shared" si="6"/>
        <v>556.5</v>
      </c>
      <c r="AG17" s="19">
        <f t="shared" si="6"/>
        <v>556.5</v>
      </c>
      <c r="AH17" s="19">
        <f t="shared" si="6"/>
        <v>238.5</v>
      </c>
      <c r="AI17" s="19">
        <f t="shared" si="6"/>
        <v>0</v>
      </c>
      <c r="AJ17" s="19">
        <f t="shared" si="6"/>
        <v>0</v>
      </c>
      <c r="AK17" s="19">
        <f t="shared" si="6"/>
        <v>0</v>
      </c>
      <c r="AL17" s="19">
        <f t="shared" si="6"/>
        <v>0</v>
      </c>
      <c r="AM17" s="19">
        <f t="shared" si="6"/>
        <v>0</v>
      </c>
      <c r="AN17" s="19">
        <f t="shared" si="6"/>
        <v>0</v>
      </c>
      <c r="AO17" s="19">
        <f t="shared" si="6"/>
        <v>0</v>
      </c>
      <c r="AP17" s="19">
        <f t="shared" si="6"/>
        <v>0</v>
      </c>
      <c r="AQ17" s="19">
        <f t="shared" si="6"/>
        <v>0</v>
      </c>
      <c r="AR17" s="19">
        <f t="shared" si="6"/>
        <v>0</v>
      </c>
      <c r="AS17" s="19">
        <f t="shared" si="6"/>
        <v>0</v>
      </c>
      <c r="AT17" s="19">
        <f t="shared" si="6"/>
        <v>0</v>
      </c>
      <c r="AU17" s="19">
        <f t="shared" si="6"/>
        <v>0</v>
      </c>
      <c r="AV17" s="19">
        <f t="shared" si="6"/>
        <v>0</v>
      </c>
      <c r="AW17" s="19">
        <f t="shared" si="6"/>
        <v>0</v>
      </c>
      <c r="AX17" s="19">
        <f t="shared" si="6"/>
        <v>0</v>
      </c>
      <c r="AY17" s="19">
        <f t="shared" si="6"/>
        <v>0</v>
      </c>
      <c r="AZ17" s="19">
        <f t="shared" si="6"/>
        <v>0</v>
      </c>
      <c r="BA17" s="19">
        <f t="shared" si="6"/>
        <v>0</v>
      </c>
      <c r="BB17" s="19">
        <f t="shared" si="6"/>
        <v>0</v>
      </c>
      <c r="BC17" s="19">
        <f t="shared" si="6"/>
        <v>0</v>
      </c>
      <c r="BD17" s="19">
        <f t="shared" si="6"/>
        <v>0</v>
      </c>
    </row>
    <row r="18" spans="1:56" ht="13" customHeight="1">
      <c r="B18" s="21"/>
      <c r="C18" s="17">
        <f t="shared" si="4"/>
        <v>40</v>
      </c>
      <c r="D18" s="22" t="s">
        <v>317</v>
      </c>
      <c r="E18" s="18" t="s">
        <v>289</v>
      </c>
      <c r="F18" s="23"/>
      <c r="G18" s="19">
        <f>Inputs!F223 * (1 + Inputs!$E$278)</f>
        <v>20</v>
      </c>
      <c r="H18" s="19">
        <f>Inputs!G223 * (1 + Inputs!$E$278)</f>
        <v>20</v>
      </c>
      <c r="I18" s="19">
        <f>Inputs!H223 * (1 + Inputs!$E$278)</f>
        <v>0</v>
      </c>
      <c r="J18" s="19">
        <f>Inputs!I223 * (1 + Inputs!$E$278)</f>
        <v>0</v>
      </c>
      <c r="K18" s="19">
        <f>Inputs!J223 * (1 + Inputs!$E$278)</f>
        <v>0</v>
      </c>
      <c r="L18" s="19">
        <f>Inputs!K223 * (1 + Inputs!$E$278)</f>
        <v>0</v>
      </c>
      <c r="M18" s="19">
        <f>Inputs!L223 * (1 + Inputs!$E$278)</f>
        <v>0</v>
      </c>
      <c r="N18" s="19">
        <f>Inputs!M223 * (1 + Inputs!$E$278)</f>
        <v>0</v>
      </c>
      <c r="O18" s="19">
        <f>Inputs!N223 * (1 + Inputs!$E$278)</f>
        <v>0</v>
      </c>
      <c r="P18" s="19">
        <f>Inputs!O223 * (1 + Inputs!$E$278)</f>
        <v>0</v>
      </c>
      <c r="Q18" s="19">
        <f>Inputs!P223 * (1 + Inputs!$E$278)</f>
        <v>0</v>
      </c>
      <c r="R18" s="19">
        <f>Inputs!Q223 * (1 + Inputs!$E$278)</f>
        <v>0</v>
      </c>
      <c r="S18" s="19">
        <f>Inputs!R223 * (1 + Inputs!$E$278)</f>
        <v>0</v>
      </c>
      <c r="T18" s="19">
        <f>Inputs!S223 * (1 + Inputs!$E$278)</f>
        <v>0</v>
      </c>
      <c r="U18" s="19">
        <f>Inputs!T223 * (1 + Inputs!$E$278)</f>
        <v>0</v>
      </c>
      <c r="V18" s="19">
        <f>Inputs!U223 * (1 + Inputs!$E$278)</f>
        <v>0</v>
      </c>
      <c r="W18" s="19">
        <f>Inputs!V223 * (1 + Inputs!$E$278)</f>
        <v>0</v>
      </c>
      <c r="X18" s="19">
        <f>Inputs!W223 * (1 + Inputs!$E$278)</f>
        <v>0</v>
      </c>
      <c r="Y18" s="19">
        <f>Inputs!X223 * (1 + Inputs!$E$278)</f>
        <v>0</v>
      </c>
      <c r="Z18" s="19">
        <f>Inputs!Y223 * (1 + Inputs!$E$278)</f>
        <v>0</v>
      </c>
      <c r="AA18" s="19">
        <f>Inputs!Z223 * (1 + Inputs!$E$278)</f>
        <v>0</v>
      </c>
      <c r="AB18" s="19">
        <f>Inputs!AA223 * (1 + Inputs!$E$278)</f>
        <v>0</v>
      </c>
      <c r="AC18" s="19">
        <f>Inputs!AB223 * (1 + Inputs!$E$278)</f>
        <v>0</v>
      </c>
      <c r="AD18" s="19">
        <f>Inputs!AC223 * (1 + Inputs!$E$278)</f>
        <v>0</v>
      </c>
      <c r="AE18" s="19">
        <f>Inputs!AD223 * (1 + Inputs!$E$278)</f>
        <v>0</v>
      </c>
      <c r="AF18" s="19">
        <f>Inputs!AE223 * (1 + Inputs!$E$278)</f>
        <v>0</v>
      </c>
      <c r="AG18" s="19">
        <f>Inputs!AF223 * (1 + Inputs!$E$278)</f>
        <v>0</v>
      </c>
      <c r="AH18" s="19">
        <f>Inputs!AG223 * (1 + Inputs!$E$278)</f>
        <v>0</v>
      </c>
      <c r="AI18" s="19">
        <f>Inputs!AH223 * (1 + Inputs!$E$278)</f>
        <v>0</v>
      </c>
      <c r="AJ18" s="19">
        <f>Inputs!AI223 * (1 + Inputs!$E$278)</f>
        <v>0</v>
      </c>
      <c r="AK18" s="19">
        <f>Inputs!AJ223 * (1 + Inputs!$E$278)</f>
        <v>0</v>
      </c>
      <c r="AL18" s="19">
        <f>Inputs!AK223 * (1 + Inputs!$E$278)</f>
        <v>0</v>
      </c>
      <c r="AM18" s="19">
        <f>Inputs!AL223 * (1 + Inputs!$E$278)</f>
        <v>0</v>
      </c>
      <c r="AN18" s="19">
        <f>Inputs!AM223 * (1 + Inputs!$E$278)</f>
        <v>0</v>
      </c>
      <c r="AO18" s="19">
        <f>Inputs!AN223 * (1 + Inputs!$E$278)</f>
        <v>0</v>
      </c>
      <c r="AP18" s="19">
        <f>Inputs!AO223 * (1 + Inputs!$E$278)</f>
        <v>0</v>
      </c>
      <c r="AQ18" s="19">
        <f>Inputs!AP223 * (1 + Inputs!$E$278)</f>
        <v>0</v>
      </c>
      <c r="AR18" s="19">
        <f>Inputs!AQ223 * (1 + Inputs!$E$278)</f>
        <v>0</v>
      </c>
      <c r="AS18" s="19">
        <f>Inputs!AR223 * (1 + Inputs!$E$278)</f>
        <v>0</v>
      </c>
      <c r="AT18" s="19">
        <f>Inputs!AS223 * (1 + Inputs!$E$278)</f>
        <v>0</v>
      </c>
      <c r="AU18" s="19">
        <f>Inputs!AT223 * (1 + Inputs!$E$278)</f>
        <v>0</v>
      </c>
      <c r="AV18" s="19">
        <f>Inputs!AU223 * (1 + Inputs!$E$278)</f>
        <v>0</v>
      </c>
      <c r="AW18" s="19">
        <f>Inputs!AV223 * (1 + Inputs!$E$278)</f>
        <v>0</v>
      </c>
      <c r="AX18" s="19">
        <f>Inputs!AW223 * (1 + Inputs!$E$278)</f>
        <v>0</v>
      </c>
      <c r="AY18" s="19">
        <f>Inputs!AX223 * (1 + Inputs!$E$278)</f>
        <v>0</v>
      </c>
      <c r="AZ18" s="19">
        <f>Inputs!AY223 * (1 + Inputs!$E$278)</f>
        <v>0</v>
      </c>
      <c r="BA18" s="19">
        <f>Inputs!AZ223 * (1 + Inputs!$E$278)</f>
        <v>0</v>
      </c>
      <c r="BB18" s="19">
        <f>Inputs!BA223 * (1 + Inputs!$E$278)</f>
        <v>0</v>
      </c>
      <c r="BC18" s="19">
        <f>Inputs!BB223 * (1 + Inputs!$E$278)</f>
        <v>0</v>
      </c>
      <c r="BD18" s="19">
        <f>Inputs!BC223 * (1 + Inputs!$E$278)</f>
        <v>0</v>
      </c>
    </row>
    <row r="19" spans="1:56" ht="13" customHeight="1">
      <c r="B19" s="21"/>
      <c r="C19" s="17">
        <f t="shared" si="4"/>
        <v>0</v>
      </c>
      <c r="D19" s="22" t="s">
        <v>292</v>
      </c>
      <c r="E19" s="18" t="s">
        <v>289</v>
      </c>
      <c r="F19" s="23"/>
      <c r="G19" s="19">
        <f>Inputs!F224 * (1 + Inputs!$E$278)</f>
        <v>0</v>
      </c>
      <c r="H19" s="19">
        <f>Inputs!G224 * (1 + Inputs!$E$278)</f>
        <v>0</v>
      </c>
      <c r="I19" s="19">
        <f>Inputs!H224 * (1 + Inputs!$E$278)</f>
        <v>0</v>
      </c>
      <c r="J19" s="19">
        <f>Inputs!I224 * (1 + Inputs!$E$278)</f>
        <v>0</v>
      </c>
      <c r="K19" s="19">
        <f>Inputs!J224 * (1 + Inputs!$E$278)</f>
        <v>0</v>
      </c>
      <c r="L19" s="19">
        <f>Inputs!K224 * (1 + Inputs!$E$278)</f>
        <v>0</v>
      </c>
      <c r="M19" s="19">
        <f>Inputs!L224 * (1 + Inputs!$E$278)</f>
        <v>0</v>
      </c>
      <c r="N19" s="19">
        <f>Inputs!M224 * (1 + Inputs!$E$278)</f>
        <v>0</v>
      </c>
      <c r="O19" s="19">
        <f>Inputs!N224 * (1 + Inputs!$E$278)</f>
        <v>0</v>
      </c>
      <c r="P19" s="19">
        <f>Inputs!O224 * (1 + Inputs!$E$278)</f>
        <v>0</v>
      </c>
      <c r="Q19" s="19">
        <f>Inputs!P224 * (1 + Inputs!$E$278)</f>
        <v>0</v>
      </c>
      <c r="R19" s="19">
        <f>Inputs!Q224 * (1 + Inputs!$E$278)</f>
        <v>0</v>
      </c>
      <c r="S19" s="19">
        <f>Inputs!R224 * (1 + Inputs!$E$278)</f>
        <v>0</v>
      </c>
      <c r="T19" s="19">
        <f>Inputs!S224 * (1 + Inputs!$E$278)</f>
        <v>0</v>
      </c>
      <c r="U19" s="19">
        <f>Inputs!T224 * (1 + Inputs!$E$278)</f>
        <v>0</v>
      </c>
      <c r="V19" s="19">
        <f>Inputs!U224 * (1 + Inputs!$E$278)</f>
        <v>0</v>
      </c>
      <c r="W19" s="19">
        <f>Inputs!V224 * (1 + Inputs!$E$278)</f>
        <v>0</v>
      </c>
      <c r="X19" s="19">
        <f>Inputs!W224 * (1 + Inputs!$E$278)</f>
        <v>0</v>
      </c>
      <c r="Y19" s="19">
        <f>Inputs!X224 * (1 + Inputs!$E$278)</f>
        <v>0</v>
      </c>
      <c r="Z19" s="19">
        <f>Inputs!Y224 * (1 + Inputs!$E$278)</f>
        <v>0</v>
      </c>
      <c r="AA19" s="19">
        <f>Inputs!Z224 * (1 + Inputs!$E$278)</f>
        <v>0</v>
      </c>
      <c r="AB19" s="19">
        <f>Inputs!AA224 * (1 + Inputs!$E$278)</f>
        <v>0</v>
      </c>
      <c r="AC19" s="19">
        <f>Inputs!AB224 * (1 + Inputs!$E$278)</f>
        <v>0</v>
      </c>
      <c r="AD19" s="19">
        <f>Inputs!AC224 * (1 + Inputs!$E$278)</f>
        <v>0</v>
      </c>
      <c r="AE19" s="19">
        <f>Inputs!AD224 * (1 + Inputs!$E$278)</f>
        <v>0</v>
      </c>
      <c r="AF19" s="19">
        <f>Inputs!AE224 * (1 + Inputs!$E$278)</f>
        <v>0</v>
      </c>
      <c r="AG19" s="19">
        <f>Inputs!AF224 * (1 + Inputs!$E$278)</f>
        <v>0</v>
      </c>
      <c r="AH19" s="19">
        <f>Inputs!AG224 * (1 + Inputs!$E$278)</f>
        <v>0</v>
      </c>
      <c r="AI19" s="19">
        <f>Inputs!AH224 * (1 + Inputs!$E$278)</f>
        <v>0</v>
      </c>
      <c r="AJ19" s="19">
        <f>Inputs!AI224 * (1 + Inputs!$E$278)</f>
        <v>0</v>
      </c>
      <c r="AK19" s="19">
        <f>Inputs!AJ224 * (1 + Inputs!$E$278)</f>
        <v>0</v>
      </c>
      <c r="AL19" s="19">
        <f>Inputs!AK224 * (1 + Inputs!$E$278)</f>
        <v>0</v>
      </c>
      <c r="AM19" s="19">
        <f>Inputs!AL224 * (1 + Inputs!$E$278)</f>
        <v>0</v>
      </c>
      <c r="AN19" s="19">
        <f>Inputs!AM224 * (1 + Inputs!$E$278)</f>
        <v>0</v>
      </c>
      <c r="AO19" s="19">
        <f>Inputs!AN224 * (1 + Inputs!$E$278)</f>
        <v>0</v>
      </c>
      <c r="AP19" s="19">
        <f>Inputs!AO224 * (1 + Inputs!$E$278)</f>
        <v>0</v>
      </c>
      <c r="AQ19" s="19">
        <f>Inputs!AP224 * (1 + Inputs!$E$278)</f>
        <v>0</v>
      </c>
      <c r="AR19" s="19">
        <f>Inputs!AQ224 * (1 + Inputs!$E$278)</f>
        <v>0</v>
      </c>
      <c r="AS19" s="19">
        <f>Inputs!AR224 * (1 + Inputs!$E$278)</f>
        <v>0</v>
      </c>
      <c r="AT19" s="19">
        <f>Inputs!AS224 * (1 + Inputs!$E$278)</f>
        <v>0</v>
      </c>
      <c r="AU19" s="19">
        <f>Inputs!AT224 * (1 + Inputs!$E$278)</f>
        <v>0</v>
      </c>
      <c r="AV19" s="19">
        <f>Inputs!AU224 * (1 + Inputs!$E$278)</f>
        <v>0</v>
      </c>
      <c r="AW19" s="19">
        <f>Inputs!AV224 * (1 + Inputs!$E$278)</f>
        <v>0</v>
      </c>
      <c r="AX19" s="19">
        <f>Inputs!AW224 * (1 + Inputs!$E$278)</f>
        <v>0</v>
      </c>
      <c r="AY19" s="19">
        <f>Inputs!AX224 * (1 + Inputs!$E$278)</f>
        <v>0</v>
      </c>
      <c r="AZ19" s="19">
        <f>Inputs!AY224 * (1 + Inputs!$E$278)</f>
        <v>0</v>
      </c>
      <c r="BA19" s="19">
        <f>Inputs!AZ224 * (1 + Inputs!$E$278)</f>
        <v>0</v>
      </c>
      <c r="BB19" s="19">
        <f>Inputs!BA224 * (1 + Inputs!$E$278)</f>
        <v>0</v>
      </c>
      <c r="BC19" s="19">
        <f>Inputs!BB224 * (1 + Inputs!$E$278)</f>
        <v>0</v>
      </c>
      <c r="BD19" s="19">
        <f>Inputs!BC224 * (1 + Inputs!$E$278)</f>
        <v>0</v>
      </c>
    </row>
    <row r="20" spans="1:56" ht="13" customHeight="1">
      <c r="B20" s="21"/>
      <c r="C20" s="17">
        <f t="shared" si="4"/>
        <v>450</v>
      </c>
      <c r="D20" s="22" t="s">
        <v>293</v>
      </c>
      <c r="E20" s="18" t="s">
        <v>289</v>
      </c>
      <c r="F20" s="23"/>
      <c r="G20" s="19">
        <f>Inputs!F225 * (1 + Inputs!$E$278)</f>
        <v>0</v>
      </c>
      <c r="H20" s="19">
        <f>Inputs!G225 * (1 + Inputs!$E$278)</f>
        <v>0</v>
      </c>
      <c r="I20" s="19">
        <f>Inputs!H225 * (1 + Inputs!$E$278)</f>
        <v>75</v>
      </c>
      <c r="J20" s="19">
        <f>Inputs!I225 * (1 + Inputs!$E$278)</f>
        <v>300</v>
      </c>
      <c r="K20" s="19">
        <f>Inputs!J225 * (1 + Inputs!$E$278)</f>
        <v>75</v>
      </c>
      <c r="L20" s="19">
        <f>Inputs!K225 * (1 + Inputs!$E$278)</f>
        <v>0</v>
      </c>
      <c r="M20" s="19">
        <f>Inputs!L225 * (1 + Inputs!$E$278)</f>
        <v>0</v>
      </c>
      <c r="N20" s="19">
        <f>Inputs!M225 * (1 + Inputs!$E$278)</f>
        <v>0</v>
      </c>
      <c r="O20" s="19">
        <f>Inputs!N225 * (1 + Inputs!$E$278)</f>
        <v>0</v>
      </c>
      <c r="P20" s="19">
        <f>Inputs!O225 * (1 + Inputs!$E$278)</f>
        <v>0</v>
      </c>
      <c r="Q20" s="19">
        <f>Inputs!P225 * (1 + Inputs!$E$278)</f>
        <v>0</v>
      </c>
      <c r="R20" s="19">
        <f>Inputs!Q225 * (1 + Inputs!$E$278)</f>
        <v>0</v>
      </c>
      <c r="S20" s="19">
        <f>Inputs!R225 * (1 + Inputs!$E$278)</f>
        <v>0</v>
      </c>
      <c r="T20" s="19">
        <f>Inputs!S225 * (1 + Inputs!$E$278)</f>
        <v>0</v>
      </c>
      <c r="U20" s="19">
        <f>Inputs!T225 * (1 + Inputs!$E$278)</f>
        <v>0</v>
      </c>
      <c r="V20" s="19">
        <f>Inputs!U225 * (1 + Inputs!$E$278)</f>
        <v>0</v>
      </c>
      <c r="W20" s="19">
        <f>Inputs!V225 * (1 + Inputs!$E$278)</f>
        <v>0</v>
      </c>
      <c r="X20" s="19">
        <f>Inputs!W225 * (1 + Inputs!$E$278)</f>
        <v>0</v>
      </c>
      <c r="Y20" s="19">
        <f>Inputs!X225 * (1 + Inputs!$E$278)</f>
        <v>0</v>
      </c>
      <c r="Z20" s="19">
        <f>Inputs!Y225 * (1 + Inputs!$E$278)</f>
        <v>0</v>
      </c>
      <c r="AA20" s="19">
        <f>Inputs!Z225 * (1 + Inputs!$E$278)</f>
        <v>0</v>
      </c>
      <c r="AB20" s="19">
        <f>Inputs!AA225 * (1 + Inputs!$E$278)</f>
        <v>0</v>
      </c>
      <c r="AC20" s="19">
        <f>Inputs!AB225 * (1 + Inputs!$E$278)</f>
        <v>0</v>
      </c>
      <c r="AD20" s="19">
        <f>Inputs!AC225 * (1 + Inputs!$E$278)</f>
        <v>0</v>
      </c>
      <c r="AE20" s="19">
        <f>Inputs!AD225 * (1 + Inputs!$E$278)</f>
        <v>0</v>
      </c>
      <c r="AF20" s="19">
        <f>Inputs!AE225 * (1 + Inputs!$E$278)</f>
        <v>0</v>
      </c>
      <c r="AG20" s="19">
        <f>Inputs!AF225 * (1 + Inputs!$E$278)</f>
        <v>0</v>
      </c>
      <c r="AH20" s="19">
        <f>Inputs!AG225 * (1 + Inputs!$E$278)</f>
        <v>0</v>
      </c>
      <c r="AI20" s="19">
        <f>Inputs!AH225 * (1 + Inputs!$E$278)</f>
        <v>0</v>
      </c>
      <c r="AJ20" s="19">
        <f>Inputs!AI225 * (1 + Inputs!$E$278)</f>
        <v>0</v>
      </c>
      <c r="AK20" s="19">
        <f>Inputs!AJ225 * (1 + Inputs!$E$278)</f>
        <v>0</v>
      </c>
      <c r="AL20" s="19">
        <f>Inputs!AK225 * (1 + Inputs!$E$278)</f>
        <v>0</v>
      </c>
      <c r="AM20" s="19">
        <f>Inputs!AL225 * (1 + Inputs!$E$278)</f>
        <v>0</v>
      </c>
      <c r="AN20" s="19">
        <f>Inputs!AM225 * (1 + Inputs!$E$278)</f>
        <v>0</v>
      </c>
      <c r="AO20" s="19">
        <f>Inputs!AN225 * (1 + Inputs!$E$278)</f>
        <v>0</v>
      </c>
      <c r="AP20" s="19">
        <f>Inputs!AO225 * (1 + Inputs!$E$278)</f>
        <v>0</v>
      </c>
      <c r="AQ20" s="19">
        <f>Inputs!AP225 * (1 + Inputs!$E$278)</f>
        <v>0</v>
      </c>
      <c r="AR20" s="19">
        <f>Inputs!AQ225 * (1 + Inputs!$E$278)</f>
        <v>0</v>
      </c>
      <c r="AS20" s="19">
        <f>Inputs!AR225 * (1 + Inputs!$E$278)</f>
        <v>0</v>
      </c>
      <c r="AT20" s="19">
        <f>Inputs!AS225 * (1 + Inputs!$E$278)</f>
        <v>0</v>
      </c>
      <c r="AU20" s="19">
        <f>Inputs!AT225 * (1 + Inputs!$E$278)</f>
        <v>0</v>
      </c>
      <c r="AV20" s="19">
        <f>Inputs!AU225 * (1 + Inputs!$E$278)</f>
        <v>0</v>
      </c>
      <c r="AW20" s="19">
        <f>Inputs!AV225 * (1 + Inputs!$E$278)</f>
        <v>0</v>
      </c>
      <c r="AX20" s="19">
        <f>Inputs!AW225 * (1 + Inputs!$E$278)</f>
        <v>0</v>
      </c>
      <c r="AY20" s="19">
        <f>Inputs!AX225 * (1 + Inputs!$E$278)</f>
        <v>0</v>
      </c>
      <c r="AZ20" s="19">
        <f>Inputs!AY225 * (1 + Inputs!$E$278)</f>
        <v>0</v>
      </c>
      <c r="BA20" s="19">
        <f>Inputs!AZ225 * (1 + Inputs!$E$278)</f>
        <v>0</v>
      </c>
      <c r="BB20" s="19">
        <f>Inputs!BA225 * (1 + Inputs!$E$278)</f>
        <v>0</v>
      </c>
      <c r="BC20" s="19">
        <f>Inputs!BB225 * (1 + Inputs!$E$278)</f>
        <v>0</v>
      </c>
      <c r="BD20" s="19">
        <f>Inputs!BC225 * (1 + Inputs!$E$278)</f>
        <v>0</v>
      </c>
    </row>
    <row r="21" spans="1:56" ht="13" customHeight="1">
      <c r="B21" s="21"/>
      <c r="C21" s="17">
        <f t="shared" si="4"/>
        <v>860</v>
      </c>
      <c r="D21" s="22" t="s">
        <v>294</v>
      </c>
      <c r="E21" s="18" t="s">
        <v>289</v>
      </c>
      <c r="F21" s="23"/>
      <c r="G21" s="19">
        <f>Inputs!F226 * (1 + Inputs!$E$278)</f>
        <v>0</v>
      </c>
      <c r="H21" s="19">
        <f>Inputs!G226 * (1 + Inputs!$E$278)</f>
        <v>0</v>
      </c>
      <c r="I21" s="19">
        <f>Inputs!H226 * (1 + Inputs!$E$278)</f>
        <v>0</v>
      </c>
      <c r="J21" s="19">
        <f>Inputs!I226 * (1 + Inputs!$E$278)</f>
        <v>0</v>
      </c>
      <c r="K21" s="19">
        <f>Inputs!J226 * (1 + Inputs!$E$278)</f>
        <v>0</v>
      </c>
      <c r="L21" s="19">
        <f>Inputs!K226 * (1 + Inputs!$E$278)</f>
        <v>40</v>
      </c>
      <c r="M21" s="19">
        <f>Inputs!L226 * (1 + Inputs!$E$278)</f>
        <v>40</v>
      </c>
      <c r="N21" s="19">
        <f>Inputs!M226 * (1 + Inputs!$E$278)</f>
        <v>40</v>
      </c>
      <c r="O21" s="19">
        <f>Inputs!N226 * (1 + Inputs!$E$278)</f>
        <v>40</v>
      </c>
      <c r="P21" s="19">
        <f>Inputs!O226 * (1 + Inputs!$E$278)</f>
        <v>40</v>
      </c>
      <c r="Q21" s="19">
        <f>Inputs!P226 * (1 + Inputs!$E$278)</f>
        <v>40</v>
      </c>
      <c r="R21" s="19">
        <f>Inputs!Q226 * (1 + Inputs!$E$278)</f>
        <v>40</v>
      </c>
      <c r="S21" s="19">
        <f>Inputs!R226 * (1 + Inputs!$E$278)</f>
        <v>40</v>
      </c>
      <c r="T21" s="19">
        <f>Inputs!S226 * (1 + Inputs!$E$278)</f>
        <v>40</v>
      </c>
      <c r="U21" s="19">
        <f>Inputs!T226 * (1 + Inputs!$E$278)</f>
        <v>40</v>
      </c>
      <c r="V21" s="19">
        <f>Inputs!U226 * (1 + Inputs!$E$278)</f>
        <v>40</v>
      </c>
      <c r="W21" s="19">
        <f>Inputs!V226 * (1 + Inputs!$E$278)</f>
        <v>40</v>
      </c>
      <c r="X21" s="19">
        <f>Inputs!W226 * (1 + Inputs!$E$278)</f>
        <v>40</v>
      </c>
      <c r="Y21" s="19">
        <f>Inputs!X226 * (1 + Inputs!$E$278)</f>
        <v>40</v>
      </c>
      <c r="Z21" s="19">
        <f>Inputs!Y226 * (1 + Inputs!$E$278)</f>
        <v>40</v>
      </c>
      <c r="AA21" s="19">
        <f>Inputs!Z226 * (1 + Inputs!$E$278)</f>
        <v>40</v>
      </c>
      <c r="AB21" s="19">
        <f>Inputs!AA226 * (1 + Inputs!$E$278)</f>
        <v>40</v>
      </c>
      <c r="AC21" s="19">
        <f>Inputs!AB226 * (1 + Inputs!$E$278)</f>
        <v>40</v>
      </c>
      <c r="AD21" s="19">
        <f>Inputs!AC226 * (1 + Inputs!$E$278)</f>
        <v>40</v>
      </c>
      <c r="AE21" s="19">
        <f>Inputs!AD226 * (1 + Inputs!$E$278)</f>
        <v>40</v>
      </c>
      <c r="AF21" s="19">
        <f>Inputs!AE226 * (1 + Inputs!$E$278)</f>
        <v>40</v>
      </c>
      <c r="AG21" s="19">
        <f>Inputs!AF226 * (1 + Inputs!$E$278)</f>
        <v>20</v>
      </c>
      <c r="AH21" s="19">
        <f>Inputs!AG226 * (1 + Inputs!$E$278)</f>
        <v>0</v>
      </c>
      <c r="AI21" s="19">
        <f>Inputs!AH226 * (1 + Inputs!$E$278)</f>
        <v>0</v>
      </c>
      <c r="AJ21" s="19">
        <f>Inputs!AI226 * (1 + Inputs!$E$278)</f>
        <v>0</v>
      </c>
      <c r="AK21" s="19">
        <f>Inputs!AJ226 * (1 + Inputs!$E$278)</f>
        <v>0</v>
      </c>
      <c r="AL21" s="19">
        <f>Inputs!AK226 * (1 + Inputs!$E$278)</f>
        <v>0</v>
      </c>
      <c r="AM21" s="19">
        <f>Inputs!AL226 * (1 + Inputs!$E$278)</f>
        <v>0</v>
      </c>
      <c r="AN21" s="19">
        <f>Inputs!AM226 * (1 + Inputs!$E$278)</f>
        <v>0</v>
      </c>
      <c r="AO21" s="19">
        <f>Inputs!AN226 * (1 + Inputs!$E$278)</f>
        <v>0</v>
      </c>
      <c r="AP21" s="19">
        <f>Inputs!AO226 * (1 + Inputs!$E$278)</f>
        <v>0</v>
      </c>
      <c r="AQ21" s="19">
        <f>Inputs!AP226 * (1 + Inputs!$E$278)</f>
        <v>0</v>
      </c>
      <c r="AR21" s="19">
        <f>Inputs!AQ226 * (1 + Inputs!$E$278)</f>
        <v>0</v>
      </c>
      <c r="AS21" s="19">
        <f>Inputs!AR226 * (1 + Inputs!$E$278)</f>
        <v>0</v>
      </c>
      <c r="AT21" s="19">
        <f>Inputs!AS226 * (1 + Inputs!$E$278)</f>
        <v>0</v>
      </c>
      <c r="AU21" s="19">
        <f>Inputs!AT226 * (1 + Inputs!$E$278)</f>
        <v>0</v>
      </c>
      <c r="AV21" s="19">
        <f>Inputs!AU226 * (1 + Inputs!$E$278)</f>
        <v>0</v>
      </c>
      <c r="AW21" s="19">
        <f>Inputs!AV226 * (1 + Inputs!$E$278)</f>
        <v>0</v>
      </c>
      <c r="AX21" s="19">
        <f>Inputs!AW226 * (1 + Inputs!$E$278)</f>
        <v>0</v>
      </c>
      <c r="AY21" s="19">
        <f>Inputs!AX226 * (1 + Inputs!$E$278)</f>
        <v>0</v>
      </c>
      <c r="AZ21" s="19">
        <f>Inputs!AY226 * (1 + Inputs!$E$278)</f>
        <v>0</v>
      </c>
      <c r="BA21" s="19">
        <f>Inputs!AZ226 * (1 + Inputs!$E$278)</f>
        <v>0</v>
      </c>
      <c r="BB21" s="19">
        <f>Inputs!BA226 * (1 + Inputs!$E$278)</f>
        <v>0</v>
      </c>
      <c r="BC21" s="19">
        <f>Inputs!BB226 * (1 + Inputs!$E$278)</f>
        <v>0</v>
      </c>
      <c r="BD21" s="19">
        <f>Inputs!BC226 * (1 + Inputs!$E$278)</f>
        <v>0</v>
      </c>
    </row>
    <row r="22" spans="1:56" ht="13" customHeight="1">
      <c r="B22" s="21"/>
      <c r="C22" s="17">
        <f>SUM(G22:BD22)</f>
        <v>5600</v>
      </c>
      <c r="D22" s="11" t="s">
        <v>297</v>
      </c>
      <c r="E22" s="18" t="s">
        <v>289</v>
      </c>
      <c r="F22" s="23"/>
      <c r="G22" s="19">
        <f>(($E$1278 * G$12) / 1000000) * (1 + Inputs!$E$278)</f>
        <v>0</v>
      </c>
      <c r="H22" s="19">
        <f>(($E$1278 * H$12) / 1000000) * (1 + Inputs!$E$278)</f>
        <v>0</v>
      </c>
      <c r="I22" s="19">
        <f>(($E$1278 * I$12) / 1000000) * (1 + Inputs!$E$278)</f>
        <v>0</v>
      </c>
      <c r="J22" s="19">
        <f>(($E$1278 * J$12) / 1000000) * (1 + Inputs!$E$278)</f>
        <v>0</v>
      </c>
      <c r="K22" s="19">
        <f>(($E$1278 * K$12) / 1000000) * (1 + Inputs!$E$278)</f>
        <v>105</v>
      </c>
      <c r="L22" s="19">
        <f>(($E$1278 * L$12) / 1000000) * (1 + Inputs!$E$278)</f>
        <v>245</v>
      </c>
      <c r="M22" s="19">
        <f>(($E$1278 * M$12) / 1000000) * (1 + Inputs!$E$278)</f>
        <v>245</v>
      </c>
      <c r="N22" s="19">
        <f>(($E$1278 * N$12) / 1000000) * (1 + Inputs!$E$278)</f>
        <v>245</v>
      </c>
      <c r="O22" s="19">
        <f>(($E$1278 * O$12) / 1000000) * (1 + Inputs!$E$278)</f>
        <v>245</v>
      </c>
      <c r="P22" s="19">
        <f>(($E$1278 * P$12) / 1000000) * (1 + Inputs!$E$278)</f>
        <v>245</v>
      </c>
      <c r="Q22" s="19">
        <f>(($E$1278 * Q$12) / 1000000) * (1 + Inputs!$E$278)</f>
        <v>245</v>
      </c>
      <c r="R22" s="19">
        <f>(($E$1278 * R$12) / 1000000) * (1 + Inputs!$E$278)</f>
        <v>245</v>
      </c>
      <c r="S22" s="19">
        <f>(($E$1278 * S$12) / 1000000) * (1 + Inputs!$E$278)</f>
        <v>245</v>
      </c>
      <c r="T22" s="19">
        <f>(($E$1278 * T$12) / 1000000) * (1 + Inputs!$E$278)</f>
        <v>245</v>
      </c>
      <c r="U22" s="19">
        <f>(($E$1278 * U$12) / 1000000) * (1 + Inputs!$E$278)</f>
        <v>245</v>
      </c>
      <c r="V22" s="19">
        <f>(($E$1278 * V$12) / 1000000) * (1 + Inputs!$E$278)</f>
        <v>245</v>
      </c>
      <c r="W22" s="19">
        <f>(($E$1278 * W$12) / 1000000) * (1 + Inputs!$E$278)</f>
        <v>245</v>
      </c>
      <c r="X22" s="19">
        <f>(($E$1278 * X$12) / 1000000) * (1 + Inputs!$E$278)</f>
        <v>245</v>
      </c>
      <c r="Y22" s="19">
        <f>(($E$1278 * Y$12) / 1000000) * (1 + Inputs!$E$278)</f>
        <v>245</v>
      </c>
      <c r="Z22" s="19">
        <f>(($E$1278 * Z$12) / 1000000) * (1 + Inputs!$E$278)</f>
        <v>245</v>
      </c>
      <c r="AA22" s="19">
        <f>(($E$1278 * AA$12) / 1000000) * (1 + Inputs!$E$278)</f>
        <v>245</v>
      </c>
      <c r="AB22" s="19">
        <f>(($E$1278 * AB$12) / 1000000) * (1 + Inputs!$E$278)</f>
        <v>245</v>
      </c>
      <c r="AC22" s="19">
        <f>(($E$1278 * AC$12) / 1000000) * (1 + Inputs!$E$278)</f>
        <v>245</v>
      </c>
      <c r="AD22" s="19">
        <f>(($E$1278 * AD$12) / 1000000) * (1 + Inputs!$E$278)</f>
        <v>245</v>
      </c>
      <c r="AE22" s="19">
        <f>(($E$1278 * AE$12) / 1000000) * (1 + Inputs!$E$278)</f>
        <v>245</v>
      </c>
      <c r="AF22" s="19">
        <f>(($E$1278 * AF$12) / 1000000) * (1 + Inputs!$E$278)</f>
        <v>245</v>
      </c>
      <c r="AG22" s="19">
        <f>(($E$1278 * AG$12) / 1000000) * (1 + Inputs!$E$278)</f>
        <v>245</v>
      </c>
      <c r="AH22" s="19">
        <f>(($E$1278 * AH$12) / 1000000) * (1 + Inputs!$E$278)</f>
        <v>105</v>
      </c>
      <c r="AI22" s="19">
        <f>(($E$1278 * AI$12) / 1000000) * (1 + Inputs!$E$278)</f>
        <v>0</v>
      </c>
      <c r="AJ22" s="19">
        <f>(($E$1278 * AJ$12) / 1000000) * (1 + Inputs!$E$278)</f>
        <v>0</v>
      </c>
      <c r="AK22" s="19">
        <f>(($E$1278 * AK$12) / 1000000) * (1 + Inputs!$E$278)</f>
        <v>0</v>
      </c>
      <c r="AL22" s="19">
        <f>(($E$1278 * AL$12) / 1000000) * (1 + Inputs!$E$278)</f>
        <v>0</v>
      </c>
      <c r="AM22" s="19">
        <f>(($E$1278 * AM$12) / 1000000) * (1 + Inputs!$E$278)</f>
        <v>0</v>
      </c>
      <c r="AN22" s="19">
        <f>(($E$1278 * AN$12) / 1000000) * (1 + Inputs!$E$278)</f>
        <v>0</v>
      </c>
      <c r="AO22" s="19">
        <f>(($E$1278 * AO$12) / 1000000) * (1 + Inputs!$E$278)</f>
        <v>0</v>
      </c>
      <c r="AP22" s="19">
        <f>(($E$1278 * AP$12) / 1000000) * (1 + Inputs!$E$278)</f>
        <v>0</v>
      </c>
      <c r="AQ22" s="19">
        <f>(($E$1278 * AQ$12) / 1000000) * (1 + Inputs!$E$278)</f>
        <v>0</v>
      </c>
      <c r="AR22" s="19">
        <f>(($E$1278 * AR$12) / 1000000) * (1 + Inputs!$E$278)</f>
        <v>0</v>
      </c>
      <c r="AS22" s="19">
        <f>(($E$1278 * AS$12) / 1000000) * (1 + Inputs!$E$278)</f>
        <v>0</v>
      </c>
      <c r="AT22" s="19">
        <f>(($E$1278 * AT$12) / 1000000) * (1 + Inputs!$E$278)</f>
        <v>0</v>
      </c>
      <c r="AU22" s="19">
        <f>(($E$1278 * AU$12) / 1000000) * (1 + Inputs!$E$278)</f>
        <v>0</v>
      </c>
      <c r="AV22" s="19">
        <f>(($E$1278 * AV$12) / 1000000) * (1 + Inputs!$E$278)</f>
        <v>0</v>
      </c>
      <c r="AW22" s="19">
        <f>(($E$1278 * AW$12) / 1000000) * (1 + Inputs!$E$278)</f>
        <v>0</v>
      </c>
      <c r="AX22" s="19">
        <f>(($E$1278 * AX$12) / 1000000) * (1 + Inputs!$E$278)</f>
        <v>0</v>
      </c>
      <c r="AY22" s="19">
        <f>(($E$1278 * AY$12) / 1000000) * (1 + Inputs!$E$278)</f>
        <v>0</v>
      </c>
      <c r="AZ22" s="19">
        <f>(($E$1278 * AZ$12) / 1000000) * (1 + Inputs!$E$278)</f>
        <v>0</v>
      </c>
      <c r="BA22" s="19">
        <f>(($E$1278 * BA$12) / 1000000) * (1 + Inputs!$E$278)</f>
        <v>0</v>
      </c>
      <c r="BB22" s="19">
        <f>(($E$1278 * BB$12) / 1000000) * (1 + Inputs!$E$278)</f>
        <v>0</v>
      </c>
      <c r="BC22" s="19">
        <f>(($E$1278 * BC$12) / 1000000) * (1 + Inputs!$E$278)</f>
        <v>0</v>
      </c>
      <c r="BD22" s="19">
        <f>(($E$1278 * BD$12) / 1000000) * (1 + Inputs!$E$278)</f>
        <v>0</v>
      </c>
    </row>
    <row r="23" spans="1:56" ht="13" customHeight="1">
      <c r="B23" s="21"/>
      <c r="C23" s="17">
        <f t="shared" si="4"/>
        <v>15</v>
      </c>
      <c r="D23" s="22" t="s">
        <v>295</v>
      </c>
      <c r="E23" s="18" t="s">
        <v>289</v>
      </c>
      <c r="F23" s="23"/>
      <c r="G23" s="19">
        <f>Inputs!F227</f>
        <v>0</v>
      </c>
      <c r="H23" s="19">
        <f>Inputs!G227</f>
        <v>0</v>
      </c>
      <c r="I23" s="19">
        <f>Inputs!H227</f>
        <v>0</v>
      </c>
      <c r="J23" s="19">
        <f>Inputs!I227</f>
        <v>0</v>
      </c>
      <c r="K23" s="19">
        <f>Inputs!J227</f>
        <v>0</v>
      </c>
      <c r="L23" s="19">
        <f>Inputs!K227</f>
        <v>0</v>
      </c>
      <c r="M23" s="19">
        <f>Inputs!L227</f>
        <v>0</v>
      </c>
      <c r="N23" s="19">
        <f>Inputs!M227</f>
        <v>0</v>
      </c>
      <c r="O23" s="19">
        <f>Inputs!N227</f>
        <v>0</v>
      </c>
      <c r="P23" s="19">
        <f>Inputs!O227</f>
        <v>0</v>
      </c>
      <c r="Q23" s="19">
        <f>Inputs!P227</f>
        <v>0</v>
      </c>
      <c r="R23" s="19">
        <f>Inputs!Q227</f>
        <v>0</v>
      </c>
      <c r="S23" s="19">
        <f>Inputs!R227</f>
        <v>0</v>
      </c>
      <c r="T23" s="19">
        <f>Inputs!S227</f>
        <v>0</v>
      </c>
      <c r="U23" s="19">
        <f>Inputs!T227</f>
        <v>0</v>
      </c>
      <c r="V23" s="19">
        <f>Inputs!U227</f>
        <v>0</v>
      </c>
      <c r="W23" s="19">
        <f>Inputs!V227</f>
        <v>0</v>
      </c>
      <c r="X23" s="19">
        <f>Inputs!W227</f>
        <v>0</v>
      </c>
      <c r="Y23" s="19">
        <f>Inputs!X227</f>
        <v>0</v>
      </c>
      <c r="Z23" s="19">
        <f>Inputs!Y227</f>
        <v>0</v>
      </c>
      <c r="AA23" s="19">
        <f>Inputs!Z227</f>
        <v>0</v>
      </c>
      <c r="AB23" s="19">
        <f>Inputs!AA227</f>
        <v>0</v>
      </c>
      <c r="AC23" s="19">
        <f>Inputs!AB227</f>
        <v>0</v>
      </c>
      <c r="AD23" s="19">
        <f>Inputs!AC227</f>
        <v>0</v>
      </c>
      <c r="AE23" s="19">
        <f>Inputs!AD227</f>
        <v>0</v>
      </c>
      <c r="AF23" s="19">
        <f>Inputs!AE227</f>
        <v>0</v>
      </c>
      <c r="AG23" s="19">
        <f>Inputs!AF227</f>
        <v>0</v>
      </c>
      <c r="AH23" s="19">
        <f>Inputs!AG227</f>
        <v>0</v>
      </c>
      <c r="AI23" s="19">
        <f>Inputs!AH227</f>
        <v>15</v>
      </c>
      <c r="AJ23" s="19">
        <f>Inputs!AI227</f>
        <v>0</v>
      </c>
      <c r="AK23" s="19">
        <f>Inputs!AJ227</f>
        <v>0</v>
      </c>
      <c r="AL23" s="19">
        <f>Inputs!AK227</f>
        <v>0</v>
      </c>
      <c r="AM23" s="19">
        <f>Inputs!AL227</f>
        <v>0</v>
      </c>
      <c r="AN23" s="19">
        <f>Inputs!AM227</f>
        <v>0</v>
      </c>
      <c r="AO23" s="19">
        <f>Inputs!AN227</f>
        <v>0</v>
      </c>
      <c r="AP23" s="19">
        <f>Inputs!AO227</f>
        <v>0</v>
      </c>
      <c r="AQ23" s="19">
        <f>Inputs!AP227</f>
        <v>0</v>
      </c>
      <c r="AR23" s="19">
        <f>Inputs!AQ227</f>
        <v>0</v>
      </c>
      <c r="AS23" s="19">
        <f>Inputs!AR227</f>
        <v>0</v>
      </c>
      <c r="AT23" s="19">
        <f>Inputs!AS227</f>
        <v>0</v>
      </c>
      <c r="AU23" s="19">
        <f>Inputs!AT227</f>
        <v>0</v>
      </c>
      <c r="AV23" s="19">
        <f>Inputs!AU227</f>
        <v>0</v>
      </c>
      <c r="AW23" s="19">
        <f>Inputs!AV227</f>
        <v>0</v>
      </c>
      <c r="AX23" s="19">
        <f>Inputs!AW227</f>
        <v>0</v>
      </c>
      <c r="AY23" s="19">
        <f>Inputs!AX227</f>
        <v>0</v>
      </c>
      <c r="AZ23" s="19">
        <f>Inputs!AY227</f>
        <v>0</v>
      </c>
      <c r="BA23" s="19">
        <f>Inputs!AZ227</f>
        <v>0</v>
      </c>
      <c r="BB23" s="19">
        <f>Inputs!BA227</f>
        <v>0</v>
      </c>
      <c r="BC23" s="19">
        <f>Inputs!BB227</f>
        <v>0</v>
      </c>
      <c r="BD23" s="19">
        <f>Inputs!BC227</f>
        <v>0</v>
      </c>
    </row>
    <row r="24" spans="1:56" ht="13" customHeight="1">
      <c r="B24" s="21"/>
      <c r="C24" s="17">
        <f>SUM(G24:BD24)</f>
        <v>6965</v>
      </c>
      <c r="D24" s="22" t="s">
        <v>318</v>
      </c>
      <c r="E24" s="18" t="s">
        <v>289</v>
      </c>
      <c r="F24" s="23"/>
      <c r="G24" s="19">
        <f>SUM(G18:G23)</f>
        <v>20</v>
      </c>
      <c r="H24" s="19">
        <f t="shared" ref="H24:BD24" si="7">SUM(H18:H23)</f>
        <v>20</v>
      </c>
      <c r="I24" s="19">
        <f t="shared" si="7"/>
        <v>75</v>
      </c>
      <c r="J24" s="19">
        <f t="shared" si="7"/>
        <v>300</v>
      </c>
      <c r="K24" s="19">
        <f t="shared" si="7"/>
        <v>180</v>
      </c>
      <c r="L24" s="19">
        <f t="shared" si="7"/>
        <v>285</v>
      </c>
      <c r="M24" s="19">
        <f t="shared" si="7"/>
        <v>285</v>
      </c>
      <c r="N24" s="19">
        <f t="shared" si="7"/>
        <v>285</v>
      </c>
      <c r="O24" s="19">
        <f t="shared" si="7"/>
        <v>285</v>
      </c>
      <c r="P24" s="19">
        <f t="shared" si="7"/>
        <v>285</v>
      </c>
      <c r="Q24" s="19">
        <f t="shared" si="7"/>
        <v>285</v>
      </c>
      <c r="R24" s="19">
        <f t="shared" si="7"/>
        <v>285</v>
      </c>
      <c r="S24" s="19">
        <f t="shared" si="7"/>
        <v>285</v>
      </c>
      <c r="T24" s="19">
        <f t="shared" si="7"/>
        <v>285</v>
      </c>
      <c r="U24" s="19">
        <f t="shared" si="7"/>
        <v>285</v>
      </c>
      <c r="V24" s="19">
        <f t="shared" si="7"/>
        <v>285</v>
      </c>
      <c r="W24" s="19">
        <f t="shared" si="7"/>
        <v>285</v>
      </c>
      <c r="X24" s="19">
        <f t="shared" si="7"/>
        <v>285</v>
      </c>
      <c r="Y24" s="19">
        <f t="shared" si="7"/>
        <v>285</v>
      </c>
      <c r="Z24" s="19">
        <f t="shared" si="7"/>
        <v>285</v>
      </c>
      <c r="AA24" s="19">
        <f t="shared" si="7"/>
        <v>285</v>
      </c>
      <c r="AB24" s="19">
        <f t="shared" si="7"/>
        <v>285</v>
      </c>
      <c r="AC24" s="19">
        <f t="shared" si="7"/>
        <v>285</v>
      </c>
      <c r="AD24" s="19">
        <f t="shared" si="7"/>
        <v>285</v>
      </c>
      <c r="AE24" s="19">
        <f t="shared" si="7"/>
        <v>285</v>
      </c>
      <c r="AF24" s="19">
        <f t="shared" si="7"/>
        <v>285</v>
      </c>
      <c r="AG24" s="19">
        <f t="shared" si="7"/>
        <v>265</v>
      </c>
      <c r="AH24" s="19">
        <f t="shared" si="7"/>
        <v>105</v>
      </c>
      <c r="AI24" s="19">
        <f t="shared" si="7"/>
        <v>15</v>
      </c>
      <c r="AJ24" s="19">
        <f t="shared" si="7"/>
        <v>0</v>
      </c>
      <c r="AK24" s="19">
        <f t="shared" si="7"/>
        <v>0</v>
      </c>
      <c r="AL24" s="19">
        <f t="shared" si="7"/>
        <v>0</v>
      </c>
      <c r="AM24" s="19">
        <f t="shared" si="7"/>
        <v>0</v>
      </c>
      <c r="AN24" s="19">
        <f t="shared" si="7"/>
        <v>0</v>
      </c>
      <c r="AO24" s="19">
        <f t="shared" si="7"/>
        <v>0</v>
      </c>
      <c r="AP24" s="19">
        <f t="shared" si="7"/>
        <v>0</v>
      </c>
      <c r="AQ24" s="19">
        <f t="shared" si="7"/>
        <v>0</v>
      </c>
      <c r="AR24" s="19">
        <f t="shared" si="7"/>
        <v>0</v>
      </c>
      <c r="AS24" s="19">
        <f t="shared" si="7"/>
        <v>0</v>
      </c>
      <c r="AT24" s="19">
        <f t="shared" si="7"/>
        <v>0</v>
      </c>
      <c r="AU24" s="19">
        <f t="shared" si="7"/>
        <v>0</v>
      </c>
      <c r="AV24" s="19">
        <f t="shared" si="7"/>
        <v>0</v>
      </c>
      <c r="AW24" s="19">
        <f t="shared" si="7"/>
        <v>0</v>
      </c>
      <c r="AX24" s="19">
        <f t="shared" si="7"/>
        <v>0</v>
      </c>
      <c r="AY24" s="19">
        <f t="shared" si="7"/>
        <v>0</v>
      </c>
      <c r="AZ24" s="19">
        <f t="shared" si="7"/>
        <v>0</v>
      </c>
      <c r="BA24" s="19">
        <f t="shared" si="7"/>
        <v>0</v>
      </c>
      <c r="BB24" s="19">
        <f t="shared" si="7"/>
        <v>0</v>
      </c>
      <c r="BC24" s="19">
        <f t="shared" si="7"/>
        <v>0</v>
      </c>
      <c r="BD24" s="19">
        <f t="shared" si="7"/>
        <v>0</v>
      </c>
    </row>
    <row r="25" spans="1:56" ht="13" thickBot="1">
      <c r="A25" s="26" t="b">
        <f>ROUND(C25-(C17-SUM(C18:C23)),5)=0</f>
        <v>1</v>
      </c>
      <c r="B25" s="21"/>
      <c r="C25" s="17">
        <f>SUM(G25:BD25)</f>
        <v>5800.1499999999987</v>
      </c>
      <c r="D25" s="27" t="s">
        <v>319</v>
      </c>
      <c r="E25" s="28" t="s">
        <v>289</v>
      </c>
      <c r="F25" s="29"/>
      <c r="G25" s="30">
        <f t="shared" ref="G25:AL25" si="8">G17-G24</f>
        <v>-20</v>
      </c>
      <c r="H25" s="30">
        <f t="shared" si="8"/>
        <v>-20</v>
      </c>
      <c r="I25" s="30">
        <f t="shared" si="8"/>
        <v>-75</v>
      </c>
      <c r="J25" s="30">
        <f t="shared" si="8"/>
        <v>-300</v>
      </c>
      <c r="K25" s="30">
        <f t="shared" si="8"/>
        <v>59.550000000000011</v>
      </c>
      <c r="L25" s="30">
        <f t="shared" si="8"/>
        <v>273.95000000000005</v>
      </c>
      <c r="M25" s="30">
        <f t="shared" si="8"/>
        <v>273.95000000000005</v>
      </c>
      <c r="N25" s="30">
        <f t="shared" si="8"/>
        <v>273.95000000000005</v>
      </c>
      <c r="O25" s="30">
        <f t="shared" si="8"/>
        <v>273.95000000000005</v>
      </c>
      <c r="P25" s="30">
        <f t="shared" si="8"/>
        <v>273.95000000000005</v>
      </c>
      <c r="Q25" s="30">
        <f t="shared" si="8"/>
        <v>273.95000000000005</v>
      </c>
      <c r="R25" s="30">
        <f t="shared" si="8"/>
        <v>273.95000000000005</v>
      </c>
      <c r="S25" s="30">
        <f t="shared" si="8"/>
        <v>273.95000000000005</v>
      </c>
      <c r="T25" s="30">
        <f t="shared" si="8"/>
        <v>273.95000000000005</v>
      </c>
      <c r="U25" s="30">
        <f t="shared" si="8"/>
        <v>273.95000000000005</v>
      </c>
      <c r="V25" s="30">
        <f t="shared" si="8"/>
        <v>273.95000000000005</v>
      </c>
      <c r="W25" s="30">
        <f t="shared" si="8"/>
        <v>273.95000000000005</v>
      </c>
      <c r="X25" s="30">
        <f t="shared" si="8"/>
        <v>273.95000000000005</v>
      </c>
      <c r="Y25" s="30">
        <f t="shared" si="8"/>
        <v>273.95000000000005</v>
      </c>
      <c r="Z25" s="30">
        <f t="shared" si="8"/>
        <v>273.95000000000005</v>
      </c>
      <c r="AA25" s="30">
        <f t="shared" si="8"/>
        <v>273.95000000000005</v>
      </c>
      <c r="AB25" s="30">
        <f t="shared" si="8"/>
        <v>273.95000000000005</v>
      </c>
      <c r="AC25" s="30">
        <f t="shared" si="8"/>
        <v>273.95000000000005</v>
      </c>
      <c r="AD25" s="30">
        <f t="shared" si="8"/>
        <v>271.5</v>
      </c>
      <c r="AE25" s="30">
        <f t="shared" si="8"/>
        <v>271.5</v>
      </c>
      <c r="AF25" s="30">
        <f t="shared" si="8"/>
        <v>271.5</v>
      </c>
      <c r="AG25" s="30">
        <f t="shared" si="8"/>
        <v>291.5</v>
      </c>
      <c r="AH25" s="30">
        <f t="shared" si="8"/>
        <v>133.5</v>
      </c>
      <c r="AI25" s="30">
        <f t="shared" si="8"/>
        <v>-15</v>
      </c>
      <c r="AJ25" s="30">
        <f t="shared" si="8"/>
        <v>0</v>
      </c>
      <c r="AK25" s="30">
        <f t="shared" si="8"/>
        <v>0</v>
      </c>
      <c r="AL25" s="30">
        <f t="shared" si="8"/>
        <v>0</v>
      </c>
      <c r="AM25" s="30">
        <f t="shared" ref="AM25:BD25" si="9">AM17-AM24</f>
        <v>0</v>
      </c>
      <c r="AN25" s="30">
        <f t="shared" si="9"/>
        <v>0</v>
      </c>
      <c r="AO25" s="30">
        <f t="shared" si="9"/>
        <v>0</v>
      </c>
      <c r="AP25" s="30">
        <f t="shared" si="9"/>
        <v>0</v>
      </c>
      <c r="AQ25" s="30">
        <f t="shared" si="9"/>
        <v>0</v>
      </c>
      <c r="AR25" s="30">
        <f t="shared" si="9"/>
        <v>0</v>
      </c>
      <c r="AS25" s="30">
        <f t="shared" si="9"/>
        <v>0</v>
      </c>
      <c r="AT25" s="30">
        <f t="shared" si="9"/>
        <v>0</v>
      </c>
      <c r="AU25" s="30">
        <f t="shared" si="9"/>
        <v>0</v>
      </c>
      <c r="AV25" s="30">
        <f t="shared" si="9"/>
        <v>0</v>
      </c>
      <c r="AW25" s="30">
        <f t="shared" si="9"/>
        <v>0</v>
      </c>
      <c r="AX25" s="30">
        <f t="shared" si="9"/>
        <v>0</v>
      </c>
      <c r="AY25" s="30">
        <f t="shared" si="9"/>
        <v>0</v>
      </c>
      <c r="AZ25" s="30">
        <f t="shared" si="9"/>
        <v>0</v>
      </c>
      <c r="BA25" s="30">
        <f t="shared" si="9"/>
        <v>0</v>
      </c>
      <c r="BB25" s="30">
        <f t="shared" si="9"/>
        <v>0</v>
      </c>
      <c r="BC25" s="30">
        <f t="shared" si="9"/>
        <v>0</v>
      </c>
      <c r="BD25" s="30">
        <f t="shared" si="9"/>
        <v>0</v>
      </c>
    </row>
    <row r="26" spans="1:56" ht="13" thickTop="1">
      <c r="A26" s="31"/>
      <c r="C26" s="20"/>
      <c r="D26" s="22"/>
      <c r="E26" s="18"/>
      <c r="F26" s="23"/>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row>
    <row r="27" spans="1:56" ht="12.5">
      <c r="A27" s="31"/>
      <c r="C27" s="32">
        <f>IFERROR(IRR($G25:BD25),0)</f>
        <v>0.41824065307800207</v>
      </c>
      <c r="D27" s="22" t="s">
        <v>320</v>
      </c>
      <c r="E27" s="18" t="s">
        <v>30</v>
      </c>
      <c r="F27" s="23"/>
      <c r="G27" s="6" t="str">
        <f>IFERROR(IRR($G25:G25),"--")</f>
        <v>--</v>
      </c>
      <c r="H27" s="6" t="str">
        <f>IFERROR(IRR($G25:H25),"--")</f>
        <v>--</v>
      </c>
      <c r="I27" s="6" t="str">
        <f>IFERROR(IRR($G25:I25),"--")</f>
        <v>--</v>
      </c>
      <c r="J27" s="6" t="str">
        <f>IFERROR(IRR($G25:J25),"--")</f>
        <v>--</v>
      </c>
      <c r="K27" s="6" t="str">
        <f>IFERROR(IRR($G25:K25),"--")</f>
        <v>--</v>
      </c>
      <c r="L27" s="6">
        <f>IFERROR(IRR($G25:L25),"--")</f>
        <v>-9.3759339706323885E-2</v>
      </c>
      <c r="M27" s="6">
        <f>IFERROR(IRR($G25:M25),"--")</f>
        <v>0.14623889990340788</v>
      </c>
      <c r="N27" s="6">
        <f>IFERROR(IRR($G25:N25),"--")</f>
        <v>0.25933362600190102</v>
      </c>
      <c r="O27" s="6">
        <f>IFERROR(IRR($G25:O25),"--")</f>
        <v>0.32015092679182322</v>
      </c>
      <c r="P27" s="6">
        <f>IFERROR(IRR($G25:P25),"--")</f>
        <v>0.35548603229026199</v>
      </c>
      <c r="Q27" s="6">
        <f>IFERROR(IRR($G25:Q25),"--")</f>
        <v>0.37708969921149138</v>
      </c>
      <c r="R27" s="6">
        <f>IFERROR(IRR($G25:R25),"--")</f>
        <v>0.39077879246596581</v>
      </c>
      <c r="S27" s="6">
        <f>IFERROR(IRR($G25:S25),"--")</f>
        <v>0.39968129799828178</v>
      </c>
      <c r="T27" s="6">
        <f>IFERROR(IRR($G25:T25),"--")</f>
        <v>0.40558394151345611</v>
      </c>
      <c r="U27" s="6">
        <f>IFERROR(IRR($G25:U25),"--")</f>
        <v>0.40955507099075383</v>
      </c>
      <c r="V27" s="6">
        <f>IFERROR(IRR($G25:V25),"--")</f>
        <v>0.41225653782455063</v>
      </c>
      <c r="W27" s="6">
        <f>IFERROR(IRR($G25:W25),"--")</f>
        <v>0.41410993595492118</v>
      </c>
      <c r="X27" s="6">
        <f>IFERROR(IRR($G25:X25),"--")</f>
        <v>0.41538978979835517</v>
      </c>
      <c r="Y27" s="6">
        <f>IFERROR(IRR($G25:Y25),"--")</f>
        <v>0.41627800035880846</v>
      </c>
      <c r="Z27" s="6">
        <f>IFERROR(IRR($G25:Z25),"--")</f>
        <v>0.41689677013302084</v>
      </c>
      <c r="AA27" s="6">
        <f>IFERROR(IRR($G25:AA25),"--")</f>
        <v>0.4173290945065613</v>
      </c>
      <c r="AB27" s="6">
        <f>IFERROR(IRR($G25:AB25),"--")</f>
        <v>0.41763182582950087</v>
      </c>
      <c r="AC27" s="6">
        <f>IFERROR(IRR($G25:AC25),"--")</f>
        <v>0.41784417017477549</v>
      </c>
      <c r="AD27" s="6">
        <f>IFERROR(IRR($G25:AD25),"--")</f>
        <v>0.41799197466789528</v>
      </c>
      <c r="AE27" s="6">
        <f>IFERROR(IRR($G25:AE25),"--")</f>
        <v>0.41809588617964022</v>
      </c>
      <c r="AF27" s="6">
        <f>IFERROR(IRR($G25:AF25),"--")</f>
        <v>0.41816899251758333</v>
      </c>
      <c r="AG27" s="6">
        <f>IFERROR(IRR($G25:AG25),"--")</f>
        <v>0.41822424208393971</v>
      </c>
      <c r="AH27" s="6">
        <f>IFERROR(IRR($G25:AH25),"--")</f>
        <v>0.41824206472547054</v>
      </c>
      <c r="AI27" s="6">
        <f>IFERROR(IRR($G25:AI25),"--")</f>
        <v>0.41824065307800207</v>
      </c>
      <c r="AJ27" s="6">
        <f>IFERROR(IRR($G25:AJ25),"--")</f>
        <v>0.41824065307800207</v>
      </c>
      <c r="AK27" s="6">
        <f>IFERROR(IRR($G25:AK25),"--")</f>
        <v>0.41824065307800207</v>
      </c>
      <c r="AL27" s="6">
        <f>IFERROR(IRR($G25:AL25),"--")</f>
        <v>0.41824065307800207</v>
      </c>
      <c r="AM27" s="6">
        <f>IFERROR(IRR($G25:AM25),"--")</f>
        <v>0.41824065307800207</v>
      </c>
      <c r="AN27" s="6">
        <f>IFERROR(IRR($G25:AN25),"--")</f>
        <v>0.41824065307800207</v>
      </c>
      <c r="AO27" s="6">
        <f>IFERROR(IRR($G25:AO25),"--")</f>
        <v>0.41824065307800207</v>
      </c>
      <c r="AP27" s="6">
        <f>IFERROR(IRR($G25:AP25),"--")</f>
        <v>0.41824065307800207</v>
      </c>
      <c r="AQ27" s="6">
        <f>IFERROR(IRR($G25:AQ25),"--")</f>
        <v>0.41824065307800207</v>
      </c>
      <c r="AR27" s="6">
        <f>IFERROR(IRR($G25:AR25),"--")</f>
        <v>0.41824065307800207</v>
      </c>
      <c r="AS27" s="6">
        <f>IFERROR(IRR($G25:AS25),"--")</f>
        <v>0.41824065307800207</v>
      </c>
      <c r="AT27" s="6">
        <f>IFERROR(IRR($G25:AT25),"--")</f>
        <v>0.41824065307800207</v>
      </c>
      <c r="AU27" s="6">
        <f>IFERROR(IRR($G25:AU25),"--")</f>
        <v>0.41824065307800207</v>
      </c>
      <c r="AV27" s="6">
        <f>IFERROR(IRR($G25:AV25),"--")</f>
        <v>0.41824065307800207</v>
      </c>
      <c r="AW27" s="6">
        <f>IFERROR(IRR($G25:AW25),"--")</f>
        <v>0.41824065307800207</v>
      </c>
      <c r="AX27" s="6">
        <f>IFERROR(IRR($G25:AX25),"--")</f>
        <v>0.41824065307800207</v>
      </c>
      <c r="AY27" s="6">
        <f>IFERROR(IRR($G25:AY25),"--")</f>
        <v>0.41824065307800207</v>
      </c>
      <c r="AZ27" s="6">
        <f>IFERROR(IRR($G25:AZ25),"--")</f>
        <v>0.41824065307800207</v>
      </c>
      <c r="BA27" s="6">
        <f>IFERROR(IRR($G25:BA25),"--")</f>
        <v>0.41824065307800207</v>
      </c>
      <c r="BB27" s="6">
        <f>IFERROR(IRR($G25:BB25),"--")</f>
        <v>0.41824065307800207</v>
      </c>
      <c r="BC27" s="6">
        <f>IFERROR(IRR($G25:BC25),"--")</f>
        <v>0.41824065307800207</v>
      </c>
      <c r="BD27" s="6">
        <f>IFERROR(IRR($G25:BD25),"--")</f>
        <v>0.41824065307800207</v>
      </c>
    </row>
    <row r="28" spans="1:56" ht="12.5">
      <c r="A28" s="31"/>
      <c r="C28" s="33">
        <f>NPV(Inputs!$E$200,$H$25:$BD$25)+$G$25</f>
        <v>1773.0238833189076</v>
      </c>
      <c r="D28" s="22" t="str">
        <f>"Project pre-tax cash flows NPV"&amp;Inputs!$E$200*100</f>
        <v>Project pre-tax cash flows NPV8</v>
      </c>
      <c r="E28" s="18" t="s">
        <v>289</v>
      </c>
      <c r="F28" s="23"/>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row>
    <row r="29" spans="1:56" ht="15" customHeight="1"/>
    <row r="30" spans="1:56" ht="13">
      <c r="C30" s="20"/>
      <c r="D30" s="463" t="s">
        <v>321</v>
      </c>
      <c r="E30" s="463"/>
      <c r="F30" s="463"/>
      <c r="G30" s="463"/>
      <c r="H30" s="463"/>
      <c r="I30" s="463"/>
      <c r="J30" s="463"/>
      <c r="K30" s="463"/>
      <c r="L30" s="463"/>
      <c r="M30" s="463"/>
      <c r="N30" s="463"/>
      <c r="O30" s="463"/>
      <c r="P30" s="463"/>
      <c r="Q30" s="463"/>
      <c r="R30" s="463"/>
      <c r="S30" s="463"/>
      <c r="T30" s="463"/>
      <c r="U30" s="463"/>
      <c r="V30" s="463"/>
      <c r="W30" s="463"/>
      <c r="X30" s="463"/>
      <c r="Y30" s="463"/>
      <c r="Z30" s="463"/>
      <c r="AA30" s="463"/>
      <c r="AB30" s="463"/>
      <c r="AC30" s="463"/>
      <c r="AD30" s="463"/>
      <c r="AE30" s="463"/>
      <c r="AF30" s="463"/>
      <c r="AG30" s="463"/>
      <c r="AH30" s="463"/>
      <c r="AI30" s="463"/>
      <c r="AJ30" s="463"/>
      <c r="AK30" s="463"/>
      <c r="AL30" s="463"/>
      <c r="AM30" s="463"/>
      <c r="AN30" s="463"/>
      <c r="AO30" s="463"/>
      <c r="AP30" s="463"/>
      <c r="AQ30" s="463"/>
      <c r="AR30" s="463"/>
      <c r="AS30" s="463"/>
      <c r="AT30" s="463"/>
      <c r="AU30" s="463"/>
      <c r="AV30" s="463"/>
      <c r="AW30" s="463"/>
      <c r="AX30" s="463"/>
      <c r="AY30" s="463"/>
      <c r="AZ30" s="463"/>
      <c r="BA30" s="463"/>
      <c r="BB30" s="463"/>
      <c r="BC30" s="463"/>
      <c r="BD30" s="463"/>
    </row>
    <row r="31" spans="1:56" ht="12.5">
      <c r="A31" s="31"/>
      <c r="C31" s="21">
        <f>MAX(G31:BD31)</f>
        <v>50</v>
      </c>
      <c r="D31" s="22" t="s">
        <v>322</v>
      </c>
      <c r="E31" s="18" t="s">
        <v>42</v>
      </c>
      <c r="F31" s="23"/>
      <c r="G31" s="19">
        <f>(SUM($G$12:G24)&gt;0)*1+F31</f>
        <v>1</v>
      </c>
      <c r="H31" s="19">
        <f>(SUM($G$12:H24)&gt;0)*1+G31</f>
        <v>2</v>
      </c>
      <c r="I31" s="19">
        <f>(SUM($G$12:I24)&gt;0)*1+H31</f>
        <v>3</v>
      </c>
      <c r="J31" s="19">
        <f>(SUM($G$12:J24)&gt;0)*1+I31</f>
        <v>4</v>
      </c>
      <c r="K31" s="19">
        <f>(SUM($G$12:K24)&gt;0)*1+J31</f>
        <v>5</v>
      </c>
      <c r="L31" s="19">
        <f>(SUM($G$12:L24)&gt;0)*1+K31</f>
        <v>6</v>
      </c>
      <c r="M31" s="19">
        <f>(SUM($G$12:M24)&gt;0)*1+L31</f>
        <v>7</v>
      </c>
      <c r="N31" s="19">
        <f>(SUM($G$12:N24)&gt;0)*1+M31</f>
        <v>8</v>
      </c>
      <c r="O31" s="19">
        <f>(SUM($G$12:O24)&gt;0)*1+N31</f>
        <v>9</v>
      </c>
      <c r="P31" s="19">
        <f>(SUM($G$12:P24)&gt;0)*1+O31</f>
        <v>10</v>
      </c>
      <c r="Q31" s="19">
        <f>(SUM($G$12:Q24)&gt;0)*1+P31</f>
        <v>11</v>
      </c>
      <c r="R31" s="19">
        <f>(SUM($G$12:R24)&gt;0)*1+Q31</f>
        <v>12</v>
      </c>
      <c r="S31" s="19">
        <f>(SUM($G$12:S24)&gt;0)*1+R31</f>
        <v>13</v>
      </c>
      <c r="T31" s="19">
        <f>(SUM($G$12:T24)&gt;0)*1+S31</f>
        <v>14</v>
      </c>
      <c r="U31" s="19">
        <f>(SUM($G$12:U24)&gt;0)*1+T31</f>
        <v>15</v>
      </c>
      <c r="V31" s="19">
        <f>(SUM($G$12:V24)&gt;0)*1+U31</f>
        <v>16</v>
      </c>
      <c r="W31" s="19">
        <f>(SUM($G$12:W24)&gt;0)*1+V31</f>
        <v>17</v>
      </c>
      <c r="X31" s="19">
        <f>(SUM($G$12:X24)&gt;0)*1+W31</f>
        <v>18</v>
      </c>
      <c r="Y31" s="19">
        <f>(SUM($G$12:Y24)&gt;0)*1+X31</f>
        <v>19</v>
      </c>
      <c r="Z31" s="19">
        <f>(SUM($G$12:Z24)&gt;0)*1+Y31</f>
        <v>20</v>
      </c>
      <c r="AA31" s="19">
        <f>(SUM($G$12:AA24)&gt;0)*1+Z31</f>
        <v>21</v>
      </c>
      <c r="AB31" s="19">
        <f>(SUM($G$12:AB24)&gt;0)*1+AA31</f>
        <v>22</v>
      </c>
      <c r="AC31" s="19">
        <f>(SUM($G$12:AC24)&gt;0)*1+AB31</f>
        <v>23</v>
      </c>
      <c r="AD31" s="19">
        <f>(SUM($G$12:AD24)&gt;0)*1+AC31</f>
        <v>24</v>
      </c>
      <c r="AE31" s="19">
        <f>(SUM($G$12:AE24)&gt;0)*1+AD31</f>
        <v>25</v>
      </c>
      <c r="AF31" s="19">
        <f>(SUM($G$12:AF24)&gt;0)*1+AE31</f>
        <v>26</v>
      </c>
      <c r="AG31" s="19">
        <f>(SUM($G$12:AG24)&gt;0)*1+AF31</f>
        <v>27</v>
      </c>
      <c r="AH31" s="19">
        <f>(SUM($G$12:AH24)&gt;0)*1+AG31</f>
        <v>28</v>
      </c>
      <c r="AI31" s="19">
        <f>(SUM($G$12:AI24)&gt;0)*1+AH31</f>
        <v>29</v>
      </c>
      <c r="AJ31" s="19">
        <f>(SUM($G$12:AJ24)&gt;0)*1+AI31</f>
        <v>30</v>
      </c>
      <c r="AK31" s="19">
        <f>(SUM($G$12:AK24)&gt;0)*1+AJ31</f>
        <v>31</v>
      </c>
      <c r="AL31" s="19">
        <f>(SUM($G$12:AL24)&gt;0)*1+AK31</f>
        <v>32</v>
      </c>
      <c r="AM31" s="19">
        <f>(SUM($G$12:AM24)&gt;0)*1+AL31</f>
        <v>33</v>
      </c>
      <c r="AN31" s="19">
        <f>(SUM($G$12:AN24)&gt;0)*1+AM31</f>
        <v>34</v>
      </c>
      <c r="AO31" s="19">
        <f>(SUM($G$12:AO24)&gt;0)*1+AN31</f>
        <v>35</v>
      </c>
      <c r="AP31" s="19">
        <f>(SUM($G$12:AP24)&gt;0)*1+AO31</f>
        <v>36</v>
      </c>
      <c r="AQ31" s="19">
        <f>(SUM($G$12:AQ24)&gt;0)*1+AP31</f>
        <v>37</v>
      </c>
      <c r="AR31" s="19">
        <f>(SUM($G$12:AR24)&gt;0)*1+AQ31</f>
        <v>38</v>
      </c>
      <c r="AS31" s="19">
        <f>(SUM($G$12:AS24)&gt;0)*1+AR31</f>
        <v>39</v>
      </c>
      <c r="AT31" s="19">
        <f>(SUM($G$12:AT24)&gt;0)*1+AS31</f>
        <v>40</v>
      </c>
      <c r="AU31" s="19">
        <f>(SUM($G$12:AU24)&gt;0)*1+AT31</f>
        <v>41</v>
      </c>
      <c r="AV31" s="19">
        <f>(SUM($G$12:AV24)&gt;0)*1+AU31</f>
        <v>42</v>
      </c>
      <c r="AW31" s="19">
        <f>(SUM($G$12:AW24)&gt;0)*1+AV31</f>
        <v>43</v>
      </c>
      <c r="AX31" s="19">
        <f>(SUM($G$12:AX24)&gt;0)*1+AW31</f>
        <v>44</v>
      </c>
      <c r="AY31" s="19">
        <f>(SUM($G$12:AY24)&gt;0)*1+AX31</f>
        <v>45</v>
      </c>
      <c r="AZ31" s="19">
        <f>(SUM($G$12:AZ24)&gt;0)*1+AY31</f>
        <v>46</v>
      </c>
      <c r="BA31" s="19">
        <f>(SUM($G$12:BA24)&gt;0)*1+AZ31</f>
        <v>47</v>
      </c>
      <c r="BB31" s="19">
        <f>(SUM($G$12:BB24)&gt;0)*1+BA31</f>
        <v>48</v>
      </c>
      <c r="BC31" s="19">
        <f>(SUM($G$12:BC24)&gt;0)*1+BB31</f>
        <v>49</v>
      </c>
      <c r="BD31" s="19">
        <f>(SUM($G$12:BD24)&gt;0)*1+BC31</f>
        <v>50</v>
      </c>
    </row>
    <row r="32" spans="1:56" ht="12.5">
      <c r="A32" s="31"/>
      <c r="C32" s="21">
        <f>MAX(G32:BD32)</f>
        <v>1</v>
      </c>
      <c r="D32" s="22" t="s">
        <v>311</v>
      </c>
      <c r="E32" s="18" t="s">
        <v>323</v>
      </c>
      <c r="F32" s="23"/>
      <c r="G32" s="19">
        <f>(G12 &gt; 0) * 1</f>
        <v>0</v>
      </c>
      <c r="H32" s="19">
        <f t="shared" ref="H32:BD32" si="10">(H12 &gt; 0) * 1</f>
        <v>0</v>
      </c>
      <c r="I32" s="19">
        <f t="shared" si="10"/>
        <v>0</v>
      </c>
      <c r="J32" s="19">
        <f t="shared" si="10"/>
        <v>0</v>
      </c>
      <c r="K32" s="19">
        <f t="shared" si="10"/>
        <v>1</v>
      </c>
      <c r="L32" s="19">
        <f t="shared" si="10"/>
        <v>1</v>
      </c>
      <c r="M32" s="19">
        <f t="shared" si="10"/>
        <v>1</v>
      </c>
      <c r="N32" s="19">
        <f t="shared" si="10"/>
        <v>1</v>
      </c>
      <c r="O32" s="19">
        <f t="shared" si="10"/>
        <v>1</v>
      </c>
      <c r="P32" s="19">
        <f t="shared" si="10"/>
        <v>1</v>
      </c>
      <c r="Q32" s="19">
        <f t="shared" si="10"/>
        <v>1</v>
      </c>
      <c r="R32" s="19">
        <f t="shared" si="10"/>
        <v>1</v>
      </c>
      <c r="S32" s="19">
        <f t="shared" si="10"/>
        <v>1</v>
      </c>
      <c r="T32" s="19">
        <f t="shared" si="10"/>
        <v>1</v>
      </c>
      <c r="U32" s="19">
        <f t="shared" si="10"/>
        <v>1</v>
      </c>
      <c r="V32" s="19">
        <f t="shared" si="10"/>
        <v>1</v>
      </c>
      <c r="W32" s="19">
        <f t="shared" si="10"/>
        <v>1</v>
      </c>
      <c r="X32" s="19">
        <f t="shared" si="10"/>
        <v>1</v>
      </c>
      <c r="Y32" s="19">
        <f t="shared" si="10"/>
        <v>1</v>
      </c>
      <c r="Z32" s="19">
        <f t="shared" si="10"/>
        <v>1</v>
      </c>
      <c r="AA32" s="19">
        <f t="shared" si="10"/>
        <v>1</v>
      </c>
      <c r="AB32" s="19">
        <f t="shared" si="10"/>
        <v>1</v>
      </c>
      <c r="AC32" s="19">
        <f t="shared" si="10"/>
        <v>1</v>
      </c>
      <c r="AD32" s="19">
        <f t="shared" si="10"/>
        <v>1</v>
      </c>
      <c r="AE32" s="19">
        <f t="shared" si="10"/>
        <v>1</v>
      </c>
      <c r="AF32" s="19">
        <f t="shared" si="10"/>
        <v>1</v>
      </c>
      <c r="AG32" s="19">
        <f t="shared" si="10"/>
        <v>1</v>
      </c>
      <c r="AH32" s="19">
        <f t="shared" si="10"/>
        <v>1</v>
      </c>
      <c r="AI32" s="19">
        <f t="shared" si="10"/>
        <v>0</v>
      </c>
      <c r="AJ32" s="19">
        <f t="shared" si="10"/>
        <v>0</v>
      </c>
      <c r="AK32" s="19">
        <f t="shared" si="10"/>
        <v>0</v>
      </c>
      <c r="AL32" s="19">
        <f t="shared" si="10"/>
        <v>0</v>
      </c>
      <c r="AM32" s="19">
        <f t="shared" si="10"/>
        <v>0</v>
      </c>
      <c r="AN32" s="19">
        <f t="shared" si="10"/>
        <v>0</v>
      </c>
      <c r="AO32" s="19">
        <f t="shared" si="10"/>
        <v>0</v>
      </c>
      <c r="AP32" s="19">
        <f t="shared" si="10"/>
        <v>0</v>
      </c>
      <c r="AQ32" s="19">
        <f t="shared" si="10"/>
        <v>0</v>
      </c>
      <c r="AR32" s="19">
        <f t="shared" si="10"/>
        <v>0</v>
      </c>
      <c r="AS32" s="19">
        <f t="shared" si="10"/>
        <v>0</v>
      </c>
      <c r="AT32" s="19">
        <f t="shared" si="10"/>
        <v>0</v>
      </c>
      <c r="AU32" s="19">
        <f t="shared" si="10"/>
        <v>0</v>
      </c>
      <c r="AV32" s="19">
        <f t="shared" si="10"/>
        <v>0</v>
      </c>
      <c r="AW32" s="19">
        <f t="shared" si="10"/>
        <v>0</v>
      </c>
      <c r="AX32" s="19">
        <f t="shared" si="10"/>
        <v>0</v>
      </c>
      <c r="AY32" s="19">
        <f t="shared" si="10"/>
        <v>0</v>
      </c>
      <c r="AZ32" s="19">
        <f t="shared" si="10"/>
        <v>0</v>
      </c>
      <c r="BA32" s="19">
        <f t="shared" si="10"/>
        <v>0</v>
      </c>
      <c r="BB32" s="19">
        <f t="shared" si="10"/>
        <v>0</v>
      </c>
      <c r="BC32" s="19">
        <f t="shared" si="10"/>
        <v>0</v>
      </c>
      <c r="BD32" s="19">
        <f t="shared" si="10"/>
        <v>0</v>
      </c>
    </row>
    <row r="33" spans="1:56" ht="12.5">
      <c r="B33" s="21"/>
      <c r="C33" s="21">
        <f>MAX(G33:BD33)</f>
        <v>24</v>
      </c>
      <c r="D33" s="22" t="s">
        <v>324</v>
      </c>
      <c r="E33" s="18" t="s">
        <v>42</v>
      </c>
      <c r="F33" s="23"/>
      <c r="G33" s="19">
        <f>OR(G12&gt;0,AND(SUM($G$12:G12)&gt;0,SUM(H12:$BD$12)&gt;0))*(1+F33)</f>
        <v>0</v>
      </c>
      <c r="H33" s="19">
        <f>OR(H12&gt;0,AND(SUM($G$12:H12)&gt;0,SUM(I12:$BD$12)&gt;0))*(1+G33)</f>
        <v>0</v>
      </c>
      <c r="I33" s="19">
        <f>OR(I12&gt;0,AND(SUM($G$12:I12)&gt;0,SUM(J12:$BD$12)&gt;0))*(1+H33)</f>
        <v>0</v>
      </c>
      <c r="J33" s="19">
        <f>OR(J12&gt;0,AND(SUM($G$12:J12)&gt;0,SUM(K12:$BD$12)&gt;0))*(1+I33)</f>
        <v>0</v>
      </c>
      <c r="K33" s="19">
        <f>OR(K12&gt;0,AND(SUM($G$12:K12)&gt;0,SUM(L12:$BD$12)&gt;0))*(1+J33)</f>
        <v>1</v>
      </c>
      <c r="L33" s="19">
        <f>OR(L12&gt;0,AND(SUM($G$12:L12)&gt;0,SUM(M12:$BD$12)&gt;0))*(1+K33)</f>
        <v>2</v>
      </c>
      <c r="M33" s="19">
        <f>OR(M12&gt;0,AND(SUM($G$12:M12)&gt;0,SUM(N12:$BD$12)&gt;0))*(1+L33)</f>
        <v>3</v>
      </c>
      <c r="N33" s="19">
        <f>OR(N12&gt;0,AND(SUM($G$12:N12)&gt;0,SUM(O12:$BD$12)&gt;0))*(1+M33)</f>
        <v>4</v>
      </c>
      <c r="O33" s="19">
        <f>OR(O12&gt;0,AND(SUM($G$12:O12)&gt;0,SUM(P12:$BD$12)&gt;0))*(1+N33)</f>
        <v>5</v>
      </c>
      <c r="P33" s="19">
        <f>OR(P12&gt;0,AND(SUM($G$12:P12)&gt;0,SUM(Q12:$BD$12)&gt;0))*(1+O33)</f>
        <v>6</v>
      </c>
      <c r="Q33" s="19">
        <f>OR(Q12&gt;0,AND(SUM($G$12:Q12)&gt;0,SUM(R12:$BD$12)&gt;0))*(1+P33)</f>
        <v>7</v>
      </c>
      <c r="R33" s="19">
        <f>OR(R12&gt;0,AND(SUM($G$12:R12)&gt;0,SUM(S12:$BD$12)&gt;0))*(1+Q33)</f>
        <v>8</v>
      </c>
      <c r="S33" s="19">
        <f>OR(S12&gt;0,AND(SUM($G$12:S12)&gt;0,SUM(T12:$BD$12)&gt;0))*(1+R33)</f>
        <v>9</v>
      </c>
      <c r="T33" s="19">
        <f>OR(T12&gt;0,AND(SUM($G$12:T12)&gt;0,SUM(U12:$BD$12)&gt;0))*(1+S33)</f>
        <v>10</v>
      </c>
      <c r="U33" s="19">
        <f>OR(U12&gt;0,AND(SUM($G$12:U12)&gt;0,SUM(V12:$BD$12)&gt;0))*(1+T33)</f>
        <v>11</v>
      </c>
      <c r="V33" s="19">
        <f>OR(V12&gt;0,AND(SUM($G$12:V12)&gt;0,SUM(W12:$BD$12)&gt;0))*(1+U33)</f>
        <v>12</v>
      </c>
      <c r="W33" s="19">
        <f>OR(W12&gt;0,AND(SUM($G$12:W12)&gt;0,SUM(X12:$BD$12)&gt;0))*(1+V33)</f>
        <v>13</v>
      </c>
      <c r="X33" s="19">
        <f>OR(X12&gt;0,AND(SUM($G$12:X12)&gt;0,SUM(Y12:$BD$12)&gt;0))*(1+W33)</f>
        <v>14</v>
      </c>
      <c r="Y33" s="19">
        <f>OR(Y12&gt;0,AND(SUM($G$12:Y12)&gt;0,SUM(Z12:$BD$12)&gt;0))*(1+X33)</f>
        <v>15</v>
      </c>
      <c r="Z33" s="19">
        <f>OR(Z12&gt;0,AND(SUM($G$12:Z12)&gt;0,SUM(AA12:$BD$12)&gt;0))*(1+Y33)</f>
        <v>16</v>
      </c>
      <c r="AA33" s="19">
        <f>OR(AA12&gt;0,AND(SUM($G$12:AA12)&gt;0,SUM(AB12:$BD$12)&gt;0))*(1+Z33)</f>
        <v>17</v>
      </c>
      <c r="AB33" s="19">
        <f>OR(AB12&gt;0,AND(SUM($G$12:AB12)&gt;0,SUM(AC12:$BD$12)&gt;0))*(1+AA33)</f>
        <v>18</v>
      </c>
      <c r="AC33" s="19">
        <f>OR(AC12&gt;0,AND(SUM($G$12:AC12)&gt;0,SUM(AD12:$BD$12)&gt;0))*(1+AB33)</f>
        <v>19</v>
      </c>
      <c r="AD33" s="19">
        <f>OR(AD12&gt;0,AND(SUM($G$12:AD12)&gt;0,SUM(AE12:$BD$12)&gt;0))*(1+AC33)</f>
        <v>20</v>
      </c>
      <c r="AE33" s="19">
        <f>OR(AE12&gt;0,AND(SUM($G$12:AE12)&gt;0,SUM(AF12:$BD$12)&gt;0))*(1+AD33)</f>
        <v>21</v>
      </c>
      <c r="AF33" s="19">
        <f>OR(AF12&gt;0,AND(SUM($G$12:AF12)&gt;0,SUM(AG12:$BD$12)&gt;0))*(1+AE33)</f>
        <v>22</v>
      </c>
      <c r="AG33" s="19">
        <f>OR(AG12&gt;0,AND(SUM($G$12:AG12)&gt;0,SUM(AH12:$BD$12)&gt;0))*(1+AF33)</f>
        <v>23</v>
      </c>
      <c r="AH33" s="19">
        <f>OR(AH12&gt;0,AND(SUM($G$12:AH12)&gt;0,SUM(AI12:$BD$12)&gt;0))*(1+AG33)</f>
        <v>24</v>
      </c>
      <c r="AI33" s="19">
        <f>OR(AI12&gt;0,AND(SUM($G$12:AI12)&gt;0,SUM(AJ12:$BD$12)&gt;0))*(1+AH33)</f>
        <v>0</v>
      </c>
      <c r="AJ33" s="19">
        <f>OR(AJ12&gt;0,AND(SUM($G$12:AJ12)&gt;0,SUM(AK12:$BD$12)&gt;0))*(1+AI33)</f>
        <v>0</v>
      </c>
      <c r="AK33" s="19">
        <f>OR(AK12&gt;0,AND(SUM($G$12:AK12)&gt;0,SUM(AL12:$BD$12)&gt;0))*(1+AJ33)</f>
        <v>0</v>
      </c>
      <c r="AL33" s="19">
        <f>OR(AL12&gt;0,AND(SUM($G$12:AL12)&gt;0,SUM(AM12:$BD$12)&gt;0))*(1+AK33)</f>
        <v>0</v>
      </c>
      <c r="AM33" s="19">
        <f>OR(AM12&gt;0,AND(SUM($G$12:AM12)&gt;0,SUM(AN12:$BD$12)&gt;0))*(1+AL33)</f>
        <v>0</v>
      </c>
      <c r="AN33" s="19">
        <f>OR(AN12&gt;0,AND(SUM($G$12:AN12)&gt;0,SUM(AO12:$BD$12)&gt;0))*(1+AM33)</f>
        <v>0</v>
      </c>
      <c r="AO33" s="19">
        <f>OR(AO12&gt;0,AND(SUM($G$12:AO12)&gt;0,SUM(AP12:$BD$12)&gt;0))*(1+AN33)</f>
        <v>0</v>
      </c>
      <c r="AP33" s="19">
        <f>OR(AP12&gt;0,AND(SUM($G$12:AP12)&gt;0,SUM(AQ12:$BD$12)&gt;0))*(1+AO33)</f>
        <v>0</v>
      </c>
      <c r="AQ33" s="19">
        <f>OR(AQ12&gt;0,AND(SUM($G$12:AQ12)&gt;0,SUM(AR12:$BD$12)&gt;0))*(1+AP33)</f>
        <v>0</v>
      </c>
      <c r="AR33" s="19">
        <f>OR(AR12&gt;0,AND(SUM($G$12:AR12)&gt;0,SUM(AS12:$BD$12)&gt;0))*(1+AQ33)</f>
        <v>0</v>
      </c>
      <c r="AS33" s="19">
        <f>OR(AS12&gt;0,AND(SUM($G$12:AS12)&gt;0,SUM(AT12:$BD$12)&gt;0))*(1+AR33)</f>
        <v>0</v>
      </c>
      <c r="AT33" s="19">
        <f>OR(AT12&gt;0,AND(SUM($G$12:AT12)&gt;0,SUM(AU12:$BD$12)&gt;0))*(1+AS33)</f>
        <v>0</v>
      </c>
      <c r="AU33" s="19">
        <f>OR(AU12&gt;0,AND(SUM($G$12:AU12)&gt;0,SUM(AV12:$BD$12)&gt;0))*(1+AT33)</f>
        <v>0</v>
      </c>
      <c r="AV33" s="19">
        <f>OR(AV12&gt;0,AND(SUM($G$12:AV12)&gt;0,SUM(AW12:$BD$12)&gt;0))*(1+AU33)</f>
        <v>0</v>
      </c>
      <c r="AW33" s="19">
        <f>OR(AW12&gt;0,AND(SUM($G$12:AW12)&gt;0,SUM(AX12:$BD$12)&gt;0))*(1+AV33)</f>
        <v>0</v>
      </c>
      <c r="AX33" s="19">
        <f>OR(AX12&gt;0,AND(SUM($G$12:AX12)&gt;0,SUM(AY12:$BD$12)&gt;0))*(1+AW33)</f>
        <v>0</v>
      </c>
      <c r="AY33" s="19">
        <f>OR(AY12&gt;0,AND(SUM($G$12:AY12)&gt;0,SUM(AZ12:$BD$12)&gt;0))*(1+AX33)</f>
        <v>0</v>
      </c>
      <c r="AZ33" s="19">
        <f>OR(AZ12&gt;0,AND(SUM($G$12:AZ12)&gt;0,SUM(BA12:$BD$12)&gt;0))*(1+AY33)</f>
        <v>0</v>
      </c>
      <c r="BA33" s="19">
        <f>OR(BA12&gt;0,AND(SUM($G$12:BA12)&gt;0,SUM(BB12:$BD$12)&gt;0))*(1+AZ33)</f>
        <v>0</v>
      </c>
      <c r="BB33" s="19">
        <f>OR(BB12&gt;0,AND(SUM($G$12:BB12)&gt;0,SUM(BC12:$BD$12)&gt;0))*(1+BA33)</f>
        <v>0</v>
      </c>
      <c r="BC33" s="19">
        <f>OR(BC12&gt;0,AND(SUM($G$12:BC12)&gt;0,SUM(BD12:$BD$12)&gt;0))*(1+BB33)</f>
        <v>0</v>
      </c>
      <c r="BD33" s="19">
        <f>OR(BD12&gt;0,AND(SUM($G$12:BD12)&gt;0,SUM($BD12:BE$12)&gt;0))*(1+BC33)</f>
        <v>0</v>
      </c>
    </row>
    <row r="34" spans="1:56" ht="12.5">
      <c r="B34" s="21"/>
      <c r="C34" s="21">
        <f>MAX(G34:BD34)</f>
        <v>24</v>
      </c>
      <c r="D34" s="22" t="s">
        <v>325</v>
      </c>
      <c r="E34" s="18" t="s">
        <v>42</v>
      </c>
      <c r="F34" s="23"/>
      <c r="G34" s="19">
        <f t="shared" ref="G34:AL34" si="11">($C$33-G33+1)*(G12&gt;0)</f>
        <v>0</v>
      </c>
      <c r="H34" s="19">
        <f t="shared" si="11"/>
        <v>0</v>
      </c>
      <c r="I34" s="19">
        <f t="shared" si="11"/>
        <v>0</v>
      </c>
      <c r="J34" s="19">
        <f t="shared" si="11"/>
        <v>0</v>
      </c>
      <c r="K34" s="19">
        <f t="shared" si="11"/>
        <v>24</v>
      </c>
      <c r="L34" s="19">
        <f t="shared" si="11"/>
        <v>23</v>
      </c>
      <c r="M34" s="19">
        <f t="shared" si="11"/>
        <v>22</v>
      </c>
      <c r="N34" s="19">
        <f t="shared" si="11"/>
        <v>21</v>
      </c>
      <c r="O34" s="19">
        <f t="shared" si="11"/>
        <v>20</v>
      </c>
      <c r="P34" s="19">
        <f t="shared" si="11"/>
        <v>19</v>
      </c>
      <c r="Q34" s="19">
        <f t="shared" si="11"/>
        <v>18</v>
      </c>
      <c r="R34" s="19">
        <f t="shared" si="11"/>
        <v>17</v>
      </c>
      <c r="S34" s="19">
        <f t="shared" si="11"/>
        <v>16</v>
      </c>
      <c r="T34" s="19">
        <f t="shared" si="11"/>
        <v>15</v>
      </c>
      <c r="U34" s="19">
        <f>($C$33-U33+1)*(U12&gt;0)</f>
        <v>14</v>
      </c>
      <c r="V34" s="19">
        <f t="shared" si="11"/>
        <v>13</v>
      </c>
      <c r="W34" s="19">
        <f t="shared" si="11"/>
        <v>12</v>
      </c>
      <c r="X34" s="19">
        <f t="shared" si="11"/>
        <v>11</v>
      </c>
      <c r="Y34" s="19">
        <f t="shared" si="11"/>
        <v>10</v>
      </c>
      <c r="Z34" s="19">
        <f t="shared" si="11"/>
        <v>9</v>
      </c>
      <c r="AA34" s="19">
        <f t="shared" si="11"/>
        <v>8</v>
      </c>
      <c r="AB34" s="19">
        <f t="shared" si="11"/>
        <v>7</v>
      </c>
      <c r="AC34" s="19">
        <f t="shared" si="11"/>
        <v>6</v>
      </c>
      <c r="AD34" s="19">
        <f t="shared" si="11"/>
        <v>5</v>
      </c>
      <c r="AE34" s="19">
        <f t="shared" si="11"/>
        <v>4</v>
      </c>
      <c r="AF34" s="19">
        <f t="shared" si="11"/>
        <v>3</v>
      </c>
      <c r="AG34" s="19">
        <f t="shared" si="11"/>
        <v>2</v>
      </c>
      <c r="AH34" s="19">
        <f t="shared" si="11"/>
        <v>1</v>
      </c>
      <c r="AI34" s="19">
        <f t="shared" si="11"/>
        <v>0</v>
      </c>
      <c r="AJ34" s="19">
        <f t="shared" si="11"/>
        <v>0</v>
      </c>
      <c r="AK34" s="19">
        <f t="shared" si="11"/>
        <v>0</v>
      </c>
      <c r="AL34" s="19">
        <f t="shared" si="11"/>
        <v>0</v>
      </c>
      <c r="AM34" s="19">
        <f t="shared" ref="AM34:BD34" si="12">($C$33-AM33+1)*(AM12&gt;0)</f>
        <v>0</v>
      </c>
      <c r="AN34" s="19">
        <f t="shared" si="12"/>
        <v>0</v>
      </c>
      <c r="AO34" s="19">
        <f t="shared" si="12"/>
        <v>0</v>
      </c>
      <c r="AP34" s="19">
        <f t="shared" si="12"/>
        <v>0</v>
      </c>
      <c r="AQ34" s="19">
        <f t="shared" si="12"/>
        <v>0</v>
      </c>
      <c r="AR34" s="19">
        <f t="shared" si="12"/>
        <v>0</v>
      </c>
      <c r="AS34" s="19">
        <f t="shared" si="12"/>
        <v>0</v>
      </c>
      <c r="AT34" s="19">
        <f t="shared" si="12"/>
        <v>0</v>
      </c>
      <c r="AU34" s="19">
        <f t="shared" si="12"/>
        <v>0</v>
      </c>
      <c r="AV34" s="19">
        <f t="shared" si="12"/>
        <v>0</v>
      </c>
      <c r="AW34" s="19">
        <f t="shared" si="12"/>
        <v>0</v>
      </c>
      <c r="AX34" s="19">
        <f t="shared" si="12"/>
        <v>0</v>
      </c>
      <c r="AY34" s="19">
        <f t="shared" si="12"/>
        <v>0</v>
      </c>
      <c r="AZ34" s="19">
        <f t="shared" si="12"/>
        <v>0</v>
      </c>
      <c r="BA34" s="19">
        <f t="shared" si="12"/>
        <v>0</v>
      </c>
      <c r="BB34" s="19">
        <f t="shared" si="12"/>
        <v>0</v>
      </c>
      <c r="BC34" s="19">
        <f t="shared" si="12"/>
        <v>0</v>
      </c>
      <c r="BD34" s="19">
        <f t="shared" si="12"/>
        <v>0</v>
      </c>
    </row>
    <row r="35" spans="1:56" ht="12.5">
      <c r="B35" s="21"/>
      <c r="C35" s="21">
        <f>SUM(G35:BD35)</f>
        <v>5</v>
      </c>
      <c r="D35" s="22" t="s">
        <v>326</v>
      </c>
      <c r="E35" s="18" t="s">
        <v>42</v>
      </c>
      <c r="F35" s="23"/>
      <c r="G35" s="19">
        <f>IF(G33=1,G31,0)</f>
        <v>0</v>
      </c>
      <c r="H35" s="19">
        <f t="shared" ref="H35:BD35" si="13">IF(H33=1,H31,0)</f>
        <v>0</v>
      </c>
      <c r="I35" s="19">
        <f t="shared" si="13"/>
        <v>0</v>
      </c>
      <c r="J35" s="19">
        <f t="shared" si="13"/>
        <v>0</v>
      </c>
      <c r="K35" s="19">
        <f t="shared" si="13"/>
        <v>5</v>
      </c>
      <c r="L35" s="19">
        <f t="shared" si="13"/>
        <v>0</v>
      </c>
      <c r="M35" s="19">
        <f t="shared" si="13"/>
        <v>0</v>
      </c>
      <c r="N35" s="19">
        <f t="shared" si="13"/>
        <v>0</v>
      </c>
      <c r="O35" s="19">
        <f t="shared" si="13"/>
        <v>0</v>
      </c>
      <c r="P35" s="19">
        <f t="shared" si="13"/>
        <v>0</v>
      </c>
      <c r="Q35" s="19">
        <f t="shared" si="13"/>
        <v>0</v>
      </c>
      <c r="R35" s="19">
        <f t="shared" si="13"/>
        <v>0</v>
      </c>
      <c r="S35" s="19">
        <f t="shared" si="13"/>
        <v>0</v>
      </c>
      <c r="T35" s="19">
        <f t="shared" si="13"/>
        <v>0</v>
      </c>
      <c r="U35" s="19">
        <f t="shared" si="13"/>
        <v>0</v>
      </c>
      <c r="V35" s="19">
        <f t="shared" si="13"/>
        <v>0</v>
      </c>
      <c r="W35" s="19">
        <f t="shared" si="13"/>
        <v>0</v>
      </c>
      <c r="X35" s="19">
        <f t="shared" si="13"/>
        <v>0</v>
      </c>
      <c r="Y35" s="19">
        <f t="shared" si="13"/>
        <v>0</v>
      </c>
      <c r="Z35" s="19">
        <f t="shared" si="13"/>
        <v>0</v>
      </c>
      <c r="AA35" s="19">
        <f t="shared" si="13"/>
        <v>0</v>
      </c>
      <c r="AB35" s="19">
        <f t="shared" si="13"/>
        <v>0</v>
      </c>
      <c r="AC35" s="19">
        <f t="shared" si="13"/>
        <v>0</v>
      </c>
      <c r="AD35" s="19">
        <f t="shared" si="13"/>
        <v>0</v>
      </c>
      <c r="AE35" s="19">
        <f t="shared" si="13"/>
        <v>0</v>
      </c>
      <c r="AF35" s="19">
        <f t="shared" si="13"/>
        <v>0</v>
      </c>
      <c r="AG35" s="19">
        <f t="shared" si="13"/>
        <v>0</v>
      </c>
      <c r="AH35" s="19">
        <f t="shared" si="13"/>
        <v>0</v>
      </c>
      <c r="AI35" s="19">
        <f t="shared" si="13"/>
        <v>0</v>
      </c>
      <c r="AJ35" s="19">
        <f t="shared" si="13"/>
        <v>0</v>
      </c>
      <c r="AK35" s="19">
        <f t="shared" si="13"/>
        <v>0</v>
      </c>
      <c r="AL35" s="19">
        <f t="shared" si="13"/>
        <v>0</v>
      </c>
      <c r="AM35" s="19">
        <f t="shared" si="13"/>
        <v>0</v>
      </c>
      <c r="AN35" s="19">
        <f t="shared" si="13"/>
        <v>0</v>
      </c>
      <c r="AO35" s="19">
        <f t="shared" si="13"/>
        <v>0</v>
      </c>
      <c r="AP35" s="19">
        <f t="shared" si="13"/>
        <v>0</v>
      </c>
      <c r="AQ35" s="19">
        <f t="shared" si="13"/>
        <v>0</v>
      </c>
      <c r="AR35" s="19">
        <f t="shared" si="13"/>
        <v>0</v>
      </c>
      <c r="AS35" s="19">
        <f t="shared" si="13"/>
        <v>0</v>
      </c>
      <c r="AT35" s="19">
        <f t="shared" si="13"/>
        <v>0</v>
      </c>
      <c r="AU35" s="19">
        <f t="shared" si="13"/>
        <v>0</v>
      </c>
      <c r="AV35" s="19">
        <f t="shared" si="13"/>
        <v>0</v>
      </c>
      <c r="AW35" s="19">
        <f t="shared" si="13"/>
        <v>0</v>
      </c>
      <c r="AX35" s="19">
        <f t="shared" si="13"/>
        <v>0</v>
      </c>
      <c r="AY35" s="19">
        <f t="shared" si="13"/>
        <v>0</v>
      </c>
      <c r="AZ35" s="19">
        <f t="shared" si="13"/>
        <v>0</v>
      </c>
      <c r="BA35" s="19">
        <f t="shared" si="13"/>
        <v>0</v>
      </c>
      <c r="BB35" s="19">
        <f t="shared" si="13"/>
        <v>0</v>
      </c>
      <c r="BC35" s="19">
        <f t="shared" si="13"/>
        <v>0</v>
      </c>
      <c r="BD35" s="19">
        <f t="shared" si="13"/>
        <v>0</v>
      </c>
    </row>
    <row r="36" spans="1:56" ht="12.5">
      <c r="B36" s="21"/>
      <c r="C36" s="21">
        <f>SUM(G36:BD36)</f>
        <v>28</v>
      </c>
      <c r="D36" s="22" t="s">
        <v>327</v>
      </c>
      <c r="E36" s="18" t="s">
        <v>42</v>
      </c>
      <c r="F36" s="23"/>
      <c r="G36" s="19">
        <f>IF(AND(G33 &gt; 0, SUM(H33:$BD$33) = 0), G31, 0)</f>
        <v>0</v>
      </c>
      <c r="H36" s="19">
        <f>IF(AND(H33 &gt; 0, SUM(I33:$BD$33) = 0), H31, 0)</f>
        <v>0</v>
      </c>
      <c r="I36" s="19">
        <f>IF(AND(I33 &gt; 0, SUM(J33:$BD$33) = 0), I31, 0)</f>
        <v>0</v>
      </c>
      <c r="J36" s="19">
        <f>IF(AND(J33 &gt; 0, SUM(K33:$BD$33) = 0), J31, 0)</f>
        <v>0</v>
      </c>
      <c r="K36" s="19">
        <f>IF(AND(K33 &gt; 0, SUM(L33:$BD$33) = 0), K31, 0)</f>
        <v>0</v>
      </c>
      <c r="L36" s="19">
        <f>IF(AND(L33 &gt; 0, SUM(M33:$BD$33) = 0), L31, 0)</f>
        <v>0</v>
      </c>
      <c r="M36" s="19">
        <f>IF(AND(M33 &gt; 0, SUM(N33:$BD$33) = 0), M31, 0)</f>
        <v>0</v>
      </c>
      <c r="N36" s="19">
        <f>IF(AND(N33 &gt; 0, SUM(O33:$BD$33) = 0), N31, 0)</f>
        <v>0</v>
      </c>
      <c r="O36" s="19">
        <f>IF(AND(O33 &gt; 0, SUM(P33:$BD$33) = 0), O31, 0)</f>
        <v>0</v>
      </c>
      <c r="P36" s="19">
        <f>IF(AND(P33 &gt; 0, SUM(Q33:$BD$33) = 0), P31, 0)</f>
        <v>0</v>
      </c>
      <c r="Q36" s="19">
        <f>IF(AND(Q33 &gt; 0, SUM(R33:$BD$33) = 0), Q31, 0)</f>
        <v>0</v>
      </c>
      <c r="R36" s="19">
        <f>IF(AND(R33 &gt; 0, SUM(S33:$BD$33) = 0), R31, 0)</f>
        <v>0</v>
      </c>
      <c r="S36" s="19">
        <f>IF(AND(S33 &gt; 0, SUM(T33:$BD$33) = 0), S31, 0)</f>
        <v>0</v>
      </c>
      <c r="T36" s="19">
        <f>IF(AND(T33 &gt; 0, SUM(U33:$BD$33) = 0), T31, 0)</f>
        <v>0</v>
      </c>
      <c r="U36" s="19">
        <f>IF(AND(U33 &gt; 0, SUM(V33:$BD$33) = 0), U31, 0)</f>
        <v>0</v>
      </c>
      <c r="V36" s="19">
        <f>IF(AND(V33 &gt; 0, SUM(W33:$BD$33) = 0), V31, 0)</f>
        <v>0</v>
      </c>
      <c r="W36" s="19">
        <f>IF(AND(W33 &gt; 0, SUM(X33:$BD$33) = 0), W31, 0)</f>
        <v>0</v>
      </c>
      <c r="X36" s="19">
        <f>IF(AND(X33 &gt; 0, SUM(Y33:$BD$33) = 0), X31, 0)</f>
        <v>0</v>
      </c>
      <c r="Y36" s="19">
        <f>IF(AND(Y33 &gt; 0, SUM(Z33:$BD$33) = 0), Y31, 0)</f>
        <v>0</v>
      </c>
      <c r="Z36" s="19">
        <f>IF(AND(Z33 &gt; 0, SUM(AA33:$BD$33) = 0), Z31, 0)</f>
        <v>0</v>
      </c>
      <c r="AA36" s="19">
        <f>IF(AND(AA33 &gt; 0, SUM(AB33:$BD$33) = 0), AA31, 0)</f>
        <v>0</v>
      </c>
      <c r="AB36" s="19">
        <f>IF(AND(AB33 &gt; 0, SUM(AC33:$BD$33) = 0), AB31, 0)</f>
        <v>0</v>
      </c>
      <c r="AC36" s="19">
        <f>IF(AND(AC33 &gt; 0, SUM(AD33:$BD$33) = 0), AC31, 0)</f>
        <v>0</v>
      </c>
      <c r="AD36" s="19">
        <f>IF(AND(AD33 &gt; 0, SUM(AE33:$BD$33) = 0), AD31, 0)</f>
        <v>0</v>
      </c>
      <c r="AE36" s="19">
        <f>IF(AND(AE33 &gt; 0, SUM(AF33:$BD$33) = 0), AE31, 0)</f>
        <v>0</v>
      </c>
      <c r="AF36" s="19">
        <f>IF(AND(AF33 &gt; 0, SUM(AG33:$BD$33) = 0), AF31, 0)</f>
        <v>0</v>
      </c>
      <c r="AG36" s="19">
        <f>IF(AND(AG33 &gt; 0, SUM(AH33:$BD$33) = 0), AG31, 0)</f>
        <v>0</v>
      </c>
      <c r="AH36" s="19">
        <f>IF(AND(AH33 &gt; 0, SUM(AI33:$BD$33) = 0), AH31, 0)</f>
        <v>28</v>
      </c>
      <c r="AI36" s="19">
        <f>IF(AND(AI33 &gt; 0, SUM(AJ33:$BD$33) = 0), AI31, 0)</f>
        <v>0</v>
      </c>
      <c r="AJ36" s="19">
        <f>IF(AND(AJ33 &gt; 0, SUM(AK33:$BD$33) = 0), AJ31, 0)</f>
        <v>0</v>
      </c>
      <c r="AK36" s="19">
        <f>IF(AND(AK33 &gt; 0, SUM(AL33:$BD$33) = 0), AK31, 0)</f>
        <v>0</v>
      </c>
      <c r="AL36" s="19">
        <f>IF(AND(AL33 &gt; 0, SUM(AM33:$BD$33) = 0), AL31, 0)</f>
        <v>0</v>
      </c>
      <c r="AM36" s="19">
        <f>IF(AND(AM33 &gt; 0, SUM(AN33:$BD$33) = 0), AM31, 0)</f>
        <v>0</v>
      </c>
      <c r="AN36" s="19">
        <f>IF(AND(AN33 &gt; 0, SUM(AO33:$BD$33) = 0), AN31, 0)</f>
        <v>0</v>
      </c>
      <c r="AO36" s="19">
        <f>IF(AND(AO33 &gt; 0, SUM(AP33:$BD$33) = 0), AO31, 0)</f>
        <v>0</v>
      </c>
      <c r="AP36" s="19">
        <f>IF(AND(AP33 &gt; 0, SUM(AQ33:$BD$33) = 0), AP31, 0)</f>
        <v>0</v>
      </c>
      <c r="AQ36" s="19">
        <f>IF(AND(AQ33 &gt; 0, SUM(AR33:$BD$33) = 0), AQ31, 0)</f>
        <v>0</v>
      </c>
      <c r="AR36" s="19">
        <f>IF(AND(AR33 &gt; 0, SUM(AS33:$BD$33) = 0), AR31, 0)</f>
        <v>0</v>
      </c>
      <c r="AS36" s="19">
        <f>IF(AND(AS33 &gt; 0, SUM(AT33:$BD$33) = 0), AS31, 0)</f>
        <v>0</v>
      </c>
      <c r="AT36" s="19">
        <f>IF(AND(AT33 &gt; 0, SUM(AU33:$BD$33) = 0), AT31, 0)</f>
        <v>0</v>
      </c>
      <c r="AU36" s="19">
        <f>IF(AND(AU33 &gt; 0, SUM(AV33:$BD$33) = 0), AU31, 0)</f>
        <v>0</v>
      </c>
      <c r="AV36" s="19">
        <f>IF(AND(AV33 &gt; 0, SUM(AW33:$BD$33) = 0), AV31, 0)</f>
        <v>0</v>
      </c>
      <c r="AW36" s="19">
        <f>IF(AND(AW33 &gt; 0, SUM(AX33:$BD$33) = 0), AW31, 0)</f>
        <v>0</v>
      </c>
      <c r="AX36" s="19">
        <f>IF(AND(AX33 &gt; 0, SUM(AY33:$BD$33) = 0), AX31, 0)</f>
        <v>0</v>
      </c>
      <c r="AY36" s="19">
        <f>IF(AND(AY33 &gt; 0, SUM(AZ33:$BD$33) = 0), AY31, 0)</f>
        <v>0</v>
      </c>
      <c r="AZ36" s="19">
        <f>IF(AND(AZ33 &gt; 0, SUM(BA33:$BD$33) = 0), AZ31, 0)</f>
        <v>0</v>
      </c>
      <c r="BA36" s="19">
        <f>IF(AND(BA33 &gt; 0, SUM(BB33:$BD$33) = 0), BA31, 0)</f>
        <v>0</v>
      </c>
      <c r="BB36" s="19">
        <f>IF(AND(BB33 &gt; 0, SUM(BC33:$BD$33) = 0), BB31, 0)</f>
        <v>0</v>
      </c>
      <c r="BC36" s="19">
        <f>IF(AND(BC33 &gt; 0, SUM(BD33:$BD$33) = 0), BC31, 0)</f>
        <v>0</v>
      </c>
      <c r="BD36" s="19">
        <f>IF(AND(BD33 &gt; 0, SUM($BD33:BE$33) = 0), BD31, 0)</f>
        <v>0</v>
      </c>
    </row>
    <row r="37" spans="1:56" ht="12.5">
      <c r="B37" s="21"/>
      <c r="C37" s="21"/>
      <c r="D37" s="22"/>
      <c r="E37" s="18"/>
      <c r="F37" s="23"/>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row>
    <row r="38" spans="1:56" ht="13">
      <c r="C38" s="20"/>
      <c r="D38" s="463" t="s">
        <v>328</v>
      </c>
      <c r="E38" s="463"/>
      <c r="F38" s="463"/>
      <c r="G38" s="463"/>
      <c r="H38" s="463"/>
      <c r="I38" s="463"/>
      <c r="J38" s="463"/>
      <c r="K38" s="463"/>
      <c r="L38" s="463"/>
      <c r="M38" s="463"/>
      <c r="N38" s="463"/>
      <c r="O38" s="463"/>
      <c r="P38" s="463"/>
      <c r="Q38" s="463"/>
      <c r="R38" s="463"/>
      <c r="S38" s="463"/>
      <c r="T38" s="463"/>
      <c r="U38" s="463"/>
      <c r="V38" s="463"/>
      <c r="W38" s="463"/>
      <c r="X38" s="463"/>
      <c r="Y38" s="463"/>
      <c r="Z38" s="463"/>
      <c r="AA38" s="463"/>
      <c r="AB38" s="463"/>
      <c r="AC38" s="463"/>
      <c r="AD38" s="463"/>
      <c r="AE38" s="463"/>
      <c r="AF38" s="463"/>
      <c r="AG38" s="463"/>
      <c r="AH38" s="463"/>
      <c r="AI38" s="463"/>
      <c r="AJ38" s="463"/>
      <c r="AK38" s="463"/>
      <c r="AL38" s="463"/>
      <c r="AM38" s="463"/>
      <c r="AN38" s="463"/>
      <c r="AO38" s="463"/>
      <c r="AP38" s="463"/>
      <c r="AQ38" s="463"/>
      <c r="AR38" s="463"/>
      <c r="AS38" s="463"/>
      <c r="AT38" s="463"/>
      <c r="AU38" s="463"/>
      <c r="AV38" s="463"/>
      <c r="AW38" s="463"/>
      <c r="AX38" s="463"/>
      <c r="AY38" s="463"/>
      <c r="AZ38" s="463"/>
      <c r="BA38" s="463"/>
      <c r="BB38" s="463"/>
      <c r="BC38" s="463"/>
      <c r="BD38" s="463"/>
    </row>
    <row r="39" spans="1:56" ht="12.5">
      <c r="A39" s="31"/>
      <c r="C39" s="21">
        <f>MAX(G39:BD39)</f>
        <v>291.5</v>
      </c>
      <c r="D39" s="22" t="s">
        <v>319</v>
      </c>
      <c r="E39" s="18" t="s">
        <v>289</v>
      </c>
      <c r="F39" s="23"/>
      <c r="G39" s="19">
        <f t="shared" ref="G39:AL39" si="14">G25</f>
        <v>-20</v>
      </c>
      <c r="H39" s="19">
        <f t="shared" si="14"/>
        <v>-20</v>
      </c>
      <c r="I39" s="19">
        <f t="shared" si="14"/>
        <v>-75</v>
      </c>
      <c r="J39" s="19">
        <f t="shared" si="14"/>
        <v>-300</v>
      </c>
      <c r="K39" s="19">
        <f t="shared" si="14"/>
        <v>59.550000000000011</v>
      </c>
      <c r="L39" s="19">
        <f t="shared" si="14"/>
        <v>273.95000000000005</v>
      </c>
      <c r="M39" s="19">
        <f t="shared" si="14"/>
        <v>273.95000000000005</v>
      </c>
      <c r="N39" s="19">
        <f t="shared" si="14"/>
        <v>273.95000000000005</v>
      </c>
      <c r="O39" s="19">
        <f t="shared" si="14"/>
        <v>273.95000000000005</v>
      </c>
      <c r="P39" s="19">
        <f t="shared" si="14"/>
        <v>273.95000000000005</v>
      </c>
      <c r="Q39" s="19">
        <f t="shared" si="14"/>
        <v>273.95000000000005</v>
      </c>
      <c r="R39" s="19">
        <f t="shared" si="14"/>
        <v>273.95000000000005</v>
      </c>
      <c r="S39" s="19">
        <f t="shared" si="14"/>
        <v>273.95000000000005</v>
      </c>
      <c r="T39" s="19">
        <f t="shared" si="14"/>
        <v>273.95000000000005</v>
      </c>
      <c r="U39" s="19">
        <f t="shared" si="14"/>
        <v>273.95000000000005</v>
      </c>
      <c r="V39" s="19">
        <f t="shared" si="14"/>
        <v>273.95000000000005</v>
      </c>
      <c r="W39" s="19">
        <f t="shared" si="14"/>
        <v>273.95000000000005</v>
      </c>
      <c r="X39" s="19">
        <f t="shared" si="14"/>
        <v>273.95000000000005</v>
      </c>
      <c r="Y39" s="19">
        <f t="shared" si="14"/>
        <v>273.95000000000005</v>
      </c>
      <c r="Z39" s="19">
        <f t="shared" si="14"/>
        <v>273.95000000000005</v>
      </c>
      <c r="AA39" s="19">
        <f t="shared" si="14"/>
        <v>273.95000000000005</v>
      </c>
      <c r="AB39" s="19">
        <f t="shared" si="14"/>
        <v>273.95000000000005</v>
      </c>
      <c r="AC39" s="19">
        <f t="shared" si="14"/>
        <v>273.95000000000005</v>
      </c>
      <c r="AD39" s="19">
        <f t="shared" si="14"/>
        <v>271.5</v>
      </c>
      <c r="AE39" s="19">
        <f t="shared" si="14"/>
        <v>271.5</v>
      </c>
      <c r="AF39" s="19">
        <f t="shared" si="14"/>
        <v>271.5</v>
      </c>
      <c r="AG39" s="19">
        <f t="shared" si="14"/>
        <v>291.5</v>
      </c>
      <c r="AH39" s="19">
        <f t="shared" si="14"/>
        <v>133.5</v>
      </c>
      <c r="AI39" s="19">
        <f t="shared" si="14"/>
        <v>-15</v>
      </c>
      <c r="AJ39" s="19">
        <f t="shared" si="14"/>
        <v>0</v>
      </c>
      <c r="AK39" s="19">
        <f t="shared" si="14"/>
        <v>0</v>
      </c>
      <c r="AL39" s="19">
        <f t="shared" si="14"/>
        <v>0</v>
      </c>
      <c r="AM39" s="19">
        <f t="shared" ref="AM39:BD39" si="15">AM25</f>
        <v>0</v>
      </c>
      <c r="AN39" s="19">
        <f t="shared" si="15"/>
        <v>0</v>
      </c>
      <c r="AO39" s="19">
        <f t="shared" si="15"/>
        <v>0</v>
      </c>
      <c r="AP39" s="19">
        <f t="shared" si="15"/>
        <v>0</v>
      </c>
      <c r="AQ39" s="19">
        <f t="shared" si="15"/>
        <v>0</v>
      </c>
      <c r="AR39" s="19">
        <f t="shared" si="15"/>
        <v>0</v>
      </c>
      <c r="AS39" s="19">
        <f t="shared" si="15"/>
        <v>0</v>
      </c>
      <c r="AT39" s="19">
        <f t="shared" si="15"/>
        <v>0</v>
      </c>
      <c r="AU39" s="19">
        <f t="shared" si="15"/>
        <v>0</v>
      </c>
      <c r="AV39" s="19">
        <f t="shared" si="15"/>
        <v>0</v>
      </c>
      <c r="AW39" s="19">
        <f t="shared" si="15"/>
        <v>0</v>
      </c>
      <c r="AX39" s="19">
        <f t="shared" si="15"/>
        <v>0</v>
      </c>
      <c r="AY39" s="19">
        <f t="shared" si="15"/>
        <v>0</v>
      </c>
      <c r="AZ39" s="19">
        <f t="shared" si="15"/>
        <v>0</v>
      </c>
      <c r="BA39" s="19">
        <f t="shared" si="15"/>
        <v>0</v>
      </c>
      <c r="BB39" s="19">
        <f t="shared" si="15"/>
        <v>0</v>
      </c>
      <c r="BC39" s="19">
        <f t="shared" si="15"/>
        <v>0</v>
      </c>
      <c r="BD39" s="19">
        <f t="shared" si="15"/>
        <v>0</v>
      </c>
    </row>
    <row r="40" spans="1:56" ht="12.5">
      <c r="A40" s="31"/>
      <c r="C40" s="21">
        <f>MAX(G40:BD40)</f>
        <v>5815.1499999999987</v>
      </c>
      <c r="D40" s="22" t="s">
        <v>329</v>
      </c>
      <c r="E40" s="18" t="s">
        <v>289</v>
      </c>
      <c r="F40" s="23"/>
      <c r="G40" s="19">
        <f t="shared" ref="G40:AL40" si="16">G39+F40</f>
        <v>-20</v>
      </c>
      <c r="H40" s="19">
        <f t="shared" si="16"/>
        <v>-40</v>
      </c>
      <c r="I40" s="19">
        <f t="shared" si="16"/>
        <v>-115</v>
      </c>
      <c r="J40" s="19">
        <f t="shared" si="16"/>
        <v>-415</v>
      </c>
      <c r="K40" s="19">
        <f t="shared" si="16"/>
        <v>-355.45</v>
      </c>
      <c r="L40" s="19">
        <f t="shared" si="16"/>
        <v>-81.499999999999943</v>
      </c>
      <c r="M40" s="19">
        <f t="shared" si="16"/>
        <v>192.4500000000001</v>
      </c>
      <c r="N40" s="19">
        <f t="shared" si="16"/>
        <v>466.40000000000015</v>
      </c>
      <c r="O40" s="19">
        <f t="shared" si="16"/>
        <v>740.35000000000014</v>
      </c>
      <c r="P40" s="19">
        <f t="shared" si="16"/>
        <v>1014.3000000000002</v>
      </c>
      <c r="Q40" s="19">
        <f t="shared" si="16"/>
        <v>1288.2500000000002</v>
      </c>
      <c r="R40" s="19">
        <f t="shared" si="16"/>
        <v>1562.2000000000003</v>
      </c>
      <c r="S40" s="19">
        <f t="shared" si="16"/>
        <v>1836.1500000000003</v>
      </c>
      <c r="T40" s="19">
        <f t="shared" si="16"/>
        <v>2110.1000000000004</v>
      </c>
      <c r="U40" s="19">
        <f t="shared" si="16"/>
        <v>2384.0500000000002</v>
      </c>
      <c r="V40" s="19">
        <f t="shared" si="16"/>
        <v>2658</v>
      </c>
      <c r="W40" s="19">
        <f t="shared" si="16"/>
        <v>2931.95</v>
      </c>
      <c r="X40" s="19">
        <f t="shared" si="16"/>
        <v>3205.8999999999996</v>
      </c>
      <c r="Y40" s="19">
        <f t="shared" si="16"/>
        <v>3479.8499999999995</v>
      </c>
      <c r="Z40" s="19">
        <f t="shared" si="16"/>
        <v>3753.7999999999993</v>
      </c>
      <c r="AA40" s="19">
        <f t="shared" si="16"/>
        <v>4027.7499999999991</v>
      </c>
      <c r="AB40" s="19">
        <f t="shared" si="16"/>
        <v>4301.6999999999989</v>
      </c>
      <c r="AC40" s="19">
        <f t="shared" si="16"/>
        <v>4575.6499999999987</v>
      </c>
      <c r="AD40" s="19">
        <f t="shared" si="16"/>
        <v>4847.1499999999987</v>
      </c>
      <c r="AE40" s="19">
        <f t="shared" si="16"/>
        <v>5118.6499999999987</v>
      </c>
      <c r="AF40" s="19">
        <f t="shared" si="16"/>
        <v>5390.1499999999987</v>
      </c>
      <c r="AG40" s="19">
        <f t="shared" si="16"/>
        <v>5681.6499999999987</v>
      </c>
      <c r="AH40" s="19">
        <f t="shared" si="16"/>
        <v>5815.1499999999987</v>
      </c>
      <c r="AI40" s="19">
        <f t="shared" si="16"/>
        <v>5800.1499999999987</v>
      </c>
      <c r="AJ40" s="19">
        <f t="shared" si="16"/>
        <v>5800.1499999999987</v>
      </c>
      <c r="AK40" s="19">
        <f t="shared" si="16"/>
        <v>5800.1499999999987</v>
      </c>
      <c r="AL40" s="19">
        <f t="shared" si="16"/>
        <v>5800.1499999999987</v>
      </c>
      <c r="AM40" s="19">
        <f t="shared" ref="AM40:BD40" si="17">AM39+AL40</f>
        <v>5800.1499999999987</v>
      </c>
      <c r="AN40" s="19">
        <f t="shared" si="17"/>
        <v>5800.1499999999987</v>
      </c>
      <c r="AO40" s="19">
        <f t="shared" si="17"/>
        <v>5800.1499999999987</v>
      </c>
      <c r="AP40" s="19">
        <f t="shared" si="17"/>
        <v>5800.1499999999987</v>
      </c>
      <c r="AQ40" s="19">
        <f t="shared" si="17"/>
        <v>5800.1499999999987</v>
      </c>
      <c r="AR40" s="19">
        <f t="shared" si="17"/>
        <v>5800.1499999999987</v>
      </c>
      <c r="AS40" s="19">
        <f t="shared" si="17"/>
        <v>5800.1499999999987</v>
      </c>
      <c r="AT40" s="19">
        <f t="shared" si="17"/>
        <v>5800.1499999999987</v>
      </c>
      <c r="AU40" s="19">
        <f t="shared" si="17"/>
        <v>5800.1499999999987</v>
      </c>
      <c r="AV40" s="19">
        <f t="shared" si="17"/>
        <v>5800.1499999999987</v>
      </c>
      <c r="AW40" s="19">
        <f t="shared" si="17"/>
        <v>5800.1499999999987</v>
      </c>
      <c r="AX40" s="19">
        <f t="shared" si="17"/>
        <v>5800.1499999999987</v>
      </c>
      <c r="AY40" s="19">
        <f t="shared" si="17"/>
        <v>5800.1499999999987</v>
      </c>
      <c r="AZ40" s="19">
        <f t="shared" si="17"/>
        <v>5800.1499999999987</v>
      </c>
      <c r="BA40" s="19">
        <f t="shared" si="17"/>
        <v>5800.1499999999987</v>
      </c>
      <c r="BB40" s="19">
        <f t="shared" si="17"/>
        <v>5800.1499999999987</v>
      </c>
      <c r="BC40" s="19">
        <f t="shared" si="17"/>
        <v>5800.1499999999987</v>
      </c>
      <c r="BD40" s="19">
        <f t="shared" si="17"/>
        <v>5800.1499999999987</v>
      </c>
    </row>
    <row r="41" spans="1:56" ht="12.5">
      <c r="A41" s="31"/>
      <c r="C41" s="21">
        <f>MAX(G41:BD41)</f>
        <v>6.2974995437123562</v>
      </c>
      <c r="D41" s="22" t="s">
        <v>328</v>
      </c>
      <c r="E41" s="18" t="s">
        <v>42</v>
      </c>
      <c r="F41" s="23"/>
      <c r="G41" s="36">
        <f t="shared" ref="G41:AL41" si="18">IF(AND(G40&lt;=0,H40&gt;0),G31+(-G40/H39),0)</f>
        <v>0</v>
      </c>
      <c r="H41" s="36">
        <f t="shared" si="18"/>
        <v>0</v>
      </c>
      <c r="I41" s="36">
        <f t="shared" si="18"/>
        <v>0</v>
      </c>
      <c r="J41" s="36">
        <f t="shared" si="18"/>
        <v>0</v>
      </c>
      <c r="K41" s="36">
        <f t="shared" si="18"/>
        <v>0</v>
      </c>
      <c r="L41" s="36">
        <f t="shared" si="18"/>
        <v>6.2974995437123562</v>
      </c>
      <c r="M41" s="36">
        <f t="shared" si="18"/>
        <v>0</v>
      </c>
      <c r="N41" s="36">
        <f t="shared" si="18"/>
        <v>0</v>
      </c>
      <c r="O41" s="36">
        <f t="shared" si="18"/>
        <v>0</v>
      </c>
      <c r="P41" s="36">
        <f t="shared" si="18"/>
        <v>0</v>
      </c>
      <c r="Q41" s="36">
        <f t="shared" si="18"/>
        <v>0</v>
      </c>
      <c r="R41" s="36">
        <f t="shared" si="18"/>
        <v>0</v>
      </c>
      <c r="S41" s="36">
        <f t="shared" si="18"/>
        <v>0</v>
      </c>
      <c r="T41" s="36">
        <f t="shared" si="18"/>
        <v>0</v>
      </c>
      <c r="U41" s="36">
        <f t="shared" si="18"/>
        <v>0</v>
      </c>
      <c r="V41" s="36">
        <f t="shared" si="18"/>
        <v>0</v>
      </c>
      <c r="W41" s="36">
        <f t="shared" si="18"/>
        <v>0</v>
      </c>
      <c r="X41" s="36">
        <f t="shared" si="18"/>
        <v>0</v>
      </c>
      <c r="Y41" s="36">
        <f t="shared" si="18"/>
        <v>0</v>
      </c>
      <c r="Z41" s="36">
        <f t="shared" si="18"/>
        <v>0</v>
      </c>
      <c r="AA41" s="36">
        <f t="shared" si="18"/>
        <v>0</v>
      </c>
      <c r="AB41" s="36">
        <f t="shared" si="18"/>
        <v>0</v>
      </c>
      <c r="AC41" s="36">
        <f t="shared" si="18"/>
        <v>0</v>
      </c>
      <c r="AD41" s="36">
        <f t="shared" si="18"/>
        <v>0</v>
      </c>
      <c r="AE41" s="36">
        <f t="shared" si="18"/>
        <v>0</v>
      </c>
      <c r="AF41" s="36">
        <f t="shared" si="18"/>
        <v>0</v>
      </c>
      <c r="AG41" s="36">
        <f t="shared" si="18"/>
        <v>0</v>
      </c>
      <c r="AH41" s="36">
        <f t="shared" si="18"/>
        <v>0</v>
      </c>
      <c r="AI41" s="36">
        <f t="shared" si="18"/>
        <v>0</v>
      </c>
      <c r="AJ41" s="36">
        <f t="shared" si="18"/>
        <v>0</v>
      </c>
      <c r="AK41" s="36">
        <f t="shared" si="18"/>
        <v>0</v>
      </c>
      <c r="AL41" s="36">
        <f t="shared" si="18"/>
        <v>0</v>
      </c>
      <c r="AM41" s="36">
        <f t="shared" ref="AM41:BD41" si="19">IF(AND(AM40&lt;=0,AN40&gt;0),AM31+(-AM40/AN39),0)</f>
        <v>0</v>
      </c>
      <c r="AN41" s="36">
        <f t="shared" si="19"/>
        <v>0</v>
      </c>
      <c r="AO41" s="36">
        <f t="shared" si="19"/>
        <v>0</v>
      </c>
      <c r="AP41" s="36">
        <f t="shared" si="19"/>
        <v>0</v>
      </c>
      <c r="AQ41" s="36">
        <f t="shared" si="19"/>
        <v>0</v>
      </c>
      <c r="AR41" s="36">
        <f t="shared" si="19"/>
        <v>0</v>
      </c>
      <c r="AS41" s="36">
        <f t="shared" si="19"/>
        <v>0</v>
      </c>
      <c r="AT41" s="36">
        <f t="shared" si="19"/>
        <v>0</v>
      </c>
      <c r="AU41" s="36">
        <f t="shared" si="19"/>
        <v>0</v>
      </c>
      <c r="AV41" s="36">
        <f t="shared" si="19"/>
        <v>0</v>
      </c>
      <c r="AW41" s="36">
        <f t="shared" si="19"/>
        <v>0</v>
      </c>
      <c r="AX41" s="36">
        <f t="shared" si="19"/>
        <v>0</v>
      </c>
      <c r="AY41" s="36">
        <f t="shared" si="19"/>
        <v>0</v>
      </c>
      <c r="AZ41" s="36">
        <f t="shared" si="19"/>
        <v>0</v>
      </c>
      <c r="BA41" s="36">
        <f t="shared" si="19"/>
        <v>0</v>
      </c>
      <c r="BB41" s="36">
        <f t="shared" si="19"/>
        <v>0</v>
      </c>
      <c r="BC41" s="36">
        <f t="shared" si="19"/>
        <v>0</v>
      </c>
      <c r="BD41" s="36">
        <f t="shared" si="19"/>
        <v>0</v>
      </c>
    </row>
    <row r="42" spans="1:56" ht="12.5">
      <c r="C42" s="17"/>
      <c r="E42" s="18"/>
      <c r="G42" s="19"/>
      <c r="H42" s="432"/>
      <c r="I42" s="432"/>
      <c r="J42" s="432"/>
      <c r="K42" s="432"/>
      <c r="L42" s="432"/>
      <c r="M42" s="432"/>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row>
    <row r="43" spans="1:56" ht="13">
      <c r="A43" s="31"/>
      <c r="C43" s="20"/>
      <c r="D43" s="463" t="s">
        <v>34</v>
      </c>
      <c r="E43" s="463"/>
      <c r="F43" s="463"/>
      <c r="G43" s="463"/>
      <c r="H43" s="463"/>
      <c r="I43" s="463"/>
      <c r="J43" s="463"/>
      <c r="K43" s="463"/>
      <c r="L43" s="463"/>
      <c r="M43" s="463"/>
      <c r="N43" s="463"/>
      <c r="O43" s="463"/>
      <c r="P43" s="463"/>
      <c r="Q43" s="463"/>
      <c r="R43" s="463"/>
      <c r="S43" s="463"/>
      <c r="T43" s="463"/>
      <c r="U43" s="463"/>
      <c r="V43" s="463"/>
      <c r="W43" s="463"/>
      <c r="X43" s="463"/>
      <c r="Y43" s="463"/>
      <c r="Z43" s="463"/>
      <c r="AA43" s="463"/>
      <c r="AB43" s="463"/>
      <c r="AC43" s="463"/>
      <c r="AD43" s="463"/>
      <c r="AE43" s="463"/>
      <c r="AF43" s="463"/>
      <c r="AG43" s="463"/>
      <c r="AH43" s="463"/>
      <c r="AI43" s="463"/>
      <c r="AJ43" s="463"/>
      <c r="AK43" s="463"/>
      <c r="AL43" s="463"/>
      <c r="AM43" s="463"/>
      <c r="AN43" s="463"/>
      <c r="AO43" s="463"/>
      <c r="AP43" s="463"/>
      <c r="AQ43" s="463"/>
      <c r="AR43" s="463"/>
      <c r="AS43" s="463"/>
      <c r="AT43" s="463"/>
      <c r="AU43" s="463"/>
      <c r="AV43" s="463"/>
      <c r="AW43" s="463"/>
      <c r="AX43" s="463"/>
      <c r="AY43" s="463"/>
      <c r="AZ43" s="463"/>
      <c r="BA43" s="463"/>
      <c r="BB43" s="463"/>
      <c r="BC43" s="463"/>
      <c r="BD43" s="463"/>
    </row>
    <row r="44" spans="1:56" ht="12.5">
      <c r="A44" s="31"/>
      <c r="C44" s="34"/>
      <c r="D44" s="22" t="s">
        <v>330</v>
      </c>
      <c r="E44" s="18" t="s">
        <v>331</v>
      </c>
      <c r="F44" s="23"/>
      <c r="G44" s="36">
        <f>IF(Inputs!F$219=1,1,(1+Inputs!$E$202)^(Inputs!F$219-1))</f>
        <v>1</v>
      </c>
      <c r="H44" s="36">
        <f>IF(Inputs!G$219=1,1,(1+Inputs!$E$202)^(Inputs!G$219-1))</f>
        <v>1.02</v>
      </c>
      <c r="I44" s="36">
        <f>IF(Inputs!H$219=1,1,(1+Inputs!$E$202)^(Inputs!H$219-1))</f>
        <v>1.0404</v>
      </c>
      <c r="J44" s="36">
        <f>IF(Inputs!I$219=1,1,(1+Inputs!$E$202)^(Inputs!I$219-1))</f>
        <v>1.0612079999999999</v>
      </c>
      <c r="K44" s="36">
        <f>IF(Inputs!J$219=1,1,(1+Inputs!$E$202)^(Inputs!J$219-1))</f>
        <v>1.08243216</v>
      </c>
      <c r="L44" s="36">
        <f>IF(Inputs!K$219=1,1,(1+Inputs!$E$202)^(Inputs!K$219-1))</f>
        <v>1.1040808032</v>
      </c>
      <c r="M44" s="36">
        <f>IF(Inputs!L$219=1,1,(1+Inputs!$E$202)^(Inputs!L$219-1))</f>
        <v>1.1261624192640001</v>
      </c>
      <c r="N44" s="36">
        <f>IF(Inputs!M$219=1,1,(1+Inputs!$E$202)^(Inputs!M$219-1))</f>
        <v>1.1486856676492798</v>
      </c>
      <c r="O44" s="36">
        <f>IF(Inputs!N$219=1,1,(1+Inputs!$E$202)^(Inputs!N$219-1))</f>
        <v>1.1716593810022655</v>
      </c>
      <c r="P44" s="36">
        <f>IF(Inputs!O$219=1,1,(1+Inputs!$E$202)^(Inputs!O$219-1))</f>
        <v>1.1950925686223108</v>
      </c>
      <c r="Q44" s="36">
        <f>IF(Inputs!P$219=1,1,(1+Inputs!$E$202)^(Inputs!P$219-1))</f>
        <v>1.2189944199947571</v>
      </c>
      <c r="R44" s="36">
        <f>IF(Inputs!Q$219=1,1,(1+Inputs!$E$202)^(Inputs!Q$219-1))</f>
        <v>1.243374308394652</v>
      </c>
      <c r="S44" s="36">
        <f>IF(Inputs!R$219=1,1,(1+Inputs!$E$202)^(Inputs!R$219-1))</f>
        <v>1.2682417945625453</v>
      </c>
      <c r="T44" s="36">
        <f>IF(Inputs!S$219=1,1,(1+Inputs!$E$202)^(Inputs!S$219-1))</f>
        <v>1.2936066304537961</v>
      </c>
      <c r="U44" s="36">
        <f>IF(Inputs!T$219=1,1,(1+Inputs!$E$202)^(Inputs!T$219-1))</f>
        <v>1.3194787630628722</v>
      </c>
      <c r="V44" s="36">
        <f>IF(Inputs!U$219=1,1,(1+Inputs!$E$202)^(Inputs!U$219-1))</f>
        <v>1.3458683383241292</v>
      </c>
      <c r="W44" s="36">
        <f>IF(Inputs!V$219=1,1,(1+Inputs!$E$202)^(Inputs!V$219-1))</f>
        <v>1.372785705090612</v>
      </c>
      <c r="X44" s="36">
        <f>IF(Inputs!W$219=1,1,(1+Inputs!$E$202)^(Inputs!W$219-1))</f>
        <v>1.4002414191924244</v>
      </c>
      <c r="Y44" s="36">
        <f>IF(Inputs!X$219=1,1,(1+Inputs!$E$202)^(Inputs!X$219-1))</f>
        <v>1.4282462475762727</v>
      </c>
      <c r="Z44" s="36">
        <f>IF(Inputs!Y$219=1,1,(1+Inputs!$E$202)^(Inputs!Y$219-1))</f>
        <v>1.4568111725277981</v>
      </c>
      <c r="AA44" s="36">
        <f>IF(Inputs!Z$219=1,1,(1+Inputs!$E$202)^(Inputs!Z$219-1))</f>
        <v>1.4859473959783542</v>
      </c>
      <c r="AB44" s="36">
        <f>IF(Inputs!AA$219=1,1,(1+Inputs!$E$202)^(Inputs!AA$219-1))</f>
        <v>1.5156663438979212</v>
      </c>
      <c r="AC44" s="36">
        <f>IF(Inputs!AB$219=1,1,(1+Inputs!$E$202)^(Inputs!AB$219-1))</f>
        <v>1.5459796707758797</v>
      </c>
      <c r="AD44" s="36">
        <f>IF(Inputs!AC$219=1,1,(1+Inputs!$E$202)^(Inputs!AC$219-1))</f>
        <v>1.576899264191397</v>
      </c>
      <c r="AE44" s="36">
        <f>IF(Inputs!AD$219=1,1,(1+Inputs!$E$202)^(Inputs!AD$219-1))</f>
        <v>1.608437249475225</v>
      </c>
      <c r="AF44" s="36">
        <f>IF(Inputs!AE$219=1,1,(1+Inputs!$E$202)^(Inputs!AE$219-1))</f>
        <v>1.6406059944647295</v>
      </c>
      <c r="AG44" s="36">
        <f>IF(Inputs!AF$219=1,1,(1+Inputs!$E$202)^(Inputs!AF$219-1))</f>
        <v>1.6734181143540243</v>
      </c>
      <c r="AH44" s="36">
        <f>IF(Inputs!AG$219=1,1,(1+Inputs!$E$202)^(Inputs!AG$219-1))</f>
        <v>1.7068864766411045</v>
      </c>
      <c r="AI44" s="36">
        <f>IF(Inputs!AH$219=1,1,(1+Inputs!$E$202)^(Inputs!AH$219-1))</f>
        <v>1.7410242061739269</v>
      </c>
      <c r="AJ44" s="36">
        <f>IF(Inputs!AI$219=1,1,(1+Inputs!$E$202)^(Inputs!AI$219-1))</f>
        <v>1.7758446902974052</v>
      </c>
      <c r="AK44" s="36">
        <f>IF(Inputs!AJ$219=1,1,(1+Inputs!$E$202)^(Inputs!AJ$219-1))</f>
        <v>1.8113615841033535</v>
      </c>
      <c r="AL44" s="36">
        <f>IF(Inputs!AK$219=1,1,(1+Inputs!$E$202)^(Inputs!AK$219-1))</f>
        <v>1.8475888157854201</v>
      </c>
      <c r="AM44" s="36">
        <f>IF(Inputs!AL$219=1,1,(1+Inputs!$E$202)^(Inputs!AL$219-1))</f>
        <v>1.8845405921011289</v>
      </c>
      <c r="AN44" s="36">
        <f>IF(Inputs!AM$219=1,1,(1+Inputs!$E$202)^(Inputs!AM$219-1))</f>
        <v>1.9222314039431516</v>
      </c>
      <c r="AO44" s="36">
        <f>IF(Inputs!AN$219=1,1,(1+Inputs!$E$202)^(Inputs!AN$219-1))</f>
        <v>1.9606760320220145</v>
      </c>
      <c r="AP44" s="36">
        <f>IF(Inputs!AO$219=1,1,(1+Inputs!$E$202)^(Inputs!AO$219-1))</f>
        <v>1.9998895526624547</v>
      </c>
      <c r="AQ44" s="36">
        <f>IF(Inputs!AP$219=1,1,(1+Inputs!$E$202)^(Inputs!AP$219-1))</f>
        <v>2.0398873437157037</v>
      </c>
      <c r="AR44" s="36">
        <f>IF(Inputs!AQ$219=1,1,(1+Inputs!$E$202)^(Inputs!AQ$219-1))</f>
        <v>2.080685090590018</v>
      </c>
      <c r="AS44" s="36">
        <f>IF(Inputs!AR$219=1,1,(1+Inputs!$E$202)^(Inputs!AR$219-1))</f>
        <v>2.1222987924018186</v>
      </c>
      <c r="AT44" s="36">
        <f>IF(Inputs!AS$219=1,1,(1+Inputs!$E$202)^(Inputs!AS$219-1))</f>
        <v>2.1647447682498542</v>
      </c>
      <c r="AU44" s="36">
        <f>IF(Inputs!AT$219=1,1,(1+Inputs!$E$202)^(Inputs!AT$219-1))</f>
        <v>2.2080396636148518</v>
      </c>
      <c r="AV44" s="36">
        <f>IF(Inputs!AU$219=1,1,(1+Inputs!$E$202)^(Inputs!AU$219-1))</f>
        <v>2.2522004568871488</v>
      </c>
      <c r="AW44" s="36">
        <f>IF(Inputs!AV$219=1,1,(1+Inputs!$E$202)^(Inputs!AV$219-1))</f>
        <v>2.2972444660248916</v>
      </c>
      <c r="AX44" s="36">
        <f>IF(Inputs!AW$219=1,1,(1+Inputs!$E$202)^(Inputs!AW$219-1))</f>
        <v>2.3431893553453893</v>
      </c>
      <c r="AY44" s="36">
        <f>IF(Inputs!AX$219=1,1,(1+Inputs!$E$202)^(Inputs!AX$219-1))</f>
        <v>2.3900531424522975</v>
      </c>
      <c r="AZ44" s="36">
        <f>IF(Inputs!AY$219=1,1,(1+Inputs!$E$202)^(Inputs!AY$219-1))</f>
        <v>2.4378542053013432</v>
      </c>
      <c r="BA44" s="36">
        <f>IF(Inputs!AZ$219=1,1,(1+Inputs!$E$202)^(Inputs!AZ$219-1))</f>
        <v>2.4866112894073704</v>
      </c>
      <c r="BB44" s="36">
        <f>IF(Inputs!BA$219=1,1,(1+Inputs!$E$202)^(Inputs!BA$219-1))</f>
        <v>2.5363435151955169</v>
      </c>
      <c r="BC44" s="36">
        <f>IF(Inputs!BB$219=1,1,(1+Inputs!$E$202)^(Inputs!BB$219-1))</f>
        <v>2.5870703854994277</v>
      </c>
      <c r="BD44" s="36">
        <f>IF(Inputs!BC$219=1,1,(1+Inputs!$E$202)^(Inputs!BC$219-1))</f>
        <v>2.6388117932094164</v>
      </c>
    </row>
    <row r="45" spans="1:56" ht="12.5">
      <c r="A45" s="31"/>
      <c r="C45" s="20"/>
      <c r="D45" s="22"/>
      <c r="E45" s="18"/>
      <c r="F45" s="23"/>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row>
    <row r="46" spans="1:56" ht="13">
      <c r="A46" s="31"/>
      <c r="C46" s="21"/>
      <c r="D46" s="463" t="s">
        <v>332</v>
      </c>
      <c r="E46" s="463" t="s">
        <v>19</v>
      </c>
      <c r="F46" s="463"/>
      <c r="G46" s="544">
        <f t="shared" ref="G46:AL46" si="20">G$6</f>
        <v>1</v>
      </c>
      <c r="H46" s="544">
        <f t="shared" si="20"/>
        <v>2</v>
      </c>
      <c r="I46" s="544">
        <f t="shared" si="20"/>
        <v>3</v>
      </c>
      <c r="J46" s="544">
        <f t="shared" si="20"/>
        <v>4</v>
      </c>
      <c r="K46" s="544">
        <f t="shared" si="20"/>
        <v>5</v>
      </c>
      <c r="L46" s="544">
        <f t="shared" si="20"/>
        <v>6</v>
      </c>
      <c r="M46" s="544">
        <f t="shared" si="20"/>
        <v>7</v>
      </c>
      <c r="N46" s="544">
        <f t="shared" si="20"/>
        <v>8</v>
      </c>
      <c r="O46" s="544">
        <f t="shared" si="20"/>
        <v>9</v>
      </c>
      <c r="P46" s="544">
        <f t="shared" si="20"/>
        <v>10</v>
      </c>
      <c r="Q46" s="544">
        <f t="shared" si="20"/>
        <v>11</v>
      </c>
      <c r="R46" s="544">
        <f t="shared" si="20"/>
        <v>12</v>
      </c>
      <c r="S46" s="544">
        <f t="shared" si="20"/>
        <v>13</v>
      </c>
      <c r="T46" s="544">
        <f t="shared" si="20"/>
        <v>14</v>
      </c>
      <c r="U46" s="544">
        <f t="shared" si="20"/>
        <v>15</v>
      </c>
      <c r="V46" s="544">
        <f t="shared" si="20"/>
        <v>16</v>
      </c>
      <c r="W46" s="544">
        <f t="shared" si="20"/>
        <v>17</v>
      </c>
      <c r="X46" s="544">
        <f t="shared" si="20"/>
        <v>18</v>
      </c>
      <c r="Y46" s="544">
        <f t="shared" si="20"/>
        <v>19</v>
      </c>
      <c r="Z46" s="544">
        <f t="shared" si="20"/>
        <v>20</v>
      </c>
      <c r="AA46" s="544">
        <f t="shared" si="20"/>
        <v>21</v>
      </c>
      <c r="AB46" s="544">
        <f t="shared" si="20"/>
        <v>22</v>
      </c>
      <c r="AC46" s="544">
        <f t="shared" si="20"/>
        <v>23</v>
      </c>
      <c r="AD46" s="544">
        <f t="shared" si="20"/>
        <v>24</v>
      </c>
      <c r="AE46" s="544">
        <f t="shared" si="20"/>
        <v>25</v>
      </c>
      <c r="AF46" s="544">
        <f t="shared" si="20"/>
        <v>26</v>
      </c>
      <c r="AG46" s="544">
        <f t="shared" si="20"/>
        <v>27</v>
      </c>
      <c r="AH46" s="544">
        <f t="shared" si="20"/>
        <v>28</v>
      </c>
      <c r="AI46" s="544">
        <f t="shared" si="20"/>
        <v>29</v>
      </c>
      <c r="AJ46" s="544">
        <f t="shared" si="20"/>
        <v>30</v>
      </c>
      <c r="AK46" s="544">
        <f t="shared" si="20"/>
        <v>31</v>
      </c>
      <c r="AL46" s="544">
        <f t="shared" si="20"/>
        <v>32</v>
      </c>
      <c r="AM46" s="544">
        <f t="shared" ref="AM46:BD46" si="21">AM$6</f>
        <v>33</v>
      </c>
      <c r="AN46" s="544">
        <f t="shared" si="21"/>
        <v>34</v>
      </c>
      <c r="AO46" s="544">
        <f t="shared" si="21"/>
        <v>35</v>
      </c>
      <c r="AP46" s="544">
        <f t="shared" si="21"/>
        <v>36</v>
      </c>
      <c r="AQ46" s="544">
        <f t="shared" si="21"/>
        <v>37</v>
      </c>
      <c r="AR46" s="544">
        <f t="shared" si="21"/>
        <v>38</v>
      </c>
      <c r="AS46" s="544">
        <f t="shared" si="21"/>
        <v>39</v>
      </c>
      <c r="AT46" s="544">
        <f t="shared" si="21"/>
        <v>40</v>
      </c>
      <c r="AU46" s="544">
        <f t="shared" si="21"/>
        <v>41</v>
      </c>
      <c r="AV46" s="544">
        <f t="shared" si="21"/>
        <v>42</v>
      </c>
      <c r="AW46" s="544">
        <f t="shared" si="21"/>
        <v>43</v>
      </c>
      <c r="AX46" s="544">
        <f t="shared" si="21"/>
        <v>44</v>
      </c>
      <c r="AY46" s="544">
        <f t="shared" si="21"/>
        <v>45</v>
      </c>
      <c r="AZ46" s="544">
        <f t="shared" si="21"/>
        <v>46</v>
      </c>
      <c r="BA46" s="544">
        <f t="shared" si="21"/>
        <v>47</v>
      </c>
      <c r="BB46" s="544">
        <f t="shared" si="21"/>
        <v>48</v>
      </c>
      <c r="BC46" s="544">
        <f t="shared" si="21"/>
        <v>49</v>
      </c>
      <c r="BD46" s="544">
        <f t="shared" si="21"/>
        <v>50</v>
      </c>
    </row>
    <row r="47" spans="1:56" ht="12.5">
      <c r="C47" s="21">
        <f>SUM(G47:BD47)</f>
        <v>17547.995329144804</v>
      </c>
      <c r="D47" s="22" t="s">
        <v>312</v>
      </c>
      <c r="E47" s="18" t="s">
        <v>333</v>
      </c>
      <c r="F47" s="23"/>
      <c r="G47" s="19">
        <f t="shared" ref="G47:AL47" si="22">G13*G$44</f>
        <v>0</v>
      </c>
      <c r="H47" s="19">
        <f t="shared" si="22"/>
        <v>0</v>
      </c>
      <c r="I47" s="19">
        <f t="shared" si="22"/>
        <v>0</v>
      </c>
      <c r="J47" s="19">
        <f t="shared" si="22"/>
        <v>0</v>
      </c>
      <c r="K47" s="19">
        <f t="shared" si="22"/>
        <v>259.7837184</v>
      </c>
      <c r="L47" s="19">
        <f t="shared" si="22"/>
        <v>618.28524979200006</v>
      </c>
      <c r="M47" s="19">
        <f t="shared" si="22"/>
        <v>630.65095478784008</v>
      </c>
      <c r="N47" s="19">
        <f t="shared" si="22"/>
        <v>643.26397388359669</v>
      </c>
      <c r="O47" s="19">
        <f t="shared" si="22"/>
        <v>656.12925336126864</v>
      </c>
      <c r="P47" s="19">
        <f t="shared" si="22"/>
        <v>669.25183842849401</v>
      </c>
      <c r="Q47" s="19">
        <f t="shared" si="22"/>
        <v>682.636875197064</v>
      </c>
      <c r="R47" s="19">
        <f t="shared" si="22"/>
        <v>696.28961270100513</v>
      </c>
      <c r="S47" s="19">
        <f t="shared" si="22"/>
        <v>710.21540495502541</v>
      </c>
      <c r="T47" s="19">
        <f t="shared" si="22"/>
        <v>724.41971305412585</v>
      </c>
      <c r="U47" s="19">
        <f t="shared" si="22"/>
        <v>738.90810731520844</v>
      </c>
      <c r="V47" s="19">
        <f t="shared" si="22"/>
        <v>753.68626946151232</v>
      </c>
      <c r="W47" s="19">
        <f t="shared" si="22"/>
        <v>768.75999485074271</v>
      </c>
      <c r="X47" s="19">
        <f t="shared" si="22"/>
        <v>784.13519474775762</v>
      </c>
      <c r="Y47" s="19">
        <f t="shared" si="22"/>
        <v>799.81789864271275</v>
      </c>
      <c r="Z47" s="19">
        <f t="shared" si="22"/>
        <v>815.81425661556693</v>
      </c>
      <c r="AA47" s="19">
        <f t="shared" si="22"/>
        <v>832.1305417478784</v>
      </c>
      <c r="AB47" s="19">
        <f t="shared" si="22"/>
        <v>848.77315258283591</v>
      </c>
      <c r="AC47" s="19">
        <f t="shared" si="22"/>
        <v>865.74861563449269</v>
      </c>
      <c r="AD47" s="19">
        <f t="shared" si="22"/>
        <v>883.06358794718233</v>
      </c>
      <c r="AE47" s="19">
        <f t="shared" si="22"/>
        <v>900.72485970612604</v>
      </c>
      <c r="AF47" s="19">
        <f t="shared" si="22"/>
        <v>918.73935690024859</v>
      </c>
      <c r="AG47" s="19">
        <f t="shared" si="22"/>
        <v>937.11414403825358</v>
      </c>
      <c r="AH47" s="19">
        <f t="shared" si="22"/>
        <v>409.65275439386505</v>
      </c>
      <c r="AI47" s="19">
        <f t="shared" si="22"/>
        <v>0</v>
      </c>
      <c r="AJ47" s="19">
        <f t="shared" si="22"/>
        <v>0</v>
      </c>
      <c r="AK47" s="19">
        <f t="shared" si="22"/>
        <v>0</v>
      </c>
      <c r="AL47" s="19">
        <f t="shared" si="22"/>
        <v>0</v>
      </c>
      <c r="AM47" s="19">
        <f t="shared" ref="AM47:BD47" si="23">AM13*AM$44</f>
        <v>0</v>
      </c>
      <c r="AN47" s="19">
        <f t="shared" si="23"/>
        <v>0</v>
      </c>
      <c r="AO47" s="19">
        <f t="shared" si="23"/>
        <v>0</v>
      </c>
      <c r="AP47" s="19">
        <f t="shared" si="23"/>
        <v>0</v>
      </c>
      <c r="AQ47" s="19">
        <f t="shared" si="23"/>
        <v>0</v>
      </c>
      <c r="AR47" s="19">
        <f t="shared" si="23"/>
        <v>0</v>
      </c>
      <c r="AS47" s="19">
        <f t="shared" si="23"/>
        <v>0</v>
      </c>
      <c r="AT47" s="19">
        <f t="shared" si="23"/>
        <v>0</v>
      </c>
      <c r="AU47" s="19">
        <f t="shared" si="23"/>
        <v>0</v>
      </c>
      <c r="AV47" s="19">
        <f t="shared" si="23"/>
        <v>0</v>
      </c>
      <c r="AW47" s="19">
        <f t="shared" si="23"/>
        <v>0</v>
      </c>
      <c r="AX47" s="19">
        <f t="shared" si="23"/>
        <v>0</v>
      </c>
      <c r="AY47" s="19">
        <f t="shared" si="23"/>
        <v>0</v>
      </c>
      <c r="AZ47" s="19">
        <f t="shared" si="23"/>
        <v>0</v>
      </c>
      <c r="BA47" s="19">
        <f t="shared" si="23"/>
        <v>0</v>
      </c>
      <c r="BB47" s="19">
        <f t="shared" si="23"/>
        <v>0</v>
      </c>
      <c r="BC47" s="19">
        <f t="shared" si="23"/>
        <v>0</v>
      </c>
      <c r="BD47" s="19">
        <f t="shared" si="23"/>
        <v>0</v>
      </c>
    </row>
    <row r="48" spans="1:56" ht="12.5">
      <c r="C48" s="21">
        <f>SUM(G48:BD48)</f>
        <v>0</v>
      </c>
      <c r="D48" s="22" t="s">
        <v>313</v>
      </c>
      <c r="E48" s="18" t="s">
        <v>333</v>
      </c>
      <c r="F48" s="23"/>
      <c r="G48" s="19">
        <f t="shared" ref="G48:AL48" si="24">G14*G$44</f>
        <v>0</v>
      </c>
      <c r="H48" s="19">
        <f t="shared" si="24"/>
        <v>0</v>
      </c>
      <c r="I48" s="19">
        <f t="shared" si="24"/>
        <v>0</v>
      </c>
      <c r="J48" s="19">
        <f t="shared" si="24"/>
        <v>0</v>
      </c>
      <c r="K48" s="19">
        <f t="shared" si="24"/>
        <v>0</v>
      </c>
      <c r="L48" s="19">
        <f t="shared" si="24"/>
        <v>0</v>
      </c>
      <c r="M48" s="19">
        <f t="shared" si="24"/>
        <v>0</v>
      </c>
      <c r="N48" s="19">
        <f t="shared" si="24"/>
        <v>0</v>
      </c>
      <c r="O48" s="19">
        <f t="shared" si="24"/>
        <v>0</v>
      </c>
      <c r="P48" s="19">
        <f t="shared" si="24"/>
        <v>0</v>
      </c>
      <c r="Q48" s="19">
        <f t="shared" si="24"/>
        <v>0</v>
      </c>
      <c r="R48" s="19">
        <f t="shared" si="24"/>
        <v>0</v>
      </c>
      <c r="S48" s="19">
        <f t="shared" si="24"/>
        <v>0</v>
      </c>
      <c r="T48" s="19">
        <f t="shared" si="24"/>
        <v>0</v>
      </c>
      <c r="U48" s="19">
        <f t="shared" si="24"/>
        <v>0</v>
      </c>
      <c r="V48" s="19">
        <f t="shared" si="24"/>
        <v>0</v>
      </c>
      <c r="W48" s="19">
        <f t="shared" si="24"/>
        <v>0</v>
      </c>
      <c r="X48" s="19">
        <f t="shared" si="24"/>
        <v>0</v>
      </c>
      <c r="Y48" s="19">
        <f t="shared" si="24"/>
        <v>0</v>
      </c>
      <c r="Z48" s="19">
        <f t="shared" si="24"/>
        <v>0</v>
      </c>
      <c r="AA48" s="19">
        <f t="shared" si="24"/>
        <v>0</v>
      </c>
      <c r="AB48" s="19">
        <f t="shared" si="24"/>
        <v>0</v>
      </c>
      <c r="AC48" s="19">
        <f t="shared" si="24"/>
        <v>0</v>
      </c>
      <c r="AD48" s="19">
        <f t="shared" si="24"/>
        <v>0</v>
      </c>
      <c r="AE48" s="19">
        <f t="shared" si="24"/>
        <v>0</v>
      </c>
      <c r="AF48" s="19">
        <f t="shared" si="24"/>
        <v>0</v>
      </c>
      <c r="AG48" s="19">
        <f t="shared" si="24"/>
        <v>0</v>
      </c>
      <c r="AH48" s="19">
        <f t="shared" si="24"/>
        <v>0</v>
      </c>
      <c r="AI48" s="19">
        <f t="shared" si="24"/>
        <v>0</v>
      </c>
      <c r="AJ48" s="19">
        <f t="shared" si="24"/>
        <v>0</v>
      </c>
      <c r="AK48" s="19">
        <f t="shared" si="24"/>
        <v>0</v>
      </c>
      <c r="AL48" s="19">
        <f t="shared" si="24"/>
        <v>0</v>
      </c>
      <c r="AM48" s="19">
        <f t="shared" ref="AM48:BD48" si="25">AM14*AM$44</f>
        <v>0</v>
      </c>
      <c r="AN48" s="19">
        <f t="shared" si="25"/>
        <v>0</v>
      </c>
      <c r="AO48" s="19">
        <f t="shared" si="25"/>
        <v>0</v>
      </c>
      <c r="AP48" s="19">
        <f t="shared" si="25"/>
        <v>0</v>
      </c>
      <c r="AQ48" s="19">
        <f t="shared" si="25"/>
        <v>0</v>
      </c>
      <c r="AR48" s="19">
        <f t="shared" si="25"/>
        <v>0</v>
      </c>
      <c r="AS48" s="19">
        <f t="shared" si="25"/>
        <v>0</v>
      </c>
      <c r="AT48" s="19">
        <f t="shared" si="25"/>
        <v>0</v>
      </c>
      <c r="AU48" s="19">
        <f t="shared" si="25"/>
        <v>0</v>
      </c>
      <c r="AV48" s="19">
        <f t="shared" si="25"/>
        <v>0</v>
      </c>
      <c r="AW48" s="19">
        <f t="shared" si="25"/>
        <v>0</v>
      </c>
      <c r="AX48" s="19">
        <f t="shared" si="25"/>
        <v>0</v>
      </c>
      <c r="AY48" s="19">
        <f t="shared" si="25"/>
        <v>0</v>
      </c>
      <c r="AZ48" s="19">
        <f t="shared" si="25"/>
        <v>0</v>
      </c>
      <c r="BA48" s="19">
        <f t="shared" si="25"/>
        <v>0</v>
      </c>
      <c r="BB48" s="19">
        <f t="shared" si="25"/>
        <v>0</v>
      </c>
      <c r="BC48" s="19">
        <f t="shared" si="25"/>
        <v>0</v>
      </c>
      <c r="BD48" s="19">
        <f t="shared" si="25"/>
        <v>0</v>
      </c>
    </row>
    <row r="49" spans="1:56" ht="12.5">
      <c r="C49" s="21">
        <f>SUM(G49:BD49)</f>
        <v>17547.995329144804</v>
      </c>
      <c r="D49" s="22" t="s">
        <v>314</v>
      </c>
      <c r="E49" s="18" t="s">
        <v>333</v>
      </c>
      <c r="F49" s="23"/>
      <c r="G49" s="19">
        <f t="shared" ref="G49:AL49" si="26">G15*G$44</f>
        <v>0</v>
      </c>
      <c r="H49" s="19">
        <f t="shared" si="26"/>
        <v>0</v>
      </c>
      <c r="I49" s="19">
        <f t="shared" si="26"/>
        <v>0</v>
      </c>
      <c r="J49" s="19">
        <f t="shared" si="26"/>
        <v>0</v>
      </c>
      <c r="K49" s="19">
        <f t="shared" si="26"/>
        <v>259.7837184</v>
      </c>
      <c r="L49" s="19">
        <f t="shared" si="26"/>
        <v>618.28524979200006</v>
      </c>
      <c r="M49" s="19">
        <f t="shared" si="26"/>
        <v>630.65095478784008</v>
      </c>
      <c r="N49" s="19">
        <f t="shared" si="26"/>
        <v>643.26397388359669</v>
      </c>
      <c r="O49" s="19">
        <f t="shared" si="26"/>
        <v>656.12925336126864</v>
      </c>
      <c r="P49" s="19">
        <f t="shared" si="26"/>
        <v>669.25183842849401</v>
      </c>
      <c r="Q49" s="19">
        <f t="shared" si="26"/>
        <v>682.636875197064</v>
      </c>
      <c r="R49" s="19">
        <f t="shared" si="26"/>
        <v>696.28961270100513</v>
      </c>
      <c r="S49" s="19">
        <f t="shared" si="26"/>
        <v>710.21540495502541</v>
      </c>
      <c r="T49" s="19">
        <f t="shared" si="26"/>
        <v>724.41971305412585</v>
      </c>
      <c r="U49" s="19">
        <f t="shared" si="26"/>
        <v>738.90810731520844</v>
      </c>
      <c r="V49" s="19">
        <f t="shared" si="26"/>
        <v>753.68626946151232</v>
      </c>
      <c r="W49" s="19">
        <f t="shared" si="26"/>
        <v>768.75999485074271</v>
      </c>
      <c r="X49" s="19">
        <f t="shared" si="26"/>
        <v>784.13519474775762</v>
      </c>
      <c r="Y49" s="19">
        <f t="shared" si="26"/>
        <v>799.81789864271275</v>
      </c>
      <c r="Z49" s="19">
        <f t="shared" si="26"/>
        <v>815.81425661556693</v>
      </c>
      <c r="AA49" s="19">
        <f t="shared" si="26"/>
        <v>832.1305417478784</v>
      </c>
      <c r="AB49" s="19">
        <f t="shared" si="26"/>
        <v>848.77315258283591</v>
      </c>
      <c r="AC49" s="19">
        <f t="shared" si="26"/>
        <v>865.74861563449269</v>
      </c>
      <c r="AD49" s="19">
        <f t="shared" si="26"/>
        <v>883.06358794718233</v>
      </c>
      <c r="AE49" s="19">
        <f t="shared" si="26"/>
        <v>900.72485970612604</v>
      </c>
      <c r="AF49" s="19">
        <f t="shared" si="26"/>
        <v>918.73935690024859</v>
      </c>
      <c r="AG49" s="19">
        <f t="shared" si="26"/>
        <v>937.11414403825358</v>
      </c>
      <c r="AH49" s="19">
        <f t="shared" si="26"/>
        <v>409.65275439386505</v>
      </c>
      <c r="AI49" s="19">
        <f t="shared" si="26"/>
        <v>0</v>
      </c>
      <c r="AJ49" s="19">
        <f t="shared" si="26"/>
        <v>0</v>
      </c>
      <c r="AK49" s="19">
        <f t="shared" si="26"/>
        <v>0</v>
      </c>
      <c r="AL49" s="19">
        <f t="shared" si="26"/>
        <v>0</v>
      </c>
      <c r="AM49" s="19">
        <f t="shared" ref="AM49:BD49" si="27">AM15*AM$44</f>
        <v>0</v>
      </c>
      <c r="AN49" s="19">
        <f t="shared" si="27"/>
        <v>0</v>
      </c>
      <c r="AO49" s="19">
        <f t="shared" si="27"/>
        <v>0</v>
      </c>
      <c r="AP49" s="19">
        <f t="shared" si="27"/>
        <v>0</v>
      </c>
      <c r="AQ49" s="19">
        <f t="shared" si="27"/>
        <v>0</v>
      </c>
      <c r="AR49" s="19">
        <f t="shared" si="27"/>
        <v>0</v>
      </c>
      <c r="AS49" s="19">
        <f t="shared" si="27"/>
        <v>0</v>
      </c>
      <c r="AT49" s="19">
        <f t="shared" si="27"/>
        <v>0</v>
      </c>
      <c r="AU49" s="19">
        <f t="shared" si="27"/>
        <v>0</v>
      </c>
      <c r="AV49" s="19">
        <f t="shared" si="27"/>
        <v>0</v>
      </c>
      <c r="AW49" s="19">
        <f t="shared" si="27"/>
        <v>0</v>
      </c>
      <c r="AX49" s="19">
        <f t="shared" si="27"/>
        <v>0</v>
      </c>
      <c r="AY49" s="19">
        <f t="shared" si="27"/>
        <v>0</v>
      </c>
      <c r="AZ49" s="19">
        <f t="shared" si="27"/>
        <v>0</v>
      </c>
      <c r="BA49" s="19">
        <f t="shared" si="27"/>
        <v>0</v>
      </c>
      <c r="BB49" s="19">
        <f t="shared" si="27"/>
        <v>0</v>
      </c>
      <c r="BC49" s="19">
        <f t="shared" si="27"/>
        <v>0</v>
      </c>
      <c r="BD49" s="19">
        <f t="shared" si="27"/>
        <v>0</v>
      </c>
    </row>
    <row r="50" spans="1:56" ht="12.5">
      <c r="C50" s="21">
        <f t="shared" ref="C50:C57" si="28">SUM(G50:BD50)</f>
        <v>50.61815556770884</v>
      </c>
      <c r="D50" s="24" t="s">
        <v>315</v>
      </c>
      <c r="E50" s="18" t="s">
        <v>333</v>
      </c>
      <c r="F50" s="23"/>
      <c r="G50" s="19">
        <f t="shared" ref="G50:AL50" si="29">G16*G$44</f>
        <v>0</v>
      </c>
      <c r="H50" s="19">
        <f t="shared" si="29"/>
        <v>0</v>
      </c>
      <c r="I50" s="19">
        <f t="shared" si="29"/>
        <v>0</v>
      </c>
      <c r="J50" s="19">
        <f t="shared" si="29"/>
        <v>0</v>
      </c>
      <c r="K50" s="19">
        <f t="shared" si="29"/>
        <v>0.487094472</v>
      </c>
      <c r="L50" s="19">
        <f t="shared" si="29"/>
        <v>1.15928484336</v>
      </c>
      <c r="M50" s="19">
        <f t="shared" si="29"/>
        <v>1.1824705402272002</v>
      </c>
      <c r="N50" s="19">
        <f t="shared" si="29"/>
        <v>1.206119951031744</v>
      </c>
      <c r="O50" s="19">
        <f t="shared" si="29"/>
        <v>1.2302423500523789</v>
      </c>
      <c r="P50" s="19">
        <f t="shared" si="29"/>
        <v>1.2548471970534265</v>
      </c>
      <c r="Q50" s="19">
        <f t="shared" si="29"/>
        <v>1.2799441409944949</v>
      </c>
      <c r="R50" s="19">
        <f t="shared" si="29"/>
        <v>1.3055430238143846</v>
      </c>
      <c r="S50" s="19">
        <f t="shared" si="29"/>
        <v>1.3316538842906727</v>
      </c>
      <c r="T50" s="19">
        <f t="shared" si="29"/>
        <v>1.3582869619764859</v>
      </c>
      <c r="U50" s="19">
        <f t="shared" si="29"/>
        <v>1.3854527012160158</v>
      </c>
      <c r="V50" s="19">
        <f t="shared" si="29"/>
        <v>1.4131617552403357</v>
      </c>
      <c r="W50" s="19">
        <f t="shared" si="29"/>
        <v>1.4414249903451426</v>
      </c>
      <c r="X50" s="19">
        <f t="shared" si="29"/>
        <v>1.4702534901520457</v>
      </c>
      <c r="Y50" s="19">
        <f t="shared" si="29"/>
        <v>1.4996585599550865</v>
      </c>
      <c r="Z50" s="19">
        <f t="shared" si="29"/>
        <v>1.5296517311541882</v>
      </c>
      <c r="AA50" s="19">
        <f t="shared" si="29"/>
        <v>1.560244765777272</v>
      </c>
      <c r="AB50" s="19">
        <f t="shared" si="29"/>
        <v>1.5914496610928173</v>
      </c>
      <c r="AC50" s="19">
        <f t="shared" si="29"/>
        <v>1.6232786543146738</v>
      </c>
      <c r="AD50" s="19">
        <f t="shared" si="29"/>
        <v>5.5191474246698897</v>
      </c>
      <c r="AE50" s="19">
        <f t="shared" si="29"/>
        <v>5.6295303731632877</v>
      </c>
      <c r="AF50" s="19">
        <f t="shared" si="29"/>
        <v>5.7421209806265532</v>
      </c>
      <c r="AG50" s="19">
        <f t="shared" si="29"/>
        <v>5.8569634002390849</v>
      </c>
      <c r="AH50" s="19">
        <f t="shared" si="29"/>
        <v>2.5603297149616568</v>
      </c>
      <c r="AI50" s="19">
        <f t="shared" si="29"/>
        <v>0</v>
      </c>
      <c r="AJ50" s="19">
        <f t="shared" si="29"/>
        <v>0</v>
      </c>
      <c r="AK50" s="19">
        <f t="shared" si="29"/>
        <v>0</v>
      </c>
      <c r="AL50" s="19">
        <f t="shared" si="29"/>
        <v>0</v>
      </c>
      <c r="AM50" s="19">
        <f t="shared" ref="AM50:BD50" si="30">AM16*AM$44</f>
        <v>0</v>
      </c>
      <c r="AN50" s="19">
        <f t="shared" si="30"/>
        <v>0</v>
      </c>
      <c r="AO50" s="19">
        <f t="shared" si="30"/>
        <v>0</v>
      </c>
      <c r="AP50" s="19">
        <f t="shared" si="30"/>
        <v>0</v>
      </c>
      <c r="AQ50" s="19">
        <f t="shared" si="30"/>
        <v>0</v>
      </c>
      <c r="AR50" s="19">
        <f t="shared" si="30"/>
        <v>0</v>
      </c>
      <c r="AS50" s="19">
        <f t="shared" si="30"/>
        <v>0</v>
      </c>
      <c r="AT50" s="19">
        <f t="shared" si="30"/>
        <v>0</v>
      </c>
      <c r="AU50" s="19">
        <f t="shared" si="30"/>
        <v>0</v>
      </c>
      <c r="AV50" s="19">
        <f t="shared" si="30"/>
        <v>0</v>
      </c>
      <c r="AW50" s="19">
        <f t="shared" si="30"/>
        <v>0</v>
      </c>
      <c r="AX50" s="19">
        <f t="shared" si="30"/>
        <v>0</v>
      </c>
      <c r="AY50" s="19">
        <f t="shared" si="30"/>
        <v>0</v>
      </c>
      <c r="AZ50" s="19">
        <f t="shared" si="30"/>
        <v>0</v>
      </c>
      <c r="BA50" s="19">
        <f t="shared" si="30"/>
        <v>0</v>
      </c>
      <c r="BB50" s="19">
        <f t="shared" si="30"/>
        <v>0</v>
      </c>
      <c r="BC50" s="19">
        <f t="shared" si="30"/>
        <v>0</v>
      </c>
      <c r="BD50" s="19">
        <f t="shared" si="30"/>
        <v>0</v>
      </c>
    </row>
    <row r="51" spans="1:56" ht="12.5">
      <c r="A51" s="26" t="b">
        <f>ROUND(C51-(C49-C50),5)=0</f>
        <v>1</v>
      </c>
      <c r="C51" s="21">
        <f>SUM(G51:BD51)</f>
        <v>17497.377173577093</v>
      </c>
      <c r="D51" s="22" t="s">
        <v>316</v>
      </c>
      <c r="E51" s="18" t="s">
        <v>333</v>
      </c>
      <c r="F51" s="23"/>
      <c r="G51" s="19">
        <f t="shared" ref="G51:AL51" si="31">G17*G$44</f>
        <v>0</v>
      </c>
      <c r="H51" s="19">
        <f t="shared" si="31"/>
        <v>0</v>
      </c>
      <c r="I51" s="19">
        <f t="shared" si="31"/>
        <v>0</v>
      </c>
      <c r="J51" s="19">
        <f t="shared" si="31"/>
        <v>0</v>
      </c>
      <c r="K51" s="19">
        <f t="shared" si="31"/>
        <v>259.29662392800003</v>
      </c>
      <c r="L51" s="19">
        <f t="shared" si="31"/>
        <v>617.1259649486401</v>
      </c>
      <c r="M51" s="19">
        <f t="shared" si="31"/>
        <v>629.46848424761288</v>
      </c>
      <c r="N51" s="19">
        <f t="shared" si="31"/>
        <v>642.05785393256497</v>
      </c>
      <c r="O51" s="19">
        <f t="shared" si="31"/>
        <v>654.89901101121632</v>
      </c>
      <c r="P51" s="19">
        <f t="shared" si="31"/>
        <v>667.99699123144069</v>
      </c>
      <c r="Q51" s="19">
        <f t="shared" si="31"/>
        <v>681.35693105606958</v>
      </c>
      <c r="R51" s="19">
        <f t="shared" si="31"/>
        <v>694.98406967719075</v>
      </c>
      <c r="S51" s="19">
        <f t="shared" si="31"/>
        <v>708.88375107073477</v>
      </c>
      <c r="T51" s="19">
        <f t="shared" si="31"/>
        <v>723.06142609214942</v>
      </c>
      <c r="U51" s="19">
        <f t="shared" si="31"/>
        <v>737.52265461399247</v>
      </c>
      <c r="V51" s="19">
        <f t="shared" si="31"/>
        <v>752.27310770627207</v>
      </c>
      <c r="W51" s="19">
        <f t="shared" si="31"/>
        <v>767.3185698603977</v>
      </c>
      <c r="X51" s="19">
        <f t="shared" si="31"/>
        <v>782.66494125760573</v>
      </c>
      <c r="Y51" s="19">
        <f t="shared" si="31"/>
        <v>798.31824008275771</v>
      </c>
      <c r="Z51" s="19">
        <f t="shared" si="31"/>
        <v>814.28460488441283</v>
      </c>
      <c r="AA51" s="19">
        <f t="shared" si="31"/>
        <v>830.57029698210113</v>
      </c>
      <c r="AB51" s="19">
        <f t="shared" si="31"/>
        <v>847.18170292174318</v>
      </c>
      <c r="AC51" s="19">
        <f t="shared" si="31"/>
        <v>864.12533698017808</v>
      </c>
      <c r="AD51" s="19">
        <f t="shared" si="31"/>
        <v>877.54444052251245</v>
      </c>
      <c r="AE51" s="19">
        <f t="shared" si="31"/>
        <v>895.09532933296271</v>
      </c>
      <c r="AF51" s="19">
        <f t="shared" si="31"/>
        <v>912.99723591962197</v>
      </c>
      <c r="AG51" s="19">
        <f t="shared" si="31"/>
        <v>931.25718063801457</v>
      </c>
      <c r="AH51" s="19">
        <f t="shared" si="31"/>
        <v>407.0924246789034</v>
      </c>
      <c r="AI51" s="19">
        <f t="shared" si="31"/>
        <v>0</v>
      </c>
      <c r="AJ51" s="19">
        <f t="shared" si="31"/>
        <v>0</v>
      </c>
      <c r="AK51" s="19">
        <f t="shared" si="31"/>
        <v>0</v>
      </c>
      <c r="AL51" s="19">
        <f t="shared" si="31"/>
        <v>0</v>
      </c>
      <c r="AM51" s="19">
        <f t="shared" ref="AM51:BD51" si="32">AM17*AM$44</f>
        <v>0</v>
      </c>
      <c r="AN51" s="19">
        <f t="shared" si="32"/>
        <v>0</v>
      </c>
      <c r="AO51" s="19">
        <f t="shared" si="32"/>
        <v>0</v>
      </c>
      <c r="AP51" s="19">
        <f t="shared" si="32"/>
        <v>0</v>
      </c>
      <c r="AQ51" s="19">
        <f t="shared" si="32"/>
        <v>0</v>
      </c>
      <c r="AR51" s="19">
        <f t="shared" si="32"/>
        <v>0</v>
      </c>
      <c r="AS51" s="19">
        <f t="shared" si="32"/>
        <v>0</v>
      </c>
      <c r="AT51" s="19">
        <f t="shared" si="32"/>
        <v>0</v>
      </c>
      <c r="AU51" s="19">
        <f t="shared" si="32"/>
        <v>0</v>
      </c>
      <c r="AV51" s="19">
        <f t="shared" si="32"/>
        <v>0</v>
      </c>
      <c r="AW51" s="19">
        <f t="shared" si="32"/>
        <v>0</v>
      </c>
      <c r="AX51" s="19">
        <f t="shared" si="32"/>
        <v>0</v>
      </c>
      <c r="AY51" s="19">
        <f t="shared" si="32"/>
        <v>0</v>
      </c>
      <c r="AZ51" s="19">
        <f t="shared" si="32"/>
        <v>0</v>
      </c>
      <c r="BA51" s="19">
        <f t="shared" si="32"/>
        <v>0</v>
      </c>
      <c r="BB51" s="19">
        <f t="shared" si="32"/>
        <v>0</v>
      </c>
      <c r="BC51" s="19">
        <f t="shared" si="32"/>
        <v>0</v>
      </c>
      <c r="BD51" s="19">
        <f t="shared" si="32"/>
        <v>0</v>
      </c>
    </row>
    <row r="52" spans="1:56" ht="12.5">
      <c r="C52" s="21">
        <f t="shared" si="28"/>
        <v>40.4</v>
      </c>
      <c r="D52" s="22" t="s">
        <v>317</v>
      </c>
      <c r="E52" s="18" t="s">
        <v>333</v>
      </c>
      <c r="F52" s="23"/>
      <c r="G52" s="19">
        <f t="shared" ref="G52:AL52" si="33">G18*G$44</f>
        <v>20</v>
      </c>
      <c r="H52" s="19">
        <f t="shared" si="33"/>
        <v>20.399999999999999</v>
      </c>
      <c r="I52" s="19">
        <f t="shared" si="33"/>
        <v>0</v>
      </c>
      <c r="J52" s="19">
        <f t="shared" si="33"/>
        <v>0</v>
      </c>
      <c r="K52" s="19">
        <f t="shared" si="33"/>
        <v>0</v>
      </c>
      <c r="L52" s="19">
        <f t="shared" si="33"/>
        <v>0</v>
      </c>
      <c r="M52" s="19">
        <f t="shared" si="33"/>
        <v>0</v>
      </c>
      <c r="N52" s="19">
        <f t="shared" si="33"/>
        <v>0</v>
      </c>
      <c r="O52" s="19">
        <f t="shared" si="33"/>
        <v>0</v>
      </c>
      <c r="P52" s="19">
        <f t="shared" si="33"/>
        <v>0</v>
      </c>
      <c r="Q52" s="19">
        <f t="shared" si="33"/>
        <v>0</v>
      </c>
      <c r="R52" s="19">
        <f t="shared" si="33"/>
        <v>0</v>
      </c>
      <c r="S52" s="19">
        <f t="shared" si="33"/>
        <v>0</v>
      </c>
      <c r="T52" s="19">
        <f t="shared" si="33"/>
        <v>0</v>
      </c>
      <c r="U52" s="19">
        <f t="shared" si="33"/>
        <v>0</v>
      </c>
      <c r="V52" s="19">
        <f t="shared" si="33"/>
        <v>0</v>
      </c>
      <c r="W52" s="19">
        <f t="shared" si="33"/>
        <v>0</v>
      </c>
      <c r="X52" s="19">
        <f t="shared" si="33"/>
        <v>0</v>
      </c>
      <c r="Y52" s="19">
        <f t="shared" si="33"/>
        <v>0</v>
      </c>
      <c r="Z52" s="19">
        <f t="shared" si="33"/>
        <v>0</v>
      </c>
      <c r="AA52" s="19">
        <f t="shared" si="33"/>
        <v>0</v>
      </c>
      <c r="AB52" s="19">
        <f t="shared" si="33"/>
        <v>0</v>
      </c>
      <c r="AC52" s="19">
        <f t="shared" si="33"/>
        <v>0</v>
      </c>
      <c r="AD52" s="19">
        <f t="shared" si="33"/>
        <v>0</v>
      </c>
      <c r="AE52" s="19">
        <f t="shared" si="33"/>
        <v>0</v>
      </c>
      <c r="AF52" s="19">
        <f t="shared" si="33"/>
        <v>0</v>
      </c>
      <c r="AG52" s="19">
        <f t="shared" si="33"/>
        <v>0</v>
      </c>
      <c r="AH52" s="19">
        <f t="shared" si="33"/>
        <v>0</v>
      </c>
      <c r="AI52" s="19">
        <f t="shared" si="33"/>
        <v>0</v>
      </c>
      <c r="AJ52" s="19">
        <f t="shared" si="33"/>
        <v>0</v>
      </c>
      <c r="AK52" s="19">
        <f t="shared" si="33"/>
        <v>0</v>
      </c>
      <c r="AL52" s="19">
        <f t="shared" si="33"/>
        <v>0</v>
      </c>
      <c r="AM52" s="19">
        <f t="shared" ref="AM52:BD52" si="34">AM18*AM$44</f>
        <v>0</v>
      </c>
      <c r="AN52" s="19">
        <f t="shared" si="34"/>
        <v>0</v>
      </c>
      <c r="AO52" s="19">
        <f t="shared" si="34"/>
        <v>0</v>
      </c>
      <c r="AP52" s="19">
        <f t="shared" si="34"/>
        <v>0</v>
      </c>
      <c r="AQ52" s="19">
        <f t="shared" si="34"/>
        <v>0</v>
      </c>
      <c r="AR52" s="19">
        <f t="shared" si="34"/>
        <v>0</v>
      </c>
      <c r="AS52" s="19">
        <f t="shared" si="34"/>
        <v>0</v>
      </c>
      <c r="AT52" s="19">
        <f t="shared" si="34"/>
        <v>0</v>
      </c>
      <c r="AU52" s="19">
        <f t="shared" si="34"/>
        <v>0</v>
      </c>
      <c r="AV52" s="19">
        <f t="shared" si="34"/>
        <v>0</v>
      </c>
      <c r="AW52" s="19">
        <f t="shared" si="34"/>
        <v>0</v>
      </c>
      <c r="AX52" s="19">
        <f t="shared" si="34"/>
        <v>0</v>
      </c>
      <c r="AY52" s="19">
        <f t="shared" si="34"/>
        <v>0</v>
      </c>
      <c r="AZ52" s="19">
        <f t="shared" si="34"/>
        <v>0</v>
      </c>
      <c r="BA52" s="19">
        <f t="shared" si="34"/>
        <v>0</v>
      </c>
      <c r="BB52" s="19">
        <f t="shared" si="34"/>
        <v>0</v>
      </c>
      <c r="BC52" s="19">
        <f t="shared" si="34"/>
        <v>0</v>
      </c>
      <c r="BD52" s="19">
        <f t="shared" si="34"/>
        <v>0</v>
      </c>
    </row>
    <row r="53" spans="1:56" ht="13" customHeight="1">
      <c r="C53" s="21">
        <f t="shared" si="28"/>
        <v>0</v>
      </c>
      <c r="D53" s="22" t="s">
        <v>334</v>
      </c>
      <c r="E53" s="18" t="s">
        <v>333</v>
      </c>
      <c r="F53" s="23"/>
      <c r="G53" s="19">
        <f t="shared" ref="G53:AL53" si="35">G19*G$44</f>
        <v>0</v>
      </c>
      <c r="H53" s="19">
        <f t="shared" si="35"/>
        <v>0</v>
      </c>
      <c r="I53" s="19">
        <f t="shared" si="35"/>
        <v>0</v>
      </c>
      <c r="J53" s="19">
        <f t="shared" si="35"/>
        <v>0</v>
      </c>
      <c r="K53" s="19">
        <f t="shared" si="35"/>
        <v>0</v>
      </c>
      <c r="L53" s="19">
        <f t="shared" si="35"/>
        <v>0</v>
      </c>
      <c r="M53" s="19">
        <f t="shared" si="35"/>
        <v>0</v>
      </c>
      <c r="N53" s="19">
        <f t="shared" si="35"/>
        <v>0</v>
      </c>
      <c r="O53" s="19">
        <f t="shared" si="35"/>
        <v>0</v>
      </c>
      <c r="P53" s="19">
        <f t="shared" si="35"/>
        <v>0</v>
      </c>
      <c r="Q53" s="19">
        <f t="shared" si="35"/>
        <v>0</v>
      </c>
      <c r="R53" s="19">
        <f t="shared" si="35"/>
        <v>0</v>
      </c>
      <c r="S53" s="19">
        <f t="shared" si="35"/>
        <v>0</v>
      </c>
      <c r="T53" s="19">
        <f t="shared" si="35"/>
        <v>0</v>
      </c>
      <c r="U53" s="19">
        <f t="shared" si="35"/>
        <v>0</v>
      </c>
      <c r="V53" s="19">
        <f t="shared" si="35"/>
        <v>0</v>
      </c>
      <c r="W53" s="19">
        <f t="shared" si="35"/>
        <v>0</v>
      </c>
      <c r="X53" s="19">
        <f t="shared" si="35"/>
        <v>0</v>
      </c>
      <c r="Y53" s="19">
        <f t="shared" si="35"/>
        <v>0</v>
      </c>
      <c r="Z53" s="19">
        <f t="shared" si="35"/>
        <v>0</v>
      </c>
      <c r="AA53" s="19">
        <f t="shared" si="35"/>
        <v>0</v>
      </c>
      <c r="AB53" s="19">
        <f t="shared" si="35"/>
        <v>0</v>
      </c>
      <c r="AC53" s="19">
        <f t="shared" si="35"/>
        <v>0</v>
      </c>
      <c r="AD53" s="19">
        <f t="shared" si="35"/>
        <v>0</v>
      </c>
      <c r="AE53" s="19">
        <f t="shared" si="35"/>
        <v>0</v>
      </c>
      <c r="AF53" s="19">
        <f t="shared" si="35"/>
        <v>0</v>
      </c>
      <c r="AG53" s="19">
        <f t="shared" si="35"/>
        <v>0</v>
      </c>
      <c r="AH53" s="19">
        <f t="shared" si="35"/>
        <v>0</v>
      </c>
      <c r="AI53" s="19">
        <f t="shared" si="35"/>
        <v>0</v>
      </c>
      <c r="AJ53" s="19">
        <f t="shared" si="35"/>
        <v>0</v>
      </c>
      <c r="AK53" s="19">
        <f t="shared" si="35"/>
        <v>0</v>
      </c>
      <c r="AL53" s="19">
        <f t="shared" si="35"/>
        <v>0</v>
      </c>
      <c r="AM53" s="19">
        <f t="shared" ref="AM53:BD53" si="36">AM19*AM$44</f>
        <v>0</v>
      </c>
      <c r="AN53" s="19">
        <f t="shared" si="36"/>
        <v>0</v>
      </c>
      <c r="AO53" s="19">
        <f t="shared" si="36"/>
        <v>0</v>
      </c>
      <c r="AP53" s="19">
        <f t="shared" si="36"/>
        <v>0</v>
      </c>
      <c r="AQ53" s="19">
        <f t="shared" si="36"/>
        <v>0</v>
      </c>
      <c r="AR53" s="19">
        <f t="shared" si="36"/>
        <v>0</v>
      </c>
      <c r="AS53" s="19">
        <f t="shared" si="36"/>
        <v>0</v>
      </c>
      <c r="AT53" s="19">
        <f t="shared" si="36"/>
        <v>0</v>
      </c>
      <c r="AU53" s="19">
        <f t="shared" si="36"/>
        <v>0</v>
      </c>
      <c r="AV53" s="19">
        <f t="shared" si="36"/>
        <v>0</v>
      </c>
      <c r="AW53" s="19">
        <f t="shared" si="36"/>
        <v>0</v>
      </c>
      <c r="AX53" s="19">
        <f t="shared" si="36"/>
        <v>0</v>
      </c>
      <c r="AY53" s="19">
        <f t="shared" si="36"/>
        <v>0</v>
      </c>
      <c r="AZ53" s="19">
        <f t="shared" si="36"/>
        <v>0</v>
      </c>
      <c r="BA53" s="19">
        <f t="shared" si="36"/>
        <v>0</v>
      </c>
      <c r="BB53" s="19">
        <f t="shared" si="36"/>
        <v>0</v>
      </c>
      <c r="BC53" s="19">
        <f t="shared" si="36"/>
        <v>0</v>
      </c>
      <c r="BD53" s="19">
        <f t="shared" si="36"/>
        <v>0</v>
      </c>
    </row>
    <row r="54" spans="1:56" ht="12.5">
      <c r="C54" s="21">
        <f t="shared" si="28"/>
        <v>477.57481199999995</v>
      </c>
      <c r="D54" s="22" t="s">
        <v>293</v>
      </c>
      <c r="E54" s="18" t="s">
        <v>333</v>
      </c>
      <c r="F54" s="23"/>
      <c r="G54" s="19">
        <f t="shared" ref="G54:AL54" si="37">G20*G$44</f>
        <v>0</v>
      </c>
      <c r="H54" s="19">
        <f t="shared" si="37"/>
        <v>0</v>
      </c>
      <c r="I54" s="19">
        <f t="shared" si="37"/>
        <v>78.03</v>
      </c>
      <c r="J54" s="19">
        <f t="shared" si="37"/>
        <v>318.36239999999998</v>
      </c>
      <c r="K54" s="19">
        <f t="shared" si="37"/>
        <v>81.182411999999999</v>
      </c>
      <c r="L54" s="19">
        <f t="shared" si="37"/>
        <v>0</v>
      </c>
      <c r="M54" s="19">
        <f t="shared" si="37"/>
        <v>0</v>
      </c>
      <c r="N54" s="19">
        <f t="shared" si="37"/>
        <v>0</v>
      </c>
      <c r="O54" s="19">
        <f t="shared" si="37"/>
        <v>0</v>
      </c>
      <c r="P54" s="19">
        <f t="shared" si="37"/>
        <v>0</v>
      </c>
      <c r="Q54" s="19">
        <f t="shared" si="37"/>
        <v>0</v>
      </c>
      <c r="R54" s="19">
        <f t="shared" si="37"/>
        <v>0</v>
      </c>
      <c r="S54" s="19">
        <f t="shared" si="37"/>
        <v>0</v>
      </c>
      <c r="T54" s="19">
        <f t="shared" si="37"/>
        <v>0</v>
      </c>
      <c r="U54" s="19">
        <f t="shared" si="37"/>
        <v>0</v>
      </c>
      <c r="V54" s="19">
        <f t="shared" si="37"/>
        <v>0</v>
      </c>
      <c r="W54" s="19">
        <f t="shared" si="37"/>
        <v>0</v>
      </c>
      <c r="X54" s="19">
        <f t="shared" si="37"/>
        <v>0</v>
      </c>
      <c r="Y54" s="19">
        <f t="shared" si="37"/>
        <v>0</v>
      </c>
      <c r="Z54" s="19">
        <f t="shared" si="37"/>
        <v>0</v>
      </c>
      <c r="AA54" s="19">
        <f t="shared" si="37"/>
        <v>0</v>
      </c>
      <c r="AB54" s="19">
        <f t="shared" si="37"/>
        <v>0</v>
      </c>
      <c r="AC54" s="19">
        <f t="shared" si="37"/>
        <v>0</v>
      </c>
      <c r="AD54" s="19">
        <f t="shared" si="37"/>
        <v>0</v>
      </c>
      <c r="AE54" s="19">
        <f t="shared" si="37"/>
        <v>0</v>
      </c>
      <c r="AF54" s="19">
        <f t="shared" si="37"/>
        <v>0</v>
      </c>
      <c r="AG54" s="19">
        <f t="shared" si="37"/>
        <v>0</v>
      </c>
      <c r="AH54" s="19">
        <f t="shared" si="37"/>
        <v>0</v>
      </c>
      <c r="AI54" s="19">
        <f t="shared" si="37"/>
        <v>0</v>
      </c>
      <c r="AJ54" s="19">
        <f t="shared" si="37"/>
        <v>0</v>
      </c>
      <c r="AK54" s="19">
        <f t="shared" si="37"/>
        <v>0</v>
      </c>
      <c r="AL54" s="19">
        <f t="shared" si="37"/>
        <v>0</v>
      </c>
      <c r="AM54" s="19">
        <f t="shared" ref="AM54:BD54" si="38">AM20*AM$44</f>
        <v>0</v>
      </c>
      <c r="AN54" s="19">
        <f t="shared" si="38"/>
        <v>0</v>
      </c>
      <c r="AO54" s="19">
        <f t="shared" si="38"/>
        <v>0</v>
      </c>
      <c r="AP54" s="19">
        <f t="shared" si="38"/>
        <v>0</v>
      </c>
      <c r="AQ54" s="19">
        <f t="shared" si="38"/>
        <v>0</v>
      </c>
      <c r="AR54" s="19">
        <f t="shared" si="38"/>
        <v>0</v>
      </c>
      <c r="AS54" s="19">
        <f t="shared" si="38"/>
        <v>0</v>
      </c>
      <c r="AT54" s="19">
        <f t="shared" si="38"/>
        <v>0</v>
      </c>
      <c r="AU54" s="19">
        <f t="shared" si="38"/>
        <v>0</v>
      </c>
      <c r="AV54" s="19">
        <f t="shared" si="38"/>
        <v>0</v>
      </c>
      <c r="AW54" s="19">
        <f t="shared" si="38"/>
        <v>0</v>
      </c>
      <c r="AX54" s="19">
        <f t="shared" si="38"/>
        <v>0</v>
      </c>
      <c r="AY54" s="19">
        <f t="shared" si="38"/>
        <v>0</v>
      </c>
      <c r="AZ54" s="19">
        <f t="shared" si="38"/>
        <v>0</v>
      </c>
      <c r="BA54" s="19">
        <f t="shared" si="38"/>
        <v>0</v>
      </c>
      <c r="BB54" s="19">
        <f t="shared" si="38"/>
        <v>0</v>
      </c>
      <c r="BC54" s="19">
        <f t="shared" si="38"/>
        <v>0</v>
      </c>
      <c r="BD54" s="19">
        <f t="shared" si="38"/>
        <v>0</v>
      </c>
    </row>
    <row r="55" spans="1:56" ht="12.5">
      <c r="C55" s="21">
        <f t="shared" si="28"/>
        <v>1172.1429845951295</v>
      </c>
      <c r="D55" s="22" t="s">
        <v>294</v>
      </c>
      <c r="E55" s="18" t="s">
        <v>333</v>
      </c>
      <c r="F55" s="23"/>
      <c r="G55" s="19">
        <f t="shared" ref="G55:AL55" si="39">G21*G$44</f>
        <v>0</v>
      </c>
      <c r="H55" s="19">
        <f t="shared" si="39"/>
        <v>0</v>
      </c>
      <c r="I55" s="19">
        <f t="shared" si="39"/>
        <v>0</v>
      </c>
      <c r="J55" s="19">
        <f t="shared" si="39"/>
        <v>0</v>
      </c>
      <c r="K55" s="19">
        <f t="shared" si="39"/>
        <v>0</v>
      </c>
      <c r="L55" s="19">
        <f t="shared" si="39"/>
        <v>44.163232128000004</v>
      </c>
      <c r="M55" s="19">
        <f t="shared" si="39"/>
        <v>45.046496770560005</v>
      </c>
      <c r="N55" s="19">
        <f t="shared" si="39"/>
        <v>45.947426705971196</v>
      </c>
      <c r="O55" s="19">
        <f t="shared" si="39"/>
        <v>46.866375240090619</v>
      </c>
      <c r="P55" s="19">
        <f t="shared" si="39"/>
        <v>47.803702744892433</v>
      </c>
      <c r="Q55" s="19">
        <f t="shared" si="39"/>
        <v>48.759776799790288</v>
      </c>
      <c r="R55" s="19">
        <f t="shared" si="39"/>
        <v>49.734972335786082</v>
      </c>
      <c r="S55" s="19">
        <f t="shared" si="39"/>
        <v>50.729671782501811</v>
      </c>
      <c r="T55" s="19">
        <f t="shared" si="39"/>
        <v>51.744265218151845</v>
      </c>
      <c r="U55" s="19">
        <f t="shared" si="39"/>
        <v>52.779150522514882</v>
      </c>
      <c r="V55" s="19">
        <f t="shared" si="39"/>
        <v>53.834733532965167</v>
      </c>
      <c r="W55" s="19">
        <f t="shared" si="39"/>
        <v>54.911428203624482</v>
      </c>
      <c r="X55" s="19">
        <f t="shared" si="39"/>
        <v>56.009656767696974</v>
      </c>
      <c r="Y55" s="19">
        <f t="shared" si="39"/>
        <v>57.129849903050911</v>
      </c>
      <c r="Z55" s="19">
        <f t="shared" si="39"/>
        <v>58.272446901111927</v>
      </c>
      <c r="AA55" s="19">
        <f t="shared" si="39"/>
        <v>59.437895839134171</v>
      </c>
      <c r="AB55" s="19">
        <f t="shared" si="39"/>
        <v>60.626653755916848</v>
      </c>
      <c r="AC55" s="19">
        <f t="shared" si="39"/>
        <v>61.839186831035192</v>
      </c>
      <c r="AD55" s="19">
        <f t="shared" si="39"/>
        <v>63.07597056765588</v>
      </c>
      <c r="AE55" s="19">
        <f t="shared" si="39"/>
        <v>64.337489979009007</v>
      </c>
      <c r="AF55" s="19">
        <f t="shared" si="39"/>
        <v>65.624239778589185</v>
      </c>
      <c r="AG55" s="19">
        <f t="shared" si="39"/>
        <v>33.468362287080488</v>
      </c>
      <c r="AH55" s="19">
        <f t="shared" si="39"/>
        <v>0</v>
      </c>
      <c r="AI55" s="19">
        <f t="shared" si="39"/>
        <v>0</v>
      </c>
      <c r="AJ55" s="19">
        <f t="shared" si="39"/>
        <v>0</v>
      </c>
      <c r="AK55" s="19">
        <f t="shared" si="39"/>
        <v>0</v>
      </c>
      <c r="AL55" s="19">
        <f t="shared" si="39"/>
        <v>0</v>
      </c>
      <c r="AM55" s="19">
        <f t="shared" ref="AM55:BD55" si="40">AM21*AM$44</f>
        <v>0</v>
      </c>
      <c r="AN55" s="19">
        <f t="shared" si="40"/>
        <v>0</v>
      </c>
      <c r="AO55" s="19">
        <f t="shared" si="40"/>
        <v>0</v>
      </c>
      <c r="AP55" s="19">
        <f t="shared" si="40"/>
        <v>0</v>
      </c>
      <c r="AQ55" s="19">
        <f t="shared" si="40"/>
        <v>0</v>
      </c>
      <c r="AR55" s="19">
        <f t="shared" si="40"/>
        <v>0</v>
      </c>
      <c r="AS55" s="19">
        <f t="shared" si="40"/>
        <v>0</v>
      </c>
      <c r="AT55" s="19">
        <f t="shared" si="40"/>
        <v>0</v>
      </c>
      <c r="AU55" s="19">
        <f t="shared" si="40"/>
        <v>0</v>
      </c>
      <c r="AV55" s="19">
        <f t="shared" si="40"/>
        <v>0</v>
      </c>
      <c r="AW55" s="19">
        <f t="shared" si="40"/>
        <v>0</v>
      </c>
      <c r="AX55" s="19">
        <f t="shared" si="40"/>
        <v>0</v>
      </c>
      <c r="AY55" s="19">
        <f t="shared" si="40"/>
        <v>0</v>
      </c>
      <c r="AZ55" s="19">
        <f t="shared" si="40"/>
        <v>0</v>
      </c>
      <c r="BA55" s="19">
        <f t="shared" si="40"/>
        <v>0</v>
      </c>
      <c r="BB55" s="19">
        <f t="shared" si="40"/>
        <v>0</v>
      </c>
      <c r="BC55" s="19">
        <f t="shared" si="40"/>
        <v>0</v>
      </c>
      <c r="BD55" s="19">
        <f t="shared" si="40"/>
        <v>0</v>
      </c>
    </row>
    <row r="56" spans="1:56" ht="12.5">
      <c r="C56" s="21">
        <f>SUM(G56:BD56)</f>
        <v>7677.2479565008516</v>
      </c>
      <c r="D56" s="22" t="s">
        <v>297</v>
      </c>
      <c r="E56" s="18" t="s">
        <v>333</v>
      </c>
      <c r="F56" s="23"/>
      <c r="G56" s="19">
        <f t="shared" ref="G56:AL56" si="41">G22*G$44</f>
        <v>0</v>
      </c>
      <c r="H56" s="19">
        <f t="shared" si="41"/>
        <v>0</v>
      </c>
      <c r="I56" s="19">
        <f t="shared" si="41"/>
        <v>0</v>
      </c>
      <c r="J56" s="19">
        <f t="shared" si="41"/>
        <v>0</v>
      </c>
      <c r="K56" s="19">
        <f t="shared" si="41"/>
        <v>113.6553768</v>
      </c>
      <c r="L56" s="19">
        <f t="shared" si="41"/>
        <v>270.49979678400001</v>
      </c>
      <c r="M56" s="19">
        <f t="shared" si="41"/>
        <v>275.90979271968001</v>
      </c>
      <c r="N56" s="19">
        <f t="shared" si="41"/>
        <v>281.42798857407354</v>
      </c>
      <c r="O56" s="19">
        <f t="shared" si="41"/>
        <v>287.05654834555503</v>
      </c>
      <c r="P56" s="19">
        <f t="shared" si="41"/>
        <v>292.79767931246613</v>
      </c>
      <c r="Q56" s="19">
        <f t="shared" si="41"/>
        <v>298.6536328987155</v>
      </c>
      <c r="R56" s="19">
        <f t="shared" si="41"/>
        <v>304.62670555668973</v>
      </c>
      <c r="S56" s="19">
        <f t="shared" si="41"/>
        <v>310.71923966782362</v>
      </c>
      <c r="T56" s="19">
        <f t="shared" si="41"/>
        <v>316.93362446118005</v>
      </c>
      <c r="U56" s="19">
        <f t="shared" si="41"/>
        <v>323.2722969504037</v>
      </c>
      <c r="V56" s="19">
        <f t="shared" si="41"/>
        <v>329.73774288941166</v>
      </c>
      <c r="W56" s="19">
        <f t="shared" si="41"/>
        <v>336.33249774719997</v>
      </c>
      <c r="X56" s="19">
        <f t="shared" si="41"/>
        <v>343.059147702144</v>
      </c>
      <c r="Y56" s="19">
        <f t="shared" si="41"/>
        <v>349.92033065618682</v>
      </c>
      <c r="Z56" s="19">
        <f t="shared" si="41"/>
        <v>356.91873726931055</v>
      </c>
      <c r="AA56" s="19">
        <f t="shared" si="41"/>
        <v>364.05711201469677</v>
      </c>
      <c r="AB56" s="19">
        <f t="shared" si="41"/>
        <v>371.33825425499072</v>
      </c>
      <c r="AC56" s="19">
        <f t="shared" si="41"/>
        <v>378.76501934009053</v>
      </c>
      <c r="AD56" s="19">
        <f t="shared" si="41"/>
        <v>386.34031972689229</v>
      </c>
      <c r="AE56" s="19">
        <f t="shared" si="41"/>
        <v>394.06712612143014</v>
      </c>
      <c r="AF56" s="19">
        <f t="shared" si="41"/>
        <v>401.94846864385875</v>
      </c>
      <c r="AG56" s="19">
        <f t="shared" si="41"/>
        <v>409.98743801673595</v>
      </c>
      <c r="AH56" s="19">
        <f t="shared" si="41"/>
        <v>179.22308004731596</v>
      </c>
      <c r="AI56" s="19">
        <f t="shared" si="41"/>
        <v>0</v>
      </c>
      <c r="AJ56" s="19">
        <f t="shared" si="41"/>
        <v>0</v>
      </c>
      <c r="AK56" s="19">
        <f t="shared" si="41"/>
        <v>0</v>
      </c>
      <c r="AL56" s="19">
        <f t="shared" si="41"/>
        <v>0</v>
      </c>
      <c r="AM56" s="19">
        <f t="shared" ref="AM56:BD56" si="42">AM22*AM$44</f>
        <v>0</v>
      </c>
      <c r="AN56" s="19">
        <f t="shared" si="42"/>
        <v>0</v>
      </c>
      <c r="AO56" s="19">
        <f t="shared" si="42"/>
        <v>0</v>
      </c>
      <c r="AP56" s="19">
        <f t="shared" si="42"/>
        <v>0</v>
      </c>
      <c r="AQ56" s="19">
        <f t="shared" si="42"/>
        <v>0</v>
      </c>
      <c r="AR56" s="19">
        <f t="shared" si="42"/>
        <v>0</v>
      </c>
      <c r="AS56" s="19">
        <f t="shared" si="42"/>
        <v>0</v>
      </c>
      <c r="AT56" s="19">
        <f t="shared" si="42"/>
        <v>0</v>
      </c>
      <c r="AU56" s="19">
        <f t="shared" si="42"/>
        <v>0</v>
      </c>
      <c r="AV56" s="19">
        <f t="shared" si="42"/>
        <v>0</v>
      </c>
      <c r="AW56" s="19">
        <f t="shared" si="42"/>
        <v>0</v>
      </c>
      <c r="AX56" s="19">
        <f t="shared" si="42"/>
        <v>0</v>
      </c>
      <c r="AY56" s="19">
        <f t="shared" si="42"/>
        <v>0</v>
      </c>
      <c r="AZ56" s="19">
        <f t="shared" si="42"/>
        <v>0</v>
      </c>
      <c r="BA56" s="19">
        <f t="shared" si="42"/>
        <v>0</v>
      </c>
      <c r="BB56" s="19">
        <f t="shared" si="42"/>
        <v>0</v>
      </c>
      <c r="BC56" s="19">
        <f t="shared" si="42"/>
        <v>0</v>
      </c>
      <c r="BD56" s="19">
        <f t="shared" si="42"/>
        <v>0</v>
      </c>
    </row>
    <row r="57" spans="1:56" ht="12.5">
      <c r="C57" s="21">
        <f t="shared" si="28"/>
        <v>26.115363092608906</v>
      </c>
      <c r="D57" s="22" t="s">
        <v>295</v>
      </c>
      <c r="E57" s="18" t="s">
        <v>333</v>
      </c>
      <c r="F57" s="23"/>
      <c r="G57" s="19">
        <f t="shared" ref="G57:AL57" si="43">G23*G$44</f>
        <v>0</v>
      </c>
      <c r="H57" s="19">
        <f t="shared" si="43"/>
        <v>0</v>
      </c>
      <c r="I57" s="19">
        <f t="shared" si="43"/>
        <v>0</v>
      </c>
      <c r="J57" s="19">
        <f t="shared" si="43"/>
        <v>0</v>
      </c>
      <c r="K57" s="19">
        <f t="shared" si="43"/>
        <v>0</v>
      </c>
      <c r="L57" s="19">
        <f t="shared" si="43"/>
        <v>0</v>
      </c>
      <c r="M57" s="19">
        <f t="shared" si="43"/>
        <v>0</v>
      </c>
      <c r="N57" s="19">
        <f t="shared" si="43"/>
        <v>0</v>
      </c>
      <c r="O57" s="19">
        <f t="shared" si="43"/>
        <v>0</v>
      </c>
      <c r="P57" s="19">
        <f t="shared" si="43"/>
        <v>0</v>
      </c>
      <c r="Q57" s="19">
        <f t="shared" si="43"/>
        <v>0</v>
      </c>
      <c r="R57" s="19">
        <f t="shared" si="43"/>
        <v>0</v>
      </c>
      <c r="S57" s="19">
        <f t="shared" si="43"/>
        <v>0</v>
      </c>
      <c r="T57" s="19">
        <f t="shared" si="43"/>
        <v>0</v>
      </c>
      <c r="U57" s="19">
        <f t="shared" si="43"/>
        <v>0</v>
      </c>
      <c r="V57" s="19">
        <f t="shared" si="43"/>
        <v>0</v>
      </c>
      <c r="W57" s="19">
        <f t="shared" si="43"/>
        <v>0</v>
      </c>
      <c r="X57" s="19">
        <f t="shared" si="43"/>
        <v>0</v>
      </c>
      <c r="Y57" s="19">
        <f t="shared" si="43"/>
        <v>0</v>
      </c>
      <c r="Z57" s="19">
        <f t="shared" si="43"/>
        <v>0</v>
      </c>
      <c r="AA57" s="19">
        <f t="shared" si="43"/>
        <v>0</v>
      </c>
      <c r="AB57" s="19">
        <f t="shared" si="43"/>
        <v>0</v>
      </c>
      <c r="AC57" s="19">
        <f t="shared" si="43"/>
        <v>0</v>
      </c>
      <c r="AD57" s="19">
        <f t="shared" si="43"/>
        <v>0</v>
      </c>
      <c r="AE57" s="19">
        <f t="shared" si="43"/>
        <v>0</v>
      </c>
      <c r="AF57" s="19">
        <f t="shared" si="43"/>
        <v>0</v>
      </c>
      <c r="AG57" s="19">
        <f t="shared" si="43"/>
        <v>0</v>
      </c>
      <c r="AH57" s="19">
        <f t="shared" si="43"/>
        <v>0</v>
      </c>
      <c r="AI57" s="19">
        <f t="shared" si="43"/>
        <v>26.115363092608906</v>
      </c>
      <c r="AJ57" s="19">
        <f t="shared" si="43"/>
        <v>0</v>
      </c>
      <c r="AK57" s="19">
        <f t="shared" si="43"/>
        <v>0</v>
      </c>
      <c r="AL57" s="19">
        <f t="shared" si="43"/>
        <v>0</v>
      </c>
      <c r="AM57" s="19">
        <f t="shared" ref="AM57:BD57" si="44">AM23*AM$44</f>
        <v>0</v>
      </c>
      <c r="AN57" s="19">
        <f t="shared" si="44"/>
        <v>0</v>
      </c>
      <c r="AO57" s="19">
        <f t="shared" si="44"/>
        <v>0</v>
      </c>
      <c r="AP57" s="19">
        <f t="shared" si="44"/>
        <v>0</v>
      </c>
      <c r="AQ57" s="19">
        <f t="shared" si="44"/>
        <v>0</v>
      </c>
      <c r="AR57" s="19">
        <f t="shared" si="44"/>
        <v>0</v>
      </c>
      <c r="AS57" s="19">
        <f t="shared" si="44"/>
        <v>0</v>
      </c>
      <c r="AT57" s="19">
        <f t="shared" si="44"/>
        <v>0</v>
      </c>
      <c r="AU57" s="19">
        <f t="shared" si="44"/>
        <v>0</v>
      </c>
      <c r="AV57" s="19">
        <f t="shared" si="44"/>
        <v>0</v>
      </c>
      <c r="AW57" s="19">
        <f t="shared" si="44"/>
        <v>0</v>
      </c>
      <c r="AX57" s="19">
        <f t="shared" si="44"/>
        <v>0</v>
      </c>
      <c r="AY57" s="19">
        <f t="shared" si="44"/>
        <v>0</v>
      </c>
      <c r="AZ57" s="19">
        <f t="shared" si="44"/>
        <v>0</v>
      </c>
      <c r="BA57" s="19">
        <f t="shared" si="44"/>
        <v>0</v>
      </c>
      <c r="BB57" s="19">
        <f t="shared" si="44"/>
        <v>0</v>
      </c>
      <c r="BC57" s="19">
        <f t="shared" si="44"/>
        <v>0</v>
      </c>
      <c r="BD57" s="19">
        <f t="shared" si="44"/>
        <v>0</v>
      </c>
    </row>
    <row r="58" spans="1:56" ht="12.5">
      <c r="C58" s="21">
        <f>SUM(G58:BD58)</f>
        <v>9393.4811161885882</v>
      </c>
      <c r="D58" s="22" t="s">
        <v>318</v>
      </c>
      <c r="E58" s="18" t="s">
        <v>333</v>
      </c>
      <c r="F58" s="23"/>
      <c r="G58" s="19">
        <f t="shared" ref="G58:AL58" si="45">SUM(G52:G57)</f>
        <v>20</v>
      </c>
      <c r="H58" s="19">
        <f t="shared" si="45"/>
        <v>20.399999999999999</v>
      </c>
      <c r="I58" s="19">
        <f t="shared" si="45"/>
        <v>78.03</v>
      </c>
      <c r="J58" s="19">
        <f t="shared" si="45"/>
        <v>318.36239999999998</v>
      </c>
      <c r="K58" s="19">
        <f t="shared" si="45"/>
        <v>194.8377888</v>
      </c>
      <c r="L58" s="19">
        <f t="shared" si="45"/>
        <v>314.66302891200002</v>
      </c>
      <c r="M58" s="19">
        <f t="shared" si="45"/>
        <v>320.95628949024001</v>
      </c>
      <c r="N58" s="19">
        <f t="shared" si="45"/>
        <v>327.37541528004476</v>
      </c>
      <c r="O58" s="19">
        <f t="shared" si="45"/>
        <v>333.92292358564566</v>
      </c>
      <c r="P58" s="19">
        <f t="shared" si="45"/>
        <v>340.60138205735859</v>
      </c>
      <c r="Q58" s="19">
        <f t="shared" si="45"/>
        <v>347.4134096985058</v>
      </c>
      <c r="R58" s="19">
        <f t="shared" si="45"/>
        <v>354.36167789247583</v>
      </c>
      <c r="S58" s="19">
        <f t="shared" si="45"/>
        <v>361.44891145032545</v>
      </c>
      <c r="T58" s="19">
        <f t="shared" si="45"/>
        <v>368.67788967933188</v>
      </c>
      <c r="U58" s="19">
        <f t="shared" si="45"/>
        <v>376.0514474729186</v>
      </c>
      <c r="V58" s="19">
        <f t="shared" si="45"/>
        <v>383.57247642237684</v>
      </c>
      <c r="W58" s="19">
        <f t="shared" si="45"/>
        <v>391.24392595082446</v>
      </c>
      <c r="X58" s="19">
        <f t="shared" si="45"/>
        <v>399.06880446984098</v>
      </c>
      <c r="Y58" s="19">
        <f t="shared" si="45"/>
        <v>407.05018055923773</v>
      </c>
      <c r="Z58" s="19">
        <f t="shared" si="45"/>
        <v>415.1911841704225</v>
      </c>
      <c r="AA58" s="19">
        <f t="shared" si="45"/>
        <v>423.49500785383094</v>
      </c>
      <c r="AB58" s="19">
        <f t="shared" si="45"/>
        <v>431.96490801090755</v>
      </c>
      <c r="AC58" s="19">
        <f t="shared" si="45"/>
        <v>440.60420617112572</v>
      </c>
      <c r="AD58" s="19">
        <f t="shared" si="45"/>
        <v>449.41629029454816</v>
      </c>
      <c r="AE58" s="19">
        <f t="shared" si="45"/>
        <v>458.40461610043917</v>
      </c>
      <c r="AF58" s="19">
        <f t="shared" si="45"/>
        <v>467.57270842244793</v>
      </c>
      <c r="AG58" s="19">
        <f t="shared" si="45"/>
        <v>443.45580030381643</v>
      </c>
      <c r="AH58" s="19">
        <f t="shared" si="45"/>
        <v>179.22308004731596</v>
      </c>
      <c r="AI58" s="19">
        <f t="shared" si="45"/>
        <v>26.115363092608906</v>
      </c>
      <c r="AJ58" s="19">
        <f t="shared" si="45"/>
        <v>0</v>
      </c>
      <c r="AK58" s="19">
        <f t="shared" si="45"/>
        <v>0</v>
      </c>
      <c r="AL58" s="19">
        <f t="shared" si="45"/>
        <v>0</v>
      </c>
      <c r="AM58" s="19">
        <f t="shared" ref="AM58:BD58" si="46">SUM(AM52:AM57)</f>
        <v>0</v>
      </c>
      <c r="AN58" s="19">
        <f t="shared" si="46"/>
        <v>0</v>
      </c>
      <c r="AO58" s="19">
        <f t="shared" si="46"/>
        <v>0</v>
      </c>
      <c r="AP58" s="19">
        <f t="shared" si="46"/>
        <v>0</v>
      </c>
      <c r="AQ58" s="19">
        <f t="shared" si="46"/>
        <v>0</v>
      </c>
      <c r="AR58" s="19">
        <f t="shared" si="46"/>
        <v>0</v>
      </c>
      <c r="AS58" s="19">
        <f t="shared" si="46"/>
        <v>0</v>
      </c>
      <c r="AT58" s="19">
        <f t="shared" si="46"/>
        <v>0</v>
      </c>
      <c r="AU58" s="19">
        <f t="shared" si="46"/>
        <v>0</v>
      </c>
      <c r="AV58" s="19">
        <f t="shared" si="46"/>
        <v>0</v>
      </c>
      <c r="AW58" s="19">
        <f t="shared" si="46"/>
        <v>0</v>
      </c>
      <c r="AX58" s="19">
        <f t="shared" si="46"/>
        <v>0</v>
      </c>
      <c r="AY58" s="19">
        <f t="shared" si="46"/>
        <v>0</v>
      </c>
      <c r="AZ58" s="19">
        <f t="shared" si="46"/>
        <v>0</v>
      </c>
      <c r="BA58" s="19">
        <f t="shared" si="46"/>
        <v>0</v>
      </c>
      <c r="BB58" s="19">
        <f t="shared" si="46"/>
        <v>0</v>
      </c>
      <c r="BC58" s="19">
        <f t="shared" si="46"/>
        <v>0</v>
      </c>
      <c r="BD58" s="19">
        <f t="shared" si="46"/>
        <v>0</v>
      </c>
    </row>
    <row r="59" spans="1:56" ht="13" thickBot="1">
      <c r="A59" s="26" t="b">
        <f>ROUND(C59-(C51-SUM(C52:C57)),5)=0</f>
        <v>1</v>
      </c>
      <c r="C59" s="21">
        <f>SUM(G59:BD59)</f>
        <v>8103.8960573885061</v>
      </c>
      <c r="D59" s="27" t="s">
        <v>319</v>
      </c>
      <c r="E59" s="28" t="s">
        <v>333</v>
      </c>
      <c r="F59" s="29"/>
      <c r="G59" s="30">
        <f t="shared" ref="G59:AL59" si="47">G51-G58</f>
        <v>-20</v>
      </c>
      <c r="H59" s="30">
        <f t="shared" si="47"/>
        <v>-20.399999999999999</v>
      </c>
      <c r="I59" s="30">
        <f t="shared" si="47"/>
        <v>-78.03</v>
      </c>
      <c r="J59" s="30">
        <f t="shared" si="47"/>
        <v>-318.36239999999998</v>
      </c>
      <c r="K59" s="30">
        <f t="shared" si="47"/>
        <v>64.458835128000032</v>
      </c>
      <c r="L59" s="30">
        <f t="shared" si="47"/>
        <v>302.46293603664009</v>
      </c>
      <c r="M59" s="30">
        <f t="shared" si="47"/>
        <v>308.51219475737287</v>
      </c>
      <c r="N59" s="30">
        <f t="shared" si="47"/>
        <v>314.6824386525202</v>
      </c>
      <c r="O59" s="30">
        <f t="shared" si="47"/>
        <v>320.97608742557065</v>
      </c>
      <c r="P59" s="30">
        <f t="shared" si="47"/>
        <v>327.3956091740821</v>
      </c>
      <c r="Q59" s="30">
        <f t="shared" si="47"/>
        <v>333.94352135756378</v>
      </c>
      <c r="R59" s="30">
        <f t="shared" si="47"/>
        <v>340.62239178471492</v>
      </c>
      <c r="S59" s="30">
        <f t="shared" si="47"/>
        <v>347.43483962040932</v>
      </c>
      <c r="T59" s="30">
        <f t="shared" si="47"/>
        <v>354.38353641281753</v>
      </c>
      <c r="U59" s="30">
        <f t="shared" si="47"/>
        <v>361.47120714107388</v>
      </c>
      <c r="V59" s="30">
        <f t="shared" si="47"/>
        <v>368.70063128389523</v>
      </c>
      <c r="W59" s="30">
        <f t="shared" si="47"/>
        <v>376.07464390957324</v>
      </c>
      <c r="X59" s="30">
        <f t="shared" si="47"/>
        <v>383.59613678776475</v>
      </c>
      <c r="Y59" s="30">
        <f t="shared" si="47"/>
        <v>391.26805952351998</v>
      </c>
      <c r="Z59" s="30">
        <f t="shared" si="47"/>
        <v>399.09342071399033</v>
      </c>
      <c r="AA59" s="30">
        <f t="shared" si="47"/>
        <v>407.07528912827019</v>
      </c>
      <c r="AB59" s="30">
        <f t="shared" si="47"/>
        <v>415.21679491083563</v>
      </c>
      <c r="AC59" s="30">
        <f t="shared" si="47"/>
        <v>423.52113080905235</v>
      </c>
      <c r="AD59" s="30">
        <f t="shared" si="47"/>
        <v>428.12815022796428</v>
      </c>
      <c r="AE59" s="30">
        <f t="shared" si="47"/>
        <v>436.69071323252354</v>
      </c>
      <c r="AF59" s="30">
        <f t="shared" si="47"/>
        <v>445.42452749717404</v>
      </c>
      <c r="AG59" s="30">
        <f t="shared" si="47"/>
        <v>487.80138033419814</v>
      </c>
      <c r="AH59" s="30">
        <f t="shared" si="47"/>
        <v>227.86934463158744</v>
      </c>
      <c r="AI59" s="30">
        <f t="shared" si="47"/>
        <v>-26.115363092608906</v>
      </c>
      <c r="AJ59" s="30">
        <f t="shared" si="47"/>
        <v>0</v>
      </c>
      <c r="AK59" s="30">
        <f t="shared" si="47"/>
        <v>0</v>
      </c>
      <c r="AL59" s="30">
        <f t="shared" si="47"/>
        <v>0</v>
      </c>
      <c r="AM59" s="30">
        <f t="shared" ref="AM59:BD59" si="48">AM51-AM58</f>
        <v>0</v>
      </c>
      <c r="AN59" s="30">
        <f t="shared" si="48"/>
        <v>0</v>
      </c>
      <c r="AO59" s="30">
        <f t="shared" si="48"/>
        <v>0</v>
      </c>
      <c r="AP59" s="30">
        <f t="shared" si="48"/>
        <v>0</v>
      </c>
      <c r="AQ59" s="30">
        <f t="shared" si="48"/>
        <v>0</v>
      </c>
      <c r="AR59" s="30">
        <f t="shared" si="48"/>
        <v>0</v>
      </c>
      <c r="AS59" s="30">
        <f t="shared" si="48"/>
        <v>0</v>
      </c>
      <c r="AT59" s="30">
        <f t="shared" si="48"/>
        <v>0</v>
      </c>
      <c r="AU59" s="30">
        <f t="shared" si="48"/>
        <v>0</v>
      </c>
      <c r="AV59" s="30">
        <f t="shared" si="48"/>
        <v>0</v>
      </c>
      <c r="AW59" s="30">
        <f t="shared" si="48"/>
        <v>0</v>
      </c>
      <c r="AX59" s="30">
        <f t="shared" si="48"/>
        <v>0</v>
      </c>
      <c r="AY59" s="30">
        <f t="shared" si="48"/>
        <v>0</v>
      </c>
      <c r="AZ59" s="30">
        <f t="shared" si="48"/>
        <v>0</v>
      </c>
      <c r="BA59" s="30">
        <f t="shared" si="48"/>
        <v>0</v>
      </c>
      <c r="BB59" s="30">
        <f t="shared" si="48"/>
        <v>0</v>
      </c>
      <c r="BC59" s="30">
        <f t="shared" si="48"/>
        <v>0</v>
      </c>
      <c r="BD59" s="30">
        <f t="shared" si="48"/>
        <v>0</v>
      </c>
    </row>
    <row r="60" spans="1:56" ht="13" thickTop="1">
      <c r="C60" s="37"/>
      <c r="D60" s="22"/>
      <c r="E60" s="18"/>
      <c r="F60" s="23"/>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row>
    <row r="61" spans="1:56" ht="12.5">
      <c r="C61" s="32">
        <f>IFERROR(IRR($G59:BD59),0)</f>
        <v>0.44660546613299434</v>
      </c>
      <c r="D61" s="22" t="s">
        <v>335</v>
      </c>
      <c r="E61" s="18" t="s">
        <v>30</v>
      </c>
      <c r="F61" s="23"/>
      <c r="G61" s="6" t="str">
        <f>IFERROR(IRR($G59:G59),"--")</f>
        <v>--</v>
      </c>
      <c r="H61" s="6" t="str">
        <f>IFERROR(IRR($G59:H59),"--")</f>
        <v>--</v>
      </c>
      <c r="I61" s="6" t="str">
        <f>IFERROR(IRR($G59:I59),"--")</f>
        <v>--</v>
      </c>
      <c r="J61" s="6" t="str">
        <f>IFERROR(IRR($G59:J59),"--")</f>
        <v>--</v>
      </c>
      <c r="K61" s="6" t="str">
        <f>IFERROR(IRR($G59:K59),"--")</f>
        <v>--</v>
      </c>
      <c r="L61" s="6">
        <f>IFERROR(IRR($G59:L59),"--")</f>
        <v>-7.5634526500448551E-2</v>
      </c>
      <c r="M61" s="6">
        <f>IFERROR(IRR($G59:M59),"--")</f>
        <v>0.16916367790264553</v>
      </c>
      <c r="N61" s="6">
        <f>IFERROR(IRR($G59:N59),"--")</f>
        <v>0.28452029852178029</v>
      </c>
      <c r="O61" s="6">
        <f>IFERROR(IRR($G59:O59),"--")</f>
        <v>0.34655394532765782</v>
      </c>
      <c r="P61" s="6">
        <f>IFERROR(IRR($G59:P59),"--")</f>
        <v>0.3825957529350914</v>
      </c>
      <c r="Q61" s="6">
        <f>IFERROR(IRR($G59:Q59),"--")</f>
        <v>0.4046314931987478</v>
      </c>
      <c r="R61" s="6">
        <f>IFERROR(IRR($G59:R59),"--")</f>
        <v>0.41859436831528174</v>
      </c>
      <c r="S61" s="6">
        <f>IFERROR(IRR($G59:S59),"--")</f>
        <v>0.42767492395817208</v>
      </c>
      <c r="T61" s="6">
        <f>IFERROR(IRR($G59:T59),"--")</f>
        <v>0.43369562034286613</v>
      </c>
      <c r="U61" s="6">
        <f>IFERROR(IRR($G59:U59),"--")</f>
        <v>0.43774617240462343</v>
      </c>
      <c r="V61" s="6">
        <f>IFERROR(IRR($G59:V59),"--")</f>
        <v>0.44050166855226958</v>
      </c>
      <c r="W61" s="6">
        <f>IFERROR(IRR($G59:W59),"--")</f>
        <v>0.44239213467736094</v>
      </c>
      <c r="X61" s="6">
        <f>IFERROR(IRR($G59:X59),"--")</f>
        <v>0.44369758560496164</v>
      </c>
      <c r="Y61" s="6">
        <f>IFERROR(IRR($G59:Y59),"--")</f>
        <v>0.4446035603944356</v>
      </c>
      <c r="Z61" s="6">
        <f>IFERROR(IRR($G59:Z59),"--")</f>
        <v>0.44523470553566447</v>
      </c>
      <c r="AA61" s="6">
        <f>IFERROR(IRR($G59:AA59),"--")</f>
        <v>0.44567567639663963</v>
      </c>
      <c r="AB61" s="6">
        <f>IFERROR(IRR($G59:AB59),"--")</f>
        <v>0.44598446234594569</v>
      </c>
      <c r="AC61" s="6">
        <f>IFERROR(IRR($G59:AC59),"--")</f>
        <v>0.44620105357791728</v>
      </c>
      <c r="AD61" s="6">
        <f>IFERROR(IRR($G59:AD59),"--")</f>
        <v>0.44635181416048075</v>
      </c>
      <c r="AE61" s="6">
        <f>IFERROR(IRR($G59:AE59),"--")</f>
        <v>0.44645780390168421</v>
      </c>
      <c r="AF61" s="6">
        <f>IFERROR(IRR($G59:AF59),"--")</f>
        <v>0.44653237236504872</v>
      </c>
      <c r="AG61" s="6">
        <f>IFERROR(IRR($G59:AG59),"--")</f>
        <v>0.44658872692036677</v>
      </c>
      <c r="AH61" s="6">
        <f>IFERROR(IRR($G59:AH59),"--")</f>
        <v>0.44660690601323649</v>
      </c>
      <c r="AI61" s="6">
        <f>IFERROR(IRR($G59:AI59),"--")</f>
        <v>0.44660546613299434</v>
      </c>
      <c r="AJ61" s="6">
        <f>IFERROR(IRR($G59:AJ59),"--")</f>
        <v>0.44660546613299434</v>
      </c>
      <c r="AK61" s="6">
        <f>IFERROR(IRR($G59:AK59),"--")</f>
        <v>0.44660546613299434</v>
      </c>
      <c r="AL61" s="6">
        <f>IFERROR(IRR($G59:AL59),"--")</f>
        <v>0.44660546613299434</v>
      </c>
      <c r="AM61" s="6">
        <f>IFERROR(IRR($G59:AM59),"--")</f>
        <v>0.44660546613299434</v>
      </c>
      <c r="AN61" s="6">
        <f>IFERROR(IRR($G59:AN59),"--")</f>
        <v>0.44660546613299434</v>
      </c>
      <c r="AO61" s="6">
        <f>IFERROR(IRR($G59:AO59),"--")</f>
        <v>0.44660546613299434</v>
      </c>
      <c r="AP61" s="6">
        <f>IFERROR(IRR($G59:AP59),"--")</f>
        <v>0.44660546613299434</v>
      </c>
      <c r="AQ61" s="6">
        <f>IFERROR(IRR($G59:AQ59),"--")</f>
        <v>0.44660546613299434</v>
      </c>
      <c r="AR61" s="6">
        <f>IFERROR(IRR($G59:AR59),"--")</f>
        <v>0.44660546613299434</v>
      </c>
      <c r="AS61" s="6">
        <f>IFERROR(IRR($G59:AS59),"--")</f>
        <v>0.44660546613299434</v>
      </c>
      <c r="AT61" s="6">
        <f>IFERROR(IRR($G59:AT59),"--")</f>
        <v>0.44660546613299434</v>
      </c>
      <c r="AU61" s="6">
        <f>IFERROR(IRR($G59:AU59),"--")</f>
        <v>0.44660546613299434</v>
      </c>
      <c r="AV61" s="6">
        <f>IFERROR(IRR($G59:AV59),"--")</f>
        <v>0.44660546613299434</v>
      </c>
      <c r="AW61" s="6">
        <f>IFERROR(IRR($G59:AW59),"--")</f>
        <v>0.44660546613299434</v>
      </c>
      <c r="AX61" s="6">
        <f>IFERROR(IRR($G59:AX59),"--")</f>
        <v>0.44660546613299434</v>
      </c>
      <c r="AY61" s="6">
        <f>IFERROR(IRR($G59:AY59),"--")</f>
        <v>0.44660546613299434</v>
      </c>
      <c r="AZ61" s="6">
        <f>IFERROR(IRR($G59:AZ59),"--")</f>
        <v>0.44660546613299434</v>
      </c>
      <c r="BA61" s="6">
        <f>IFERROR(IRR($G59:BA59),"--")</f>
        <v>0.44660546613299434</v>
      </c>
      <c r="BB61" s="6">
        <f>IFERROR(IRR($G59:BB59),"--")</f>
        <v>0.44660546613299434</v>
      </c>
      <c r="BC61" s="6">
        <f>IFERROR(IRR($G59:BC59),"--")</f>
        <v>0.44660546613299434</v>
      </c>
      <c r="BD61" s="6">
        <f>IFERROR(IRR($G59:BD59),"--")</f>
        <v>0.44660546613299434</v>
      </c>
    </row>
    <row r="62" spans="1:56" ht="12.5">
      <c r="C62" s="33">
        <f>NPV(Inputs!$E$200 + Inputs!$E$202,$H$59:$BD$59)+$G$59</f>
        <v>1810.5340772598349</v>
      </c>
      <c r="D62" s="22" t="str">
        <f>"Project pre-tax cash flows NPV"&amp;(Inputs!$E$200 + Inputs!$E$202)*100</f>
        <v>Project pre-tax cash flows NPV10</v>
      </c>
      <c r="E62" s="18" t="s">
        <v>333</v>
      </c>
      <c r="F62" s="23"/>
      <c r="G62" s="7"/>
      <c r="H62" s="7"/>
      <c r="I62" s="7"/>
      <c r="J62" s="7"/>
      <c r="K62" s="7"/>
      <c r="L62" s="7"/>
      <c r="M62" s="7"/>
      <c r="N62" s="7"/>
      <c r="O62" s="7"/>
      <c r="P62" s="7"/>
      <c r="Q62" s="7"/>
      <c r="R62" s="7"/>
      <c r="S62" s="7"/>
      <c r="T62" s="7"/>
      <c r="U62" s="7"/>
    </row>
    <row r="63" spans="1:56" ht="15" customHeight="1"/>
    <row r="64" spans="1:56" ht="13">
      <c r="A64" s="31"/>
      <c r="C64" s="21"/>
      <c r="D64" s="463" t="s">
        <v>336</v>
      </c>
      <c r="E64" s="463"/>
      <c r="F64" s="463"/>
      <c r="G64" s="544"/>
      <c r="H64" s="544"/>
      <c r="I64" s="544"/>
      <c r="J64" s="544"/>
      <c r="K64" s="544"/>
      <c r="L64" s="544"/>
      <c r="M64" s="544"/>
      <c r="N64" s="544"/>
      <c r="O64" s="544"/>
      <c r="P64" s="544"/>
      <c r="Q64" s="544"/>
      <c r="R64" s="544"/>
      <c r="S64" s="544"/>
      <c r="T64" s="544"/>
      <c r="U64" s="544"/>
      <c r="V64" s="544"/>
      <c r="W64" s="544"/>
      <c r="X64" s="544"/>
      <c r="Y64" s="544"/>
      <c r="Z64" s="544"/>
      <c r="AA64" s="544"/>
      <c r="AB64" s="544"/>
      <c r="AC64" s="544"/>
      <c r="AD64" s="544"/>
      <c r="AE64" s="544"/>
      <c r="AF64" s="544"/>
      <c r="AG64" s="544"/>
      <c r="AH64" s="544"/>
      <c r="AI64" s="544"/>
      <c r="AJ64" s="544"/>
      <c r="AK64" s="544"/>
      <c r="AL64" s="544"/>
      <c r="AM64" s="544"/>
      <c r="AN64" s="544"/>
      <c r="AO64" s="544"/>
      <c r="AP64" s="544"/>
      <c r="AQ64" s="544"/>
      <c r="AR64" s="544"/>
      <c r="AS64" s="544"/>
      <c r="AT64" s="544"/>
      <c r="AU64" s="544"/>
      <c r="AV64" s="544"/>
      <c r="AW64" s="544"/>
      <c r="AX64" s="544"/>
      <c r="AY64" s="544"/>
      <c r="AZ64" s="544"/>
      <c r="BA64" s="544"/>
      <c r="BB64" s="544"/>
      <c r="BC64" s="544"/>
      <c r="BD64" s="544"/>
    </row>
    <row r="65" spans="2:56" ht="15" customHeight="1">
      <c r="C65" s="116">
        <f>SUM(G65:BD65)</f>
        <v>29</v>
      </c>
      <c r="D65" s="11" t="s">
        <v>337</v>
      </c>
      <c r="E65" s="18" t="s">
        <v>42</v>
      </c>
      <c r="G65" s="19">
        <f t="shared" ref="G65:AL65" si="49">G31*(G57&gt;0)</f>
        <v>0</v>
      </c>
      <c r="H65" s="19">
        <f t="shared" si="49"/>
        <v>0</v>
      </c>
      <c r="I65" s="19">
        <f t="shared" si="49"/>
        <v>0</v>
      </c>
      <c r="J65" s="19">
        <f t="shared" si="49"/>
        <v>0</v>
      </c>
      <c r="K65" s="19">
        <f t="shared" si="49"/>
        <v>0</v>
      </c>
      <c r="L65" s="19">
        <f t="shared" si="49"/>
        <v>0</v>
      </c>
      <c r="M65" s="19">
        <f t="shared" si="49"/>
        <v>0</v>
      </c>
      <c r="N65" s="19">
        <f t="shared" si="49"/>
        <v>0</v>
      </c>
      <c r="O65" s="19">
        <f t="shared" si="49"/>
        <v>0</v>
      </c>
      <c r="P65" s="19">
        <f t="shared" si="49"/>
        <v>0</v>
      </c>
      <c r="Q65" s="19">
        <f t="shared" si="49"/>
        <v>0</v>
      </c>
      <c r="R65" s="19">
        <f t="shared" si="49"/>
        <v>0</v>
      </c>
      <c r="S65" s="19">
        <f t="shared" si="49"/>
        <v>0</v>
      </c>
      <c r="T65" s="19">
        <f t="shared" si="49"/>
        <v>0</v>
      </c>
      <c r="U65" s="19">
        <f t="shared" si="49"/>
        <v>0</v>
      </c>
      <c r="V65" s="19">
        <f t="shared" si="49"/>
        <v>0</v>
      </c>
      <c r="W65" s="19">
        <f t="shared" si="49"/>
        <v>0</v>
      </c>
      <c r="X65" s="19">
        <f t="shared" si="49"/>
        <v>0</v>
      </c>
      <c r="Y65" s="19">
        <f t="shared" si="49"/>
        <v>0</v>
      </c>
      <c r="Z65" s="19">
        <f t="shared" si="49"/>
        <v>0</v>
      </c>
      <c r="AA65" s="19">
        <f t="shared" si="49"/>
        <v>0</v>
      </c>
      <c r="AB65" s="19">
        <f t="shared" si="49"/>
        <v>0</v>
      </c>
      <c r="AC65" s="19">
        <f t="shared" si="49"/>
        <v>0</v>
      </c>
      <c r="AD65" s="19">
        <f t="shared" si="49"/>
        <v>0</v>
      </c>
      <c r="AE65" s="19">
        <f t="shared" si="49"/>
        <v>0</v>
      </c>
      <c r="AF65" s="19">
        <f t="shared" si="49"/>
        <v>0</v>
      </c>
      <c r="AG65" s="19">
        <f t="shared" si="49"/>
        <v>0</v>
      </c>
      <c r="AH65" s="19">
        <f t="shared" si="49"/>
        <v>0</v>
      </c>
      <c r="AI65" s="19">
        <f t="shared" si="49"/>
        <v>29</v>
      </c>
      <c r="AJ65" s="19">
        <f t="shared" si="49"/>
        <v>0</v>
      </c>
      <c r="AK65" s="19">
        <f t="shared" si="49"/>
        <v>0</v>
      </c>
      <c r="AL65" s="19">
        <f t="shared" si="49"/>
        <v>0</v>
      </c>
      <c r="AM65" s="19">
        <f t="shared" ref="AM65:BD65" si="50">AM31*(AM57&gt;0)</f>
        <v>0</v>
      </c>
      <c r="AN65" s="19">
        <f t="shared" si="50"/>
        <v>0</v>
      </c>
      <c r="AO65" s="19">
        <f t="shared" si="50"/>
        <v>0</v>
      </c>
      <c r="AP65" s="19">
        <f t="shared" si="50"/>
        <v>0</v>
      </c>
      <c r="AQ65" s="19">
        <f t="shared" si="50"/>
        <v>0</v>
      </c>
      <c r="AR65" s="19">
        <f t="shared" si="50"/>
        <v>0</v>
      </c>
      <c r="AS65" s="19">
        <f t="shared" si="50"/>
        <v>0</v>
      </c>
      <c r="AT65" s="19">
        <f t="shared" si="50"/>
        <v>0</v>
      </c>
      <c r="AU65" s="19">
        <f t="shared" si="50"/>
        <v>0</v>
      </c>
      <c r="AV65" s="19">
        <f t="shared" si="50"/>
        <v>0</v>
      </c>
      <c r="AW65" s="19">
        <f t="shared" si="50"/>
        <v>0</v>
      </c>
      <c r="AX65" s="19">
        <f t="shared" si="50"/>
        <v>0</v>
      </c>
      <c r="AY65" s="19">
        <f t="shared" si="50"/>
        <v>0</v>
      </c>
      <c r="AZ65" s="19">
        <f t="shared" si="50"/>
        <v>0</v>
      </c>
      <c r="BA65" s="19">
        <f t="shared" si="50"/>
        <v>0</v>
      </c>
      <c r="BB65" s="19">
        <f t="shared" si="50"/>
        <v>0</v>
      </c>
      <c r="BC65" s="19">
        <f t="shared" si="50"/>
        <v>0</v>
      </c>
      <c r="BD65" s="19">
        <f t="shared" si="50"/>
        <v>0</v>
      </c>
    </row>
    <row r="66" spans="2:56" ht="15" customHeight="1">
      <c r="C66" s="116">
        <f>SUM(G66:BD66)</f>
        <v>26.115363092608906</v>
      </c>
      <c r="D66" s="11" t="s">
        <v>338</v>
      </c>
      <c r="E66" s="18" t="s">
        <v>333</v>
      </c>
      <c r="G66" s="19">
        <f t="shared" ref="G66:AL66" si="51">G57</f>
        <v>0</v>
      </c>
      <c r="H66" s="19">
        <f t="shared" si="51"/>
        <v>0</v>
      </c>
      <c r="I66" s="19">
        <f t="shared" si="51"/>
        <v>0</v>
      </c>
      <c r="J66" s="19">
        <f t="shared" si="51"/>
        <v>0</v>
      </c>
      <c r="K66" s="19">
        <f t="shared" si="51"/>
        <v>0</v>
      </c>
      <c r="L66" s="19">
        <f t="shared" si="51"/>
        <v>0</v>
      </c>
      <c r="M66" s="19">
        <f t="shared" si="51"/>
        <v>0</v>
      </c>
      <c r="N66" s="19">
        <f t="shared" si="51"/>
        <v>0</v>
      </c>
      <c r="O66" s="19">
        <f t="shared" si="51"/>
        <v>0</v>
      </c>
      <c r="P66" s="19">
        <f t="shared" si="51"/>
        <v>0</v>
      </c>
      <c r="Q66" s="19">
        <f t="shared" si="51"/>
        <v>0</v>
      </c>
      <c r="R66" s="19">
        <f t="shared" si="51"/>
        <v>0</v>
      </c>
      <c r="S66" s="19">
        <f t="shared" si="51"/>
        <v>0</v>
      </c>
      <c r="T66" s="19">
        <f t="shared" si="51"/>
        <v>0</v>
      </c>
      <c r="U66" s="19">
        <f t="shared" si="51"/>
        <v>0</v>
      </c>
      <c r="V66" s="19">
        <f t="shared" si="51"/>
        <v>0</v>
      </c>
      <c r="W66" s="19">
        <f t="shared" si="51"/>
        <v>0</v>
      </c>
      <c r="X66" s="19">
        <f t="shared" si="51"/>
        <v>0</v>
      </c>
      <c r="Y66" s="19">
        <f t="shared" si="51"/>
        <v>0</v>
      </c>
      <c r="Z66" s="19">
        <f t="shared" si="51"/>
        <v>0</v>
      </c>
      <c r="AA66" s="19">
        <f t="shared" si="51"/>
        <v>0</v>
      </c>
      <c r="AB66" s="19">
        <f t="shared" si="51"/>
        <v>0</v>
      </c>
      <c r="AC66" s="19">
        <f t="shared" si="51"/>
        <v>0</v>
      </c>
      <c r="AD66" s="19">
        <f t="shared" si="51"/>
        <v>0</v>
      </c>
      <c r="AE66" s="19">
        <f t="shared" si="51"/>
        <v>0</v>
      </c>
      <c r="AF66" s="19">
        <f t="shared" si="51"/>
        <v>0</v>
      </c>
      <c r="AG66" s="19">
        <f t="shared" si="51"/>
        <v>0</v>
      </c>
      <c r="AH66" s="19">
        <f t="shared" si="51"/>
        <v>0</v>
      </c>
      <c r="AI66" s="19">
        <f t="shared" si="51"/>
        <v>26.115363092608906</v>
      </c>
      <c r="AJ66" s="19">
        <f t="shared" si="51"/>
        <v>0</v>
      </c>
      <c r="AK66" s="424">
        <f t="shared" si="51"/>
        <v>0</v>
      </c>
      <c r="AL66" s="19">
        <f t="shared" si="51"/>
        <v>0</v>
      </c>
      <c r="AM66" s="19">
        <f t="shared" ref="AM66:BD66" si="52">AM57</f>
        <v>0</v>
      </c>
      <c r="AN66" s="19">
        <f t="shared" si="52"/>
        <v>0</v>
      </c>
      <c r="AO66" s="19">
        <f t="shared" si="52"/>
        <v>0</v>
      </c>
      <c r="AP66" s="19">
        <f t="shared" si="52"/>
        <v>0</v>
      </c>
      <c r="AQ66" s="19">
        <f t="shared" si="52"/>
        <v>0</v>
      </c>
      <c r="AR66" s="19">
        <f t="shared" si="52"/>
        <v>0</v>
      </c>
      <c r="AS66" s="19">
        <f t="shared" si="52"/>
        <v>0</v>
      </c>
      <c r="AT66" s="19">
        <f t="shared" si="52"/>
        <v>0</v>
      </c>
      <c r="AU66" s="19">
        <f t="shared" si="52"/>
        <v>0</v>
      </c>
      <c r="AV66" s="19">
        <f t="shared" si="52"/>
        <v>0</v>
      </c>
      <c r="AW66" s="19">
        <f t="shared" si="52"/>
        <v>0</v>
      </c>
      <c r="AX66" s="19">
        <f t="shared" si="52"/>
        <v>0</v>
      </c>
      <c r="AY66" s="19">
        <f t="shared" si="52"/>
        <v>0</v>
      </c>
      <c r="AZ66" s="19">
        <f t="shared" si="52"/>
        <v>0</v>
      </c>
      <c r="BA66" s="19">
        <f t="shared" si="52"/>
        <v>0</v>
      </c>
      <c r="BB66" s="19">
        <f t="shared" si="52"/>
        <v>0</v>
      </c>
      <c r="BC66" s="19">
        <f t="shared" si="52"/>
        <v>0</v>
      </c>
      <c r="BD66" s="19">
        <f t="shared" si="52"/>
        <v>0</v>
      </c>
    </row>
    <row r="67" spans="2:56" ht="15" customHeight="1">
      <c r="C67" s="116">
        <f>SUM(G67:BD67)</f>
        <v>15.000000000000002</v>
      </c>
      <c r="D67" s="11" t="s">
        <v>339</v>
      </c>
      <c r="E67" s="18" t="s">
        <v>289</v>
      </c>
      <c r="G67" s="19">
        <f t="shared" ref="G67:AL67" si="53">G66/G44</f>
        <v>0</v>
      </c>
      <c r="H67" s="19">
        <f t="shared" si="53"/>
        <v>0</v>
      </c>
      <c r="I67" s="19">
        <f t="shared" si="53"/>
        <v>0</v>
      </c>
      <c r="J67" s="19">
        <f t="shared" si="53"/>
        <v>0</v>
      </c>
      <c r="K67" s="19">
        <f t="shared" si="53"/>
        <v>0</v>
      </c>
      <c r="L67" s="19">
        <f t="shared" si="53"/>
        <v>0</v>
      </c>
      <c r="M67" s="19">
        <f t="shared" si="53"/>
        <v>0</v>
      </c>
      <c r="N67" s="19">
        <f t="shared" si="53"/>
        <v>0</v>
      </c>
      <c r="O67" s="19">
        <f t="shared" si="53"/>
        <v>0</v>
      </c>
      <c r="P67" s="19">
        <f t="shared" si="53"/>
        <v>0</v>
      </c>
      <c r="Q67" s="19">
        <f t="shared" si="53"/>
        <v>0</v>
      </c>
      <c r="R67" s="19">
        <f t="shared" si="53"/>
        <v>0</v>
      </c>
      <c r="S67" s="19">
        <f t="shared" si="53"/>
        <v>0</v>
      </c>
      <c r="T67" s="19">
        <f t="shared" si="53"/>
        <v>0</v>
      </c>
      <c r="U67" s="19">
        <f t="shared" si="53"/>
        <v>0</v>
      </c>
      <c r="V67" s="19">
        <f t="shared" si="53"/>
        <v>0</v>
      </c>
      <c r="W67" s="19">
        <f t="shared" si="53"/>
        <v>0</v>
      </c>
      <c r="X67" s="19">
        <f t="shared" si="53"/>
        <v>0</v>
      </c>
      <c r="Y67" s="19">
        <f t="shared" si="53"/>
        <v>0</v>
      </c>
      <c r="Z67" s="19">
        <f t="shared" si="53"/>
        <v>0</v>
      </c>
      <c r="AA67" s="19">
        <f t="shared" si="53"/>
        <v>0</v>
      </c>
      <c r="AB67" s="19">
        <f t="shared" si="53"/>
        <v>0</v>
      </c>
      <c r="AC67" s="19">
        <f t="shared" si="53"/>
        <v>0</v>
      </c>
      <c r="AD67" s="19">
        <f t="shared" si="53"/>
        <v>0</v>
      </c>
      <c r="AE67" s="19">
        <f t="shared" si="53"/>
        <v>0</v>
      </c>
      <c r="AF67" s="19">
        <f t="shared" si="53"/>
        <v>0</v>
      </c>
      <c r="AG67" s="19">
        <f t="shared" si="53"/>
        <v>0</v>
      </c>
      <c r="AH67" s="19">
        <f t="shared" si="53"/>
        <v>0</v>
      </c>
      <c r="AI67" s="19">
        <f t="shared" si="53"/>
        <v>15.000000000000002</v>
      </c>
      <c r="AJ67" s="19">
        <f t="shared" si="53"/>
        <v>0</v>
      </c>
      <c r="AK67" s="19">
        <f t="shared" si="53"/>
        <v>0</v>
      </c>
      <c r="AL67" s="19">
        <f t="shared" si="53"/>
        <v>0</v>
      </c>
      <c r="AM67" s="19">
        <f t="shared" ref="AM67:BD67" si="54">AM66/AM44</f>
        <v>0</v>
      </c>
      <c r="AN67" s="19">
        <f t="shared" si="54"/>
        <v>0</v>
      </c>
      <c r="AO67" s="19">
        <f t="shared" si="54"/>
        <v>0</v>
      </c>
      <c r="AP67" s="19">
        <f t="shared" si="54"/>
        <v>0</v>
      </c>
      <c r="AQ67" s="19">
        <f t="shared" si="54"/>
        <v>0</v>
      </c>
      <c r="AR67" s="19">
        <f t="shared" si="54"/>
        <v>0</v>
      </c>
      <c r="AS67" s="19">
        <f t="shared" si="54"/>
        <v>0</v>
      </c>
      <c r="AT67" s="19">
        <f t="shared" si="54"/>
        <v>0</v>
      </c>
      <c r="AU67" s="19">
        <f t="shared" si="54"/>
        <v>0</v>
      </c>
      <c r="AV67" s="19">
        <f t="shared" si="54"/>
        <v>0</v>
      </c>
      <c r="AW67" s="19">
        <f t="shared" si="54"/>
        <v>0</v>
      </c>
      <c r="AX67" s="19">
        <f t="shared" si="54"/>
        <v>0</v>
      </c>
      <c r="AY67" s="19">
        <f t="shared" si="54"/>
        <v>0</v>
      </c>
      <c r="AZ67" s="19">
        <f t="shared" si="54"/>
        <v>0</v>
      </c>
      <c r="BA67" s="19">
        <f t="shared" si="54"/>
        <v>0</v>
      </c>
      <c r="BB67" s="19">
        <f t="shared" si="54"/>
        <v>0</v>
      </c>
      <c r="BC67" s="19">
        <f t="shared" si="54"/>
        <v>0</v>
      </c>
      <c r="BD67" s="19">
        <f t="shared" si="54"/>
        <v>0</v>
      </c>
    </row>
    <row r="68" spans="2:56" ht="15" customHeight="1">
      <c r="C68" s="116"/>
      <c r="D68" s="11" t="s">
        <v>340</v>
      </c>
      <c r="E68" s="18" t="s">
        <v>333</v>
      </c>
      <c r="G68" s="19">
        <f>$C$67*G44*(G31&lt;=$C$65)</f>
        <v>15.000000000000002</v>
      </c>
      <c r="H68" s="19">
        <f t="shared" ref="H68:BD68" si="55">$C$67*H44*(H31&lt;=$C$65)</f>
        <v>15.300000000000002</v>
      </c>
      <c r="I68" s="19">
        <f t="shared" si="55"/>
        <v>15.606000000000002</v>
      </c>
      <c r="J68" s="19">
        <f t="shared" si="55"/>
        <v>15.91812</v>
      </c>
      <c r="K68" s="19">
        <f t="shared" si="55"/>
        <v>16.2364824</v>
      </c>
      <c r="L68" s="19">
        <f t="shared" si="55"/>
        <v>16.561212048000002</v>
      </c>
      <c r="M68" s="19">
        <f t="shared" si="55"/>
        <v>16.892436288960003</v>
      </c>
      <c r="N68" s="19">
        <f t="shared" si="55"/>
        <v>17.230285014739199</v>
      </c>
      <c r="O68" s="19">
        <f t="shared" si="55"/>
        <v>17.574890715033984</v>
      </c>
      <c r="P68" s="19">
        <f t="shared" si="55"/>
        <v>17.926388529334666</v>
      </c>
      <c r="Q68" s="19">
        <f t="shared" si="55"/>
        <v>18.28491629992136</v>
      </c>
      <c r="R68" s="19">
        <f t="shared" si="55"/>
        <v>18.650614625919783</v>
      </c>
      <c r="S68" s="19">
        <f t="shared" si="55"/>
        <v>19.023626918438183</v>
      </c>
      <c r="T68" s="19">
        <f t="shared" si="55"/>
        <v>19.404099456806943</v>
      </c>
      <c r="U68" s="19">
        <f t="shared" si="55"/>
        <v>19.792181445943086</v>
      </c>
      <c r="V68" s="19">
        <f t="shared" si="55"/>
        <v>20.18802507486194</v>
      </c>
      <c r="W68" s="19">
        <f t="shared" si="55"/>
        <v>20.591785576359182</v>
      </c>
      <c r="X68" s="19">
        <f t="shared" si="55"/>
        <v>21.003621287886368</v>
      </c>
      <c r="Y68" s="19">
        <f t="shared" si="55"/>
        <v>21.423693713644095</v>
      </c>
      <c r="Z68" s="19">
        <f t="shared" si="55"/>
        <v>21.852167587916973</v>
      </c>
      <c r="AA68" s="19">
        <f t="shared" si="55"/>
        <v>22.289210939675318</v>
      </c>
      <c r="AB68" s="19">
        <f t="shared" si="55"/>
        <v>22.73499515846882</v>
      </c>
      <c r="AC68" s="19">
        <f t="shared" si="55"/>
        <v>23.189695061638197</v>
      </c>
      <c r="AD68" s="19">
        <f t="shared" si="55"/>
        <v>23.653488962870959</v>
      </c>
      <c r="AE68" s="19">
        <f t="shared" si="55"/>
        <v>24.126558742128378</v>
      </c>
      <c r="AF68" s="19">
        <f t="shared" si="55"/>
        <v>24.609089916970945</v>
      </c>
      <c r="AG68" s="19">
        <f t="shared" si="55"/>
        <v>25.101271715310368</v>
      </c>
      <c r="AH68" s="19">
        <f t="shared" si="55"/>
        <v>25.603297149616569</v>
      </c>
      <c r="AI68" s="19">
        <f t="shared" si="55"/>
        <v>26.115363092608906</v>
      </c>
      <c r="AJ68" s="19">
        <f t="shared" si="55"/>
        <v>0</v>
      </c>
      <c r="AK68" s="19">
        <f t="shared" si="55"/>
        <v>0</v>
      </c>
      <c r="AL68" s="19">
        <f t="shared" si="55"/>
        <v>0</v>
      </c>
      <c r="AM68" s="19">
        <f t="shared" si="55"/>
        <v>0</v>
      </c>
      <c r="AN68" s="19">
        <f t="shared" si="55"/>
        <v>0</v>
      </c>
      <c r="AO68" s="19">
        <f t="shared" si="55"/>
        <v>0</v>
      </c>
      <c r="AP68" s="19">
        <f t="shared" si="55"/>
        <v>0</v>
      </c>
      <c r="AQ68" s="19">
        <f t="shared" si="55"/>
        <v>0</v>
      </c>
      <c r="AR68" s="19">
        <f t="shared" si="55"/>
        <v>0</v>
      </c>
      <c r="AS68" s="19">
        <f t="shared" si="55"/>
        <v>0</v>
      </c>
      <c r="AT68" s="19">
        <f t="shared" si="55"/>
        <v>0</v>
      </c>
      <c r="AU68" s="19">
        <f t="shared" si="55"/>
        <v>0</v>
      </c>
      <c r="AV68" s="19">
        <f t="shared" si="55"/>
        <v>0</v>
      </c>
      <c r="AW68" s="19">
        <f t="shared" si="55"/>
        <v>0</v>
      </c>
      <c r="AX68" s="19">
        <f t="shared" si="55"/>
        <v>0</v>
      </c>
      <c r="AY68" s="19">
        <f t="shared" si="55"/>
        <v>0</v>
      </c>
      <c r="AZ68" s="19">
        <f t="shared" si="55"/>
        <v>0</v>
      </c>
      <c r="BA68" s="19">
        <f t="shared" si="55"/>
        <v>0</v>
      </c>
      <c r="BB68" s="19">
        <f t="shared" si="55"/>
        <v>0</v>
      </c>
      <c r="BC68" s="19">
        <f t="shared" si="55"/>
        <v>0</v>
      </c>
      <c r="BD68" s="19">
        <f t="shared" si="55"/>
        <v>0</v>
      </c>
    </row>
    <row r="69" spans="2:56" ht="15" customHeight="1">
      <c r="C69" s="21"/>
      <c r="E69" s="18"/>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row>
    <row r="70" spans="2:56" ht="15" customHeight="1">
      <c r="C70" s="21"/>
      <c r="D70" s="11" t="s">
        <v>341</v>
      </c>
      <c r="E70" s="18" t="s">
        <v>30</v>
      </c>
      <c r="G70" s="7">
        <f>SUM($G$12:G12)/$C$12</f>
        <v>0</v>
      </c>
      <c r="H70" s="7">
        <f>SUM($G$12:H12)/$C$12</f>
        <v>0</v>
      </c>
      <c r="I70" s="7">
        <f>SUM($G$12:I12)/$C$12</f>
        <v>0</v>
      </c>
      <c r="J70" s="7">
        <f>SUM($G$12:J12)/$C$12</f>
        <v>0</v>
      </c>
      <c r="K70" s="7">
        <f>SUM($G$12:K12)/$C$12</f>
        <v>1.8749999999999999E-2</v>
      </c>
      <c r="L70" s="7">
        <f>SUM($G$12:L12)/$C$12</f>
        <v>6.25E-2</v>
      </c>
      <c r="M70" s="7">
        <f>SUM($G$12:M12)/$C$12</f>
        <v>0.10625</v>
      </c>
      <c r="N70" s="7">
        <f>SUM($G$12:N12)/$C$12</f>
        <v>0.15</v>
      </c>
      <c r="O70" s="7">
        <f>SUM($G$12:O12)/$C$12</f>
        <v>0.19375000000000001</v>
      </c>
      <c r="P70" s="7">
        <f>SUM($G$12:P12)/$C$12</f>
        <v>0.23749999999999999</v>
      </c>
      <c r="Q70" s="7">
        <f>SUM($G$12:Q12)/$C$12</f>
        <v>0.28125</v>
      </c>
      <c r="R70" s="7">
        <f>SUM($G$12:R12)/$C$12</f>
        <v>0.32500000000000001</v>
      </c>
      <c r="S70" s="7">
        <f>SUM($G$12:S12)/$C$12</f>
        <v>0.36875000000000002</v>
      </c>
      <c r="T70" s="7">
        <f>SUM($G$12:T12)/$C$12</f>
        <v>0.41249999999999998</v>
      </c>
      <c r="U70" s="7">
        <f>SUM($G$12:U12)/$C$12</f>
        <v>0.45624999999999999</v>
      </c>
      <c r="V70" s="7">
        <f>SUM($G$12:V12)/$C$12</f>
        <v>0.5</v>
      </c>
      <c r="W70" s="7">
        <f>SUM($G$12:W12)/$C$12</f>
        <v>0.54374999999999996</v>
      </c>
      <c r="X70" s="7">
        <f>SUM($G$12:X12)/$C$12</f>
        <v>0.58750000000000002</v>
      </c>
      <c r="Y70" s="7">
        <f>SUM($G$12:Y12)/$C$12</f>
        <v>0.63124999999999998</v>
      </c>
      <c r="Z70" s="7">
        <f>SUM($G$12:Z12)/$C$12</f>
        <v>0.67500000000000004</v>
      </c>
      <c r="AA70" s="7">
        <f>SUM($G$12:AA12)/$C$12</f>
        <v>0.71875</v>
      </c>
      <c r="AB70" s="7">
        <f>SUM($G$12:AB12)/$C$12</f>
        <v>0.76249999999999996</v>
      </c>
      <c r="AC70" s="7">
        <f>SUM($G$12:AC12)/$C$12</f>
        <v>0.80625000000000002</v>
      </c>
      <c r="AD70" s="7">
        <f>SUM($G$12:AD12)/$C$12</f>
        <v>0.85</v>
      </c>
      <c r="AE70" s="7">
        <f>SUM($G$12:AE12)/$C$12</f>
        <v>0.89375000000000004</v>
      </c>
      <c r="AF70" s="7">
        <f>SUM($G$12:AF12)/$C$12</f>
        <v>0.9375</v>
      </c>
      <c r="AG70" s="7">
        <f>SUM($G$12:AG12)/$C$12</f>
        <v>0.98124999999999996</v>
      </c>
      <c r="AH70" s="7">
        <f>SUM($G$12:AH12)/$C$12</f>
        <v>1</v>
      </c>
      <c r="AI70" s="7">
        <f>SUM($G$12:AI12)/$C$12</f>
        <v>1</v>
      </c>
      <c r="AJ70" s="7">
        <f>SUM($G$12:AJ12)/$C$12</f>
        <v>1</v>
      </c>
      <c r="AK70" s="7">
        <f>SUM($G$12:AK12)/$C$12</f>
        <v>1</v>
      </c>
      <c r="AL70" s="7">
        <f>SUM($G$12:AL12)/$C$12</f>
        <v>1</v>
      </c>
      <c r="AM70" s="7">
        <f>SUM($G$12:AM12)/$C$12</f>
        <v>1</v>
      </c>
      <c r="AN70" s="7">
        <f>SUM($G$12:AN12)/$C$12</f>
        <v>1</v>
      </c>
      <c r="AO70" s="7">
        <f>SUM($G$12:AO12)/$C$12</f>
        <v>1</v>
      </c>
      <c r="AP70" s="7">
        <f>SUM($G$12:AP12)/$C$12</f>
        <v>1</v>
      </c>
      <c r="AQ70" s="7">
        <f>SUM($G$12:AQ12)/$C$12</f>
        <v>1</v>
      </c>
      <c r="AR70" s="7">
        <f>SUM($G$12:AR12)/$C$12</f>
        <v>1</v>
      </c>
      <c r="AS70" s="7">
        <f>SUM($G$12:AS12)/$C$12</f>
        <v>1</v>
      </c>
      <c r="AT70" s="7">
        <f>SUM($G$12:AT12)/$C$12</f>
        <v>1</v>
      </c>
      <c r="AU70" s="7">
        <f>SUM($G$12:AU12)/$C$12</f>
        <v>1</v>
      </c>
      <c r="AV70" s="7">
        <f>SUM($G$12:AV12)/$C$12</f>
        <v>1</v>
      </c>
      <c r="AW70" s="7">
        <f>SUM($G$12:AW12)/$C$12</f>
        <v>1</v>
      </c>
      <c r="AX70" s="7">
        <f>SUM($G$12:AX12)/$C$12</f>
        <v>1</v>
      </c>
      <c r="AY70" s="7">
        <f>SUM($G$12:AY12)/$C$12</f>
        <v>1</v>
      </c>
      <c r="AZ70" s="7">
        <f>SUM($G$12:AZ12)/$C$12</f>
        <v>1</v>
      </c>
      <c r="BA70" s="7">
        <f>SUM($G$12:BA12)/$C$12</f>
        <v>1</v>
      </c>
      <c r="BB70" s="7">
        <f>SUM($G$12:BB12)/$C$12</f>
        <v>1</v>
      </c>
      <c r="BC70" s="7">
        <f>SUM($G$12:BC12)/$C$12</f>
        <v>1</v>
      </c>
      <c r="BD70" s="7">
        <f>SUM($G$12:BD12)/$C$12</f>
        <v>1</v>
      </c>
    </row>
    <row r="71" spans="2:56" ht="15" customHeight="1">
      <c r="C71" s="21"/>
      <c r="D71" s="11" t="s">
        <v>342</v>
      </c>
      <c r="E71" s="18" t="str">
        <f>Inputs!D220</f>
        <v>ounces</v>
      </c>
      <c r="G71" s="19">
        <f>$C$12-SUM($G$12:G12)</f>
        <v>8000000</v>
      </c>
      <c r="H71" s="19">
        <f>$C$12-SUM($G$12:H12)</f>
        <v>8000000</v>
      </c>
      <c r="I71" s="19">
        <f>$C$12-SUM($G$12:I12)</f>
        <v>8000000</v>
      </c>
      <c r="J71" s="19">
        <f>$C$12-SUM($G$12:J12)</f>
        <v>8000000</v>
      </c>
      <c r="K71" s="19">
        <f>$C$12-SUM($G$12:K12)</f>
        <v>7850000</v>
      </c>
      <c r="L71" s="19">
        <f>$C$12-SUM($G$12:L12)</f>
        <v>7500000</v>
      </c>
      <c r="M71" s="19">
        <f>$C$12-SUM($G$12:M12)</f>
        <v>7150000</v>
      </c>
      <c r="N71" s="19">
        <f>$C$12-SUM($G$12:N12)</f>
        <v>6800000</v>
      </c>
      <c r="O71" s="19">
        <f>$C$12-SUM($G$12:O12)</f>
        <v>6450000</v>
      </c>
      <c r="P71" s="19">
        <f>$C$12-SUM($G$12:P12)</f>
        <v>6100000</v>
      </c>
      <c r="Q71" s="19">
        <f>$C$12-SUM($G$12:Q12)</f>
        <v>5750000</v>
      </c>
      <c r="R71" s="19">
        <f>$C$12-SUM($G$12:R12)</f>
        <v>5400000</v>
      </c>
      <c r="S71" s="19">
        <f>$C$12-SUM($G$12:S12)</f>
        <v>5050000</v>
      </c>
      <c r="T71" s="19">
        <f>$C$12-SUM($G$12:T12)</f>
        <v>4700000</v>
      </c>
      <c r="U71" s="19">
        <f>$C$12-SUM($G$12:U12)</f>
        <v>4350000</v>
      </c>
      <c r="V71" s="19">
        <f>$C$12-SUM($G$12:V12)</f>
        <v>4000000</v>
      </c>
      <c r="W71" s="19">
        <f>$C$12-SUM($G$12:W12)</f>
        <v>3650000</v>
      </c>
      <c r="X71" s="19">
        <f>$C$12-SUM($G$12:X12)</f>
        <v>3300000</v>
      </c>
      <c r="Y71" s="19">
        <f>$C$12-SUM($G$12:Y12)</f>
        <v>2950000</v>
      </c>
      <c r="Z71" s="19">
        <f>$C$12-SUM($G$12:Z12)</f>
        <v>2600000</v>
      </c>
      <c r="AA71" s="19">
        <f>$C$12-SUM($G$12:AA12)</f>
        <v>2250000</v>
      </c>
      <c r="AB71" s="19">
        <f>$C$12-SUM($G$12:AB12)</f>
        <v>1900000</v>
      </c>
      <c r="AC71" s="19">
        <f>$C$12-SUM($G$12:AC12)</f>
        <v>1550000</v>
      </c>
      <c r="AD71" s="19">
        <f>$C$12-SUM($G$12:AD12)</f>
        <v>1200000</v>
      </c>
      <c r="AE71" s="19">
        <f>$C$12-SUM($G$12:AE12)</f>
        <v>850000</v>
      </c>
      <c r="AF71" s="19">
        <f>$C$12-SUM($G$12:AF12)</f>
        <v>500000</v>
      </c>
      <c r="AG71" s="19">
        <f>$C$12-SUM($G$12:AG12)</f>
        <v>150000</v>
      </c>
      <c r="AH71" s="19">
        <f>$C$12-SUM($G$12:AH12)</f>
        <v>0</v>
      </c>
      <c r="AI71" s="19">
        <f>$C$12-SUM($G$12:AI12)</f>
        <v>0</v>
      </c>
      <c r="AJ71" s="19">
        <f>$C$12-SUM($G$12:AJ12)</f>
        <v>0</v>
      </c>
      <c r="AK71" s="19">
        <f>$C$12-SUM($G$12:AK12)</f>
        <v>0</v>
      </c>
      <c r="AL71" s="19">
        <f>$C$12-SUM($G$12:AL12)</f>
        <v>0</v>
      </c>
      <c r="AM71" s="19">
        <f>$C$12-SUM($G$12:AM12)</f>
        <v>0</v>
      </c>
      <c r="AN71" s="19">
        <f>$C$12-SUM($G$12:AN12)</f>
        <v>0</v>
      </c>
      <c r="AO71" s="19">
        <f>$C$12-SUM($G$12:AO12)</f>
        <v>0</v>
      </c>
      <c r="AP71" s="19">
        <f>$C$12-SUM($G$12:AP12)</f>
        <v>0</v>
      </c>
      <c r="AQ71" s="19">
        <f>$C$12-SUM($G$12:AQ12)</f>
        <v>0</v>
      </c>
      <c r="AR71" s="19">
        <f>$C$12-SUM($G$12:AR12)</f>
        <v>0</v>
      </c>
      <c r="AS71" s="19">
        <f>$C$12-SUM($G$12:AS12)</f>
        <v>0</v>
      </c>
      <c r="AT71" s="19">
        <f>$C$12-SUM($G$12:AT12)</f>
        <v>0</v>
      </c>
      <c r="AU71" s="19">
        <f>$C$12-SUM($G$12:AU12)</f>
        <v>0</v>
      </c>
      <c r="AV71" s="19">
        <f>$C$12-SUM($G$12:AV12)</f>
        <v>0</v>
      </c>
      <c r="AW71" s="19">
        <f>$C$12-SUM($G$12:AW12)</f>
        <v>0</v>
      </c>
      <c r="AX71" s="19">
        <f>$C$12-SUM($G$12:AX12)</f>
        <v>0</v>
      </c>
      <c r="AY71" s="19">
        <f>$C$12-SUM($G$12:AY12)</f>
        <v>0</v>
      </c>
      <c r="AZ71" s="19">
        <f>$C$12-SUM($G$12:AZ12)</f>
        <v>0</v>
      </c>
      <c r="BA71" s="19">
        <f>$C$12-SUM($G$12:BA12)</f>
        <v>0</v>
      </c>
      <c r="BB71" s="19">
        <f>$C$12-SUM($G$12:BB12)</f>
        <v>0</v>
      </c>
      <c r="BC71" s="19">
        <f>$C$12-SUM($G$12:BC12)</f>
        <v>0</v>
      </c>
      <c r="BD71" s="19">
        <f>$C$12-SUM($G$12:BD12)</f>
        <v>0</v>
      </c>
    </row>
    <row r="72" spans="2:56" ht="15" customHeight="1">
      <c r="C72" s="21"/>
      <c r="D72" s="11" t="s">
        <v>343</v>
      </c>
      <c r="E72" s="18" t="s">
        <v>323</v>
      </c>
      <c r="G72" s="19">
        <f>1*(G70&gt;Inputs!$E$97)*(G12&gt;0)</f>
        <v>0</v>
      </c>
      <c r="H72" s="19">
        <f>1*(H70&gt;Inputs!$E$97)*(H12&gt;0)</f>
        <v>0</v>
      </c>
      <c r="I72" s="19">
        <f>1*(I70&gt;Inputs!$E$97)*(I12&gt;0)</f>
        <v>0</v>
      </c>
      <c r="J72" s="19">
        <f>1*(J70&gt;Inputs!$E$97)*(J12&gt;0)</f>
        <v>0</v>
      </c>
      <c r="K72" s="19">
        <f>1*(K70&gt;Inputs!$E$97)*(K12&gt;0)</f>
        <v>0</v>
      </c>
      <c r="L72" s="19">
        <f>1*(L70&gt;Inputs!$E$97)*(L12&gt;0)</f>
        <v>0</v>
      </c>
      <c r="M72" s="19">
        <f>1*(M70&gt;Inputs!$E$97)*(M12&gt;0)</f>
        <v>0</v>
      </c>
      <c r="N72" s="19">
        <f>1*(N70&gt;Inputs!$E$97)*(N12&gt;0)</f>
        <v>0</v>
      </c>
      <c r="O72" s="19">
        <f>1*(O70&gt;Inputs!$E$97)*(O12&gt;0)</f>
        <v>0</v>
      </c>
      <c r="P72" s="19">
        <f>1*(P70&gt;Inputs!$E$97)*(P12&gt;0)</f>
        <v>0</v>
      </c>
      <c r="Q72" s="19">
        <f>1*(Q70&gt;Inputs!$E$97)*(Q12&gt;0)</f>
        <v>0</v>
      </c>
      <c r="R72" s="19">
        <f>1*(R70&gt;Inputs!$E$97)*(R12&gt;0)</f>
        <v>0</v>
      </c>
      <c r="S72" s="19">
        <f>1*(S70&gt;Inputs!$E$97)*(S12&gt;0)</f>
        <v>0</v>
      </c>
      <c r="T72" s="19">
        <f>1*(T70&gt;Inputs!$E$97)*(T12&gt;0)</f>
        <v>0</v>
      </c>
      <c r="U72" s="19">
        <f>1*(U70&gt;Inputs!$E$97)*(U12&gt;0)</f>
        <v>0</v>
      </c>
      <c r="V72" s="19">
        <f>1*(V70&gt;Inputs!$E$97)*(V12&gt;0)</f>
        <v>0</v>
      </c>
      <c r="W72" s="19">
        <f>1*(W70&gt;Inputs!$E$97)*(W12&gt;0)</f>
        <v>0</v>
      </c>
      <c r="X72" s="19">
        <f>1*(X70&gt;Inputs!$E$97)*(X12&gt;0)</f>
        <v>0</v>
      </c>
      <c r="Y72" s="19">
        <f>1*(Y70&gt;Inputs!$E$97)*(Y12&gt;0)</f>
        <v>1</v>
      </c>
      <c r="Z72" s="19">
        <f>1*(Z70&gt;Inputs!$E$97)*(Z12&gt;0)</f>
        <v>1</v>
      </c>
      <c r="AA72" s="19">
        <f>1*(AA70&gt;Inputs!$E$97)*(AA12&gt;0)</f>
        <v>1</v>
      </c>
      <c r="AB72" s="19">
        <f>1*(AB70&gt;Inputs!$E$97)*(AB12&gt;0)</f>
        <v>1</v>
      </c>
      <c r="AC72" s="19">
        <f>1*(AC70&gt;Inputs!$E$97)*(AC12&gt;0)</f>
        <v>1</v>
      </c>
      <c r="AD72" s="19">
        <f>1*(AD70&gt;Inputs!$E$97)*(AD12&gt;0)</f>
        <v>1</v>
      </c>
      <c r="AE72" s="19">
        <f>1*(AE70&gt;Inputs!$E$97)*(AE12&gt;0)</f>
        <v>1</v>
      </c>
      <c r="AF72" s="19">
        <f>1*(AF70&gt;Inputs!$E$97)*(AF12&gt;0)</f>
        <v>1</v>
      </c>
      <c r="AG72" s="19">
        <f>1*(AG70&gt;Inputs!$E$97)*(AG12&gt;0)</f>
        <v>1</v>
      </c>
      <c r="AH72" s="19">
        <f>1*(AH70&gt;Inputs!$E$97)*(AH12&gt;0)</f>
        <v>1</v>
      </c>
      <c r="AI72" s="19">
        <f>1*(AI70&gt;Inputs!$E$97)*(AI12&gt;0)</f>
        <v>0</v>
      </c>
      <c r="AJ72" s="19">
        <f>1*(AJ70&gt;Inputs!$E$97)*(AJ12&gt;0)</f>
        <v>0</v>
      </c>
      <c r="AK72" s="19">
        <f>1*(AK70&gt;Inputs!$E$97)*(AK12&gt;0)</f>
        <v>0</v>
      </c>
      <c r="AL72" s="19">
        <f>1*(AL70&gt;Inputs!$E$97)*(AL12&gt;0)</f>
        <v>0</v>
      </c>
      <c r="AM72" s="19">
        <f>1*(AM70&gt;Inputs!$E$97)*(AM12&gt;0)</f>
        <v>0</v>
      </c>
      <c r="AN72" s="19">
        <f>1*(AN70&gt;Inputs!$E$97)*(AN12&gt;0)</f>
        <v>0</v>
      </c>
      <c r="AO72" s="19">
        <f>1*(AO70&gt;Inputs!$E$97)*(AO12&gt;0)</f>
        <v>0</v>
      </c>
      <c r="AP72" s="19">
        <f>1*(AP70&gt;Inputs!$E$97)*(AP12&gt;0)</f>
        <v>0</v>
      </c>
      <c r="AQ72" s="19">
        <f>1*(AQ70&gt;Inputs!$E$97)*(AQ12&gt;0)</f>
        <v>0</v>
      </c>
      <c r="AR72" s="19">
        <f>1*(AR70&gt;Inputs!$E$97)*(AR12&gt;0)</f>
        <v>0</v>
      </c>
      <c r="AS72" s="19">
        <f>1*(AS70&gt;Inputs!$E$97)*(AS12&gt;0)</f>
        <v>0</v>
      </c>
      <c r="AT72" s="19">
        <f>1*(AT70&gt;Inputs!$E$97)*(AT12&gt;0)</f>
        <v>0</v>
      </c>
      <c r="AU72" s="19">
        <f>1*(AU70&gt;Inputs!$E$97)*(AU12&gt;0)</f>
        <v>0</v>
      </c>
      <c r="AV72" s="19">
        <f>1*(AV70&gt;Inputs!$E$97)*(AV12&gt;0)</f>
        <v>0</v>
      </c>
      <c r="AW72" s="19">
        <f>1*(AW70&gt;Inputs!$E$97)*(AW12&gt;0)</f>
        <v>0</v>
      </c>
      <c r="AX72" s="19">
        <f>1*(AX70&gt;Inputs!$E$97)*(AX12&gt;0)</f>
        <v>0</v>
      </c>
      <c r="AY72" s="19">
        <f>1*(AY70&gt;Inputs!$E$97)*(AY12&gt;0)</f>
        <v>0</v>
      </c>
      <c r="AZ72" s="19">
        <f>1*(AZ70&gt;Inputs!$E$97)*(AZ12&gt;0)</f>
        <v>0</v>
      </c>
      <c r="BA72" s="19">
        <f>1*(BA70&gt;Inputs!$E$97)*(BA12&gt;0)</f>
        <v>0</v>
      </c>
      <c r="BB72" s="19">
        <f>1*(BB70&gt;Inputs!$E$97)*(BB12&gt;0)</f>
        <v>0</v>
      </c>
      <c r="BC72" s="19">
        <f>1*(BC70&gt;Inputs!$E$97)*(BC12&gt;0)</f>
        <v>0</v>
      </c>
      <c r="BD72" s="19">
        <f>1*(BD70&gt;Inputs!$E$97)*(BD12&gt;0)</f>
        <v>0</v>
      </c>
    </row>
    <row r="73" spans="2:56" ht="15" customHeight="1">
      <c r="C73" s="21"/>
      <c r="E73" s="18"/>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row>
    <row r="74" spans="2:56" ht="15" customHeight="1">
      <c r="C74" s="116"/>
      <c r="D74" s="11" t="s">
        <v>344</v>
      </c>
      <c r="E74" s="18" t="str">
        <f>Inputs!D220</f>
        <v>ounces</v>
      </c>
      <c r="G74" s="19">
        <f>G72*G12</f>
        <v>0</v>
      </c>
      <c r="H74" s="19">
        <f>H72*Inputs!G220</f>
        <v>0</v>
      </c>
      <c r="I74" s="19">
        <f>I72*Inputs!H220</f>
        <v>0</v>
      </c>
      <c r="J74" s="19">
        <f>J72*Inputs!I220</f>
        <v>0</v>
      </c>
      <c r="K74" s="19">
        <f>K72*Inputs!J220</f>
        <v>0</v>
      </c>
      <c r="L74" s="19">
        <f>L72*Inputs!K220</f>
        <v>0</v>
      </c>
      <c r="M74" s="19">
        <f>M72*Inputs!L220</f>
        <v>0</v>
      </c>
      <c r="N74" s="19">
        <f>N72*Inputs!M220</f>
        <v>0</v>
      </c>
      <c r="O74" s="19">
        <f>O72*Inputs!N220</f>
        <v>0</v>
      </c>
      <c r="P74" s="19">
        <f>P72*Inputs!O220</f>
        <v>0</v>
      </c>
      <c r="Q74" s="19">
        <f>Q72*Inputs!P220</f>
        <v>0</v>
      </c>
      <c r="R74" s="19">
        <f>R72*Inputs!Q220</f>
        <v>0</v>
      </c>
      <c r="S74" s="19">
        <f>S72*Inputs!R220</f>
        <v>0</v>
      </c>
      <c r="T74" s="19">
        <f>T72*Inputs!S220</f>
        <v>0</v>
      </c>
      <c r="U74" s="19">
        <f>U72*Inputs!T220</f>
        <v>0</v>
      </c>
      <c r="V74" s="19">
        <f>V72*Inputs!U220</f>
        <v>0</v>
      </c>
      <c r="W74" s="19">
        <f>W72*Inputs!V220</f>
        <v>0</v>
      </c>
      <c r="X74" s="19">
        <f>X72*Inputs!W220</f>
        <v>0</v>
      </c>
      <c r="Y74" s="19">
        <f>Y72*Inputs!X220</f>
        <v>350000</v>
      </c>
      <c r="Z74" s="19">
        <f>Z72*Inputs!Y220</f>
        <v>350000</v>
      </c>
      <c r="AA74" s="19">
        <f>AA72*Inputs!Z220</f>
        <v>350000</v>
      </c>
      <c r="AB74" s="19">
        <f>AB72*Inputs!AA220</f>
        <v>350000</v>
      </c>
      <c r="AC74" s="19">
        <f>AC72*Inputs!AB220</f>
        <v>350000</v>
      </c>
      <c r="AD74" s="19">
        <f>AD72*Inputs!AC220</f>
        <v>350000</v>
      </c>
      <c r="AE74" s="19">
        <f>AE72*Inputs!AD220</f>
        <v>350000</v>
      </c>
      <c r="AF74" s="19">
        <f>AF72*Inputs!AE220</f>
        <v>350000</v>
      </c>
      <c r="AG74" s="19">
        <f>AG72*Inputs!AF220</f>
        <v>350000</v>
      </c>
      <c r="AH74" s="19">
        <f>AH72*Inputs!AG220</f>
        <v>150000</v>
      </c>
      <c r="AI74" s="19">
        <f>AI72*Inputs!AH220</f>
        <v>0</v>
      </c>
      <c r="AJ74" s="19">
        <f>AJ72*Inputs!AI220</f>
        <v>0</v>
      </c>
      <c r="AK74" s="19">
        <f>AK72*Inputs!AJ220</f>
        <v>0</v>
      </c>
      <c r="AL74" s="19">
        <f>AL72*Inputs!AK220</f>
        <v>0</v>
      </c>
      <c r="AM74" s="19">
        <f>AM72*Inputs!AL220</f>
        <v>0</v>
      </c>
      <c r="AN74" s="19">
        <f>AN72*Inputs!AM220</f>
        <v>0</v>
      </c>
      <c r="AO74" s="19">
        <f>AO72*Inputs!AN220</f>
        <v>0</v>
      </c>
      <c r="AP74" s="19">
        <f>AP72*Inputs!AO220</f>
        <v>0</v>
      </c>
      <c r="AQ74" s="19">
        <f>AQ72*Inputs!AP220</f>
        <v>0</v>
      </c>
      <c r="AR74" s="19">
        <f>AR72*Inputs!AQ220</f>
        <v>0</v>
      </c>
      <c r="AS74" s="19">
        <f>AS72*Inputs!AR220</f>
        <v>0</v>
      </c>
      <c r="AT74" s="19">
        <f>AT72*Inputs!AS220</f>
        <v>0</v>
      </c>
      <c r="AU74" s="19">
        <f>AU72*Inputs!AT220</f>
        <v>0</v>
      </c>
      <c r="AV74" s="19">
        <f>AV72*Inputs!AU220</f>
        <v>0</v>
      </c>
      <c r="AW74" s="19">
        <f>AW72*Inputs!AV220</f>
        <v>0</v>
      </c>
      <c r="AX74" s="19">
        <f>AX72*Inputs!AW220</f>
        <v>0</v>
      </c>
      <c r="AY74" s="19">
        <f>AY72*Inputs!AX220</f>
        <v>0</v>
      </c>
      <c r="AZ74" s="19">
        <f>AZ72*Inputs!AY220</f>
        <v>0</v>
      </c>
      <c r="BA74" s="19">
        <f>BA72*Inputs!AZ220</f>
        <v>0</v>
      </c>
      <c r="BB74" s="19">
        <f>BB72*Inputs!BA220</f>
        <v>0</v>
      </c>
      <c r="BC74" s="19">
        <f>BC72*Inputs!BB220</f>
        <v>0</v>
      </c>
      <c r="BD74" s="19">
        <f>BD72*Inputs!BC220</f>
        <v>0</v>
      </c>
    </row>
    <row r="75" spans="2:56" ht="15" customHeight="1">
      <c r="C75" s="116"/>
      <c r="D75" s="11" t="s">
        <v>345</v>
      </c>
      <c r="E75" s="18" t="str">
        <f>Inputs!D220</f>
        <v>ounces</v>
      </c>
      <c r="G75" s="19">
        <f>SUM($G$74:G74)*G72</f>
        <v>0</v>
      </c>
      <c r="H75" s="19">
        <f>SUM($G$74:H74)*H72</f>
        <v>0</v>
      </c>
      <c r="I75" s="19">
        <f>SUM($G$74:I74)*I72</f>
        <v>0</v>
      </c>
      <c r="J75" s="19">
        <f>SUM($G$74:J74)*J72</f>
        <v>0</v>
      </c>
      <c r="K75" s="19">
        <f>SUM($G$74:K74)*K72</f>
        <v>0</v>
      </c>
      <c r="L75" s="19">
        <f>SUM($G$74:L74)*L72</f>
        <v>0</v>
      </c>
      <c r="M75" s="19">
        <f>SUM($G$74:M74)*M72</f>
        <v>0</v>
      </c>
      <c r="N75" s="19">
        <f>SUM($G$74:N74)*N72</f>
        <v>0</v>
      </c>
      <c r="O75" s="19">
        <f>SUM($G$74:O74)*O72</f>
        <v>0</v>
      </c>
      <c r="P75" s="19">
        <f>SUM($G$74:P74)*P72</f>
        <v>0</v>
      </c>
      <c r="Q75" s="19">
        <f>SUM($G$74:Q74)*Q72</f>
        <v>0</v>
      </c>
      <c r="R75" s="19">
        <f>SUM($G$74:R74)*R72</f>
        <v>0</v>
      </c>
      <c r="S75" s="19">
        <f>SUM($G$74:S74)*S72</f>
        <v>0</v>
      </c>
      <c r="T75" s="19">
        <f>SUM($G$74:T74)*T72</f>
        <v>0</v>
      </c>
      <c r="U75" s="19">
        <f>SUM($G$74:U74)*U72</f>
        <v>0</v>
      </c>
      <c r="V75" s="19">
        <f>SUM($G$74:V74)*V72</f>
        <v>0</v>
      </c>
      <c r="W75" s="19">
        <f>SUM($G$74:W74)*W72</f>
        <v>0</v>
      </c>
      <c r="X75" s="19">
        <f>SUM($G$74:X74)*X72</f>
        <v>0</v>
      </c>
      <c r="Y75" s="19">
        <f>SUM($G$74:Y74)*Y72</f>
        <v>350000</v>
      </c>
      <c r="Z75" s="19">
        <f>SUM($G$74:Z74)*Z72</f>
        <v>700000</v>
      </c>
      <c r="AA75" s="19">
        <f>SUM($G$74:AA74)*AA72</f>
        <v>1050000</v>
      </c>
      <c r="AB75" s="19">
        <f>SUM($G$74:AB74)*AB72</f>
        <v>1400000</v>
      </c>
      <c r="AC75" s="19">
        <f>SUM($G$74:AC74)*AC72</f>
        <v>1750000</v>
      </c>
      <c r="AD75" s="19">
        <f>SUM($G$74:AD74)*AD72</f>
        <v>2100000</v>
      </c>
      <c r="AE75" s="19">
        <f>SUM($G$74:AE74)*AE72</f>
        <v>2450000</v>
      </c>
      <c r="AF75" s="19">
        <f>SUM($G$74:AF74)*AF72</f>
        <v>2800000</v>
      </c>
      <c r="AG75" s="19">
        <f>SUM($G$74:AG74)*AG72</f>
        <v>3150000</v>
      </c>
      <c r="AH75" s="19">
        <f>SUM($G$74:AH74)*AH72</f>
        <v>3300000</v>
      </c>
      <c r="AI75" s="19">
        <f>SUM($G$74:AI74)*AI72</f>
        <v>0</v>
      </c>
      <c r="AJ75" s="19">
        <f>SUM($G$74:AJ74)*AJ72</f>
        <v>0</v>
      </c>
      <c r="AK75" s="19">
        <f>SUM($G$74:AK74)*AK72</f>
        <v>0</v>
      </c>
      <c r="AL75" s="19">
        <f>SUM($G$74:AL74)*AL72</f>
        <v>0</v>
      </c>
      <c r="AM75" s="19">
        <f>SUM($G$74:AM74)*AM72</f>
        <v>0</v>
      </c>
      <c r="AN75" s="19">
        <f>SUM($G$74:AN74)*AN72</f>
        <v>0</v>
      </c>
      <c r="AO75" s="19">
        <f>SUM($G$74:AO74)*AO72</f>
        <v>0</v>
      </c>
      <c r="AP75" s="19">
        <f>SUM($G$74:AP74)*AP72</f>
        <v>0</v>
      </c>
      <c r="AQ75" s="19">
        <f>SUM($G$74:AQ74)*AQ72</f>
        <v>0</v>
      </c>
      <c r="AR75" s="19">
        <f>SUM($G$74:AR74)*AR72</f>
        <v>0</v>
      </c>
      <c r="AS75" s="19">
        <f>SUM($G$74:AS74)*AS72</f>
        <v>0</v>
      </c>
      <c r="AT75" s="19">
        <f>SUM($G$74:AT74)*AT72</f>
        <v>0</v>
      </c>
      <c r="AU75" s="19">
        <f>SUM($G$74:AU74)*AU72</f>
        <v>0</v>
      </c>
      <c r="AV75" s="19">
        <f>SUM($G$74:AV74)*AV72</f>
        <v>0</v>
      </c>
      <c r="AW75" s="19">
        <f>SUM($G$74:AW74)*AW72</f>
        <v>0</v>
      </c>
      <c r="AX75" s="19">
        <f>SUM($G$74:AX74)*AX72</f>
        <v>0</v>
      </c>
      <c r="AY75" s="19">
        <f>SUM($G$74:AY74)*AY72</f>
        <v>0</v>
      </c>
      <c r="AZ75" s="19">
        <f>SUM($G$74:AZ74)*AZ72</f>
        <v>0</v>
      </c>
      <c r="BA75" s="19">
        <f>SUM($G$74:BA74)*BA72</f>
        <v>0</v>
      </c>
      <c r="BB75" s="19">
        <f>SUM($G$74:BB74)*BB72</f>
        <v>0</v>
      </c>
      <c r="BC75" s="19">
        <f>SUM($G$74:BC74)*BC72</f>
        <v>0</v>
      </c>
      <c r="BD75" s="19">
        <f>SUM($G$74:BD74)*BD72</f>
        <v>0</v>
      </c>
    </row>
    <row r="76" spans="2:56" ht="15" customHeight="1">
      <c r="C76" s="116"/>
      <c r="E76" s="18"/>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row>
    <row r="77" spans="2:56" ht="15" customHeight="1">
      <c r="C77" s="116"/>
      <c r="D77" s="11" t="s">
        <v>346</v>
      </c>
      <c r="E77" s="18" t="s">
        <v>333</v>
      </c>
      <c r="G77" s="19">
        <f>F81</f>
        <v>0</v>
      </c>
      <c r="H77" s="19">
        <f t="shared" ref="H77:AL77" si="56">G81</f>
        <v>0</v>
      </c>
      <c r="I77" s="19">
        <f>H81</f>
        <v>0</v>
      </c>
      <c r="J77" s="19">
        <f>I81</f>
        <v>0</v>
      </c>
      <c r="K77" s="19">
        <f t="shared" si="56"/>
        <v>0</v>
      </c>
      <c r="L77" s="19">
        <f t="shared" si="56"/>
        <v>0</v>
      </c>
      <c r="M77" s="19">
        <f t="shared" si="56"/>
        <v>0</v>
      </c>
      <c r="N77" s="19">
        <f t="shared" si="56"/>
        <v>0</v>
      </c>
      <c r="O77" s="19">
        <f t="shared" si="56"/>
        <v>0</v>
      </c>
      <c r="P77" s="19">
        <f>O81</f>
        <v>0</v>
      </c>
      <c r="Q77" s="19">
        <f t="shared" si="56"/>
        <v>0</v>
      </c>
      <c r="R77" s="19">
        <f t="shared" si="56"/>
        <v>0</v>
      </c>
      <c r="S77" s="19">
        <f t="shared" si="56"/>
        <v>0</v>
      </c>
      <c r="T77" s="19">
        <f t="shared" si="56"/>
        <v>0</v>
      </c>
      <c r="U77" s="19">
        <f t="shared" si="56"/>
        <v>0</v>
      </c>
      <c r="V77" s="19">
        <f t="shared" si="56"/>
        <v>0</v>
      </c>
      <c r="W77" s="19">
        <f t="shared" si="56"/>
        <v>0</v>
      </c>
      <c r="X77" s="19">
        <f t="shared" si="56"/>
        <v>0</v>
      </c>
      <c r="Y77" s="19">
        <f t="shared" si="56"/>
        <v>0</v>
      </c>
      <c r="Z77" s="19">
        <f t="shared" si="56"/>
        <v>2.2722099393258888</v>
      </c>
      <c r="AA77" s="19">
        <f t="shared" si="56"/>
        <v>4.5952557620400851</v>
      </c>
      <c r="AB77" s="19">
        <f t="shared" si="56"/>
        <v>6.9771343436448277</v>
      </c>
      <c r="AC77" s="19">
        <f t="shared" si="56"/>
        <v>9.4283571370618926</v>
      </c>
      <c r="AD77" s="19">
        <f t="shared" si="56"/>
        <v>11.963340438957527</v>
      </c>
      <c r="AE77" s="19">
        <f t="shared" si="56"/>
        <v>14.603051395970237</v>
      </c>
      <c r="AF77" s="19">
        <f t="shared" si="56"/>
        <v>17.380741038599695</v>
      </c>
      <c r="AG77" s="19">
        <f t="shared" si="56"/>
        <v>20.357119988517269</v>
      </c>
      <c r="AH77" s="19">
        <f t="shared" si="56"/>
        <v>23.678026197272438</v>
      </c>
      <c r="AI77" s="19">
        <f t="shared" si="56"/>
        <v>25.603297149616569</v>
      </c>
      <c r="AJ77" s="19">
        <f t="shared" si="56"/>
        <v>0</v>
      </c>
      <c r="AK77" s="19">
        <f t="shared" si="56"/>
        <v>0</v>
      </c>
      <c r="AL77" s="19">
        <f t="shared" si="56"/>
        <v>0</v>
      </c>
      <c r="AM77" s="19">
        <f t="shared" ref="AM77:BD77" si="57">AL81</f>
        <v>0</v>
      </c>
      <c r="AN77" s="19">
        <f t="shared" si="57"/>
        <v>0</v>
      </c>
      <c r="AO77" s="19">
        <f t="shared" si="57"/>
        <v>0</v>
      </c>
      <c r="AP77" s="19">
        <f t="shared" si="57"/>
        <v>0</v>
      </c>
      <c r="AQ77" s="19">
        <f t="shared" si="57"/>
        <v>0</v>
      </c>
      <c r="AR77" s="19">
        <f t="shared" si="57"/>
        <v>0</v>
      </c>
      <c r="AS77" s="19">
        <f t="shared" si="57"/>
        <v>0</v>
      </c>
      <c r="AT77" s="19">
        <f t="shared" si="57"/>
        <v>0</v>
      </c>
      <c r="AU77" s="19">
        <f t="shared" si="57"/>
        <v>0</v>
      </c>
      <c r="AV77" s="19">
        <f t="shared" si="57"/>
        <v>0</v>
      </c>
      <c r="AW77" s="19">
        <f t="shared" si="57"/>
        <v>0</v>
      </c>
      <c r="AX77" s="19">
        <f t="shared" si="57"/>
        <v>0</v>
      </c>
      <c r="AY77" s="19">
        <f t="shared" si="57"/>
        <v>0</v>
      </c>
      <c r="AZ77" s="19">
        <f t="shared" si="57"/>
        <v>0</v>
      </c>
      <c r="BA77" s="19">
        <f t="shared" si="57"/>
        <v>0</v>
      </c>
      <c r="BB77" s="19">
        <f t="shared" si="57"/>
        <v>0</v>
      </c>
      <c r="BC77" s="19">
        <f t="shared" si="57"/>
        <v>0</v>
      </c>
      <c r="BD77" s="19">
        <f t="shared" si="57"/>
        <v>0</v>
      </c>
    </row>
    <row r="78" spans="2:56" ht="15" customHeight="1">
      <c r="C78" s="116">
        <f t="shared" ref="C78:C80" si="58">SUM(G78:BD78)</f>
        <v>25.603297149616569</v>
      </c>
      <c r="D78" s="11" t="s">
        <v>347</v>
      </c>
      <c r="E78" s="18" t="s">
        <v>333</v>
      </c>
      <c r="G78" s="19">
        <f>IF(AND(G72&lt;&gt;0,SUM(G34:$BD$34)&gt;0),(G68-G77)*IFERROR(G74/F71,1)*(Inputs!$E$96=1),0)</f>
        <v>0</v>
      </c>
      <c r="H78" s="19">
        <f>IF(AND(H72&lt;&gt;0,SUM(H34:$BD$34)&gt;0),(H68-H77)*IFERROR(H74/G71,1)*(Inputs!$E$96=1),0)</f>
        <v>0</v>
      </c>
      <c r="I78" s="19">
        <f>IF(AND(I72&lt;&gt;0,SUM(I34:$BD$34)&gt;0),(I68-I77)*IFERROR(I74/H71,1)*(Inputs!$E$96=1),0)</f>
        <v>0</v>
      </c>
      <c r="J78" s="19">
        <f>IF(AND(J72&lt;&gt;0,SUM(J34:$BD$34)&gt;0),(J68-J77)*IFERROR(J74/I71,1)*(Inputs!$E$96=1),0)</f>
        <v>0</v>
      </c>
      <c r="K78" s="19">
        <f>IF(AND(K72&lt;&gt;0,SUM(K34:$BD$34)&gt;0),(K68-K77)*IFERROR(K74/J71,1)*(Inputs!$E$96=1),0)</f>
        <v>0</v>
      </c>
      <c r="L78" s="19">
        <f>IF(AND(L72&lt;&gt;0,SUM(L34:$BD$34)&gt;0),(L68-L77)*IFERROR(L74/K71,1)*(Inputs!$E$96=1),0)</f>
        <v>0</v>
      </c>
      <c r="M78" s="19">
        <f>IF(AND(M72&lt;&gt;0,SUM(M34:$BD$34)&gt;0),(M68-M77)*IFERROR(M74/L71,1)*(Inputs!$E$96=1),0)</f>
        <v>0</v>
      </c>
      <c r="N78" s="19">
        <f>IF(AND(N72&lt;&gt;0,SUM(N34:$BD$34)&gt;0),(N68-N77)*IFERROR(N74/M71,1)*(Inputs!$E$96=1),0)</f>
        <v>0</v>
      </c>
      <c r="O78" s="19">
        <f>IF(AND(O72&lt;&gt;0,SUM(O34:$BD$34)&gt;0),(O68-O77)*IFERROR(O74/N71,1)*(Inputs!$E$96=1),0)</f>
        <v>0</v>
      </c>
      <c r="P78" s="19">
        <f>IF(AND(P72&lt;&gt;0,SUM(P34:$BD$34)&gt;0),(P68-P77)*IFERROR(P74/O71,1)*(Inputs!$E$96=1),0)</f>
        <v>0</v>
      </c>
      <c r="Q78" s="19">
        <f>IF(AND(Q72&lt;&gt;0,SUM(Q34:$BD$34)&gt;0),(Q68-Q77)*IFERROR(Q74/P71,1)*(Inputs!$E$96=1),0)</f>
        <v>0</v>
      </c>
      <c r="R78" s="19">
        <f>IF(AND(R72&lt;&gt;0,SUM(R34:$BD$34)&gt;0),(R68-R77)*IFERROR(R74/Q71,1)*(Inputs!$E$96=1),0)</f>
        <v>0</v>
      </c>
      <c r="S78" s="19">
        <f>IF(AND(S72&lt;&gt;0,SUM(S34:$BD$34)&gt;0),(S68-S77)*IFERROR(S74/R71,1)*(Inputs!$E$96=1),0)</f>
        <v>0</v>
      </c>
      <c r="T78" s="19">
        <f>IF(AND(T72&lt;&gt;0,SUM(T34:$BD$34)&gt;0),(T68-T77)*IFERROR(T74/S71,1)*(Inputs!$E$96=1),0)</f>
        <v>0</v>
      </c>
      <c r="U78" s="19">
        <f>IF(AND(U72&lt;&gt;0,SUM(U34:$BD$34)&gt;0),(U68-U77)*IFERROR(U74/T71,1)*(Inputs!$E$96=1),0)</f>
        <v>0</v>
      </c>
      <c r="V78" s="19">
        <f>IF(AND(V72&lt;&gt;0,SUM(V34:$BD$34)&gt;0),(V68-V77)*IFERROR(V74/U71,1)*(Inputs!$E$96=1),0)</f>
        <v>0</v>
      </c>
      <c r="W78" s="19">
        <f>IF(AND(W72&lt;&gt;0,SUM(W34:$BD$34)&gt;0),(W68-W77)*IFERROR(W74/V71,1)*(Inputs!$E$96=1),0)</f>
        <v>0</v>
      </c>
      <c r="X78" s="19">
        <f>IF(AND(X72&lt;&gt;0,SUM(X34:$BD$34)&gt;0),(X68-X77)*IFERROR(X74/W71,1)*(Inputs!$E$96=1),0)</f>
        <v>0</v>
      </c>
      <c r="Y78" s="19">
        <f>IF(AND(Y72&lt;&gt;0,SUM(Y34:$BD$34)&gt;0),(Y68-Y77)*IFERROR(Y74/X71,1)*(Inputs!$E$96=1),0)</f>
        <v>2.2722099393258888</v>
      </c>
      <c r="Z78" s="19">
        <f>IF(AND(Z72&lt;&gt;0,SUM(Z34:$BD$34)&gt;0),(Z68-Z77)*IFERROR(Z74/Y71,1)*(Inputs!$E$96=1),0)</f>
        <v>2.3230458227141964</v>
      </c>
      <c r="AA78" s="19">
        <f>IF(AND(AA72&lt;&gt;0,SUM(AA34:$BD$34)&gt;0),(AA68-AA77)*IFERROR(AA74/Z71,1)*(Inputs!$E$96=1),0)</f>
        <v>2.3818785816047425</v>
      </c>
      <c r="AB78" s="19">
        <f>IF(AND(AB72&lt;&gt;0,SUM(AB34:$BD$34)&gt;0),(AB68-AB77)*IFERROR(AB74/AA71,1)*(Inputs!$E$96=1),0)</f>
        <v>2.4512227934170654</v>
      </c>
      <c r="AC78" s="19">
        <f>IF(AND(AC72&lt;&gt;0,SUM(AC34:$BD$34)&gt;0),(AC68-AC77)*IFERROR(AC74/AB71,1)*(Inputs!$E$96=1),0)</f>
        <v>2.5349833018956347</v>
      </c>
      <c r="AD78" s="19">
        <f>IF(AND(AD72&lt;&gt;0,SUM(AD34:$BD$34)&gt;0),(AD68-AD77)*IFERROR(AD74/AC71,1)*(Inputs!$E$96=1),0)</f>
        <v>2.6397109570127104</v>
      </c>
      <c r="AE78" s="19">
        <f>IF(AND(AE72&lt;&gt;0,SUM(AE34:$BD$34)&gt;0),(AE68-AE77)*IFERROR(AE74/AD71,1)*(Inputs!$E$96=1),0)</f>
        <v>2.7776896426294577</v>
      </c>
      <c r="AF78" s="19">
        <f>IF(AND(AF72&lt;&gt;0,SUM(AF34:$BD$34)&gt;0),(AF68-AF77)*IFERROR(AF74/AE71,1)*(Inputs!$E$96=1),0)</f>
        <v>2.9763789499175735</v>
      </c>
      <c r="AG78" s="19">
        <f>IF(AND(AG72&lt;&gt;0,SUM(AG34:$BD$34)&gt;0),(AG68-AG77)*IFERROR(AG74/AF71,1)*(Inputs!$E$96=1),0)</f>
        <v>3.3209062087551691</v>
      </c>
      <c r="AH78" s="19">
        <f>IF(AND(AH72&lt;&gt;0,SUM(AH34:$BD$34)&gt;0),(AH68-AH77)*IFERROR(AH74/AG71,1)*(Inputs!$E$96=1),0)</f>
        <v>1.9252709523441318</v>
      </c>
      <c r="AI78" s="19">
        <f>IF(AND(AI72&lt;&gt;0,SUM(AI34:$BD$34)&gt;0),(AI68-AI77)*IFERROR(AI74/AH71,1)*(Inputs!$E$96=1),0)</f>
        <v>0</v>
      </c>
      <c r="AJ78" s="19">
        <f>IF(AND(AJ72&lt;&gt;0,SUM(AJ34:$BD$34)&gt;0),(AJ68-AJ77)*IFERROR(AJ74/AI71,1)*(Inputs!$E$96=1),0)</f>
        <v>0</v>
      </c>
      <c r="AK78" s="19">
        <f>IF(AND(AK72&lt;&gt;0,SUM(AK34:$BD$34)&gt;0),(AK68-AK77)*IFERROR(AK74/AJ71,1)*(Inputs!$E$96=1),0)</f>
        <v>0</v>
      </c>
      <c r="AL78" s="19">
        <f>IF(AND(AL72&lt;&gt;0,SUM(AL34:$BD$34)&gt;0),(AL68-AL77)*IFERROR(AL74/AK71,1)*(Inputs!$E$96=1),0)</f>
        <v>0</v>
      </c>
      <c r="AM78" s="19">
        <f>IF(AND(AM72&lt;&gt;0,SUM(AM34:$BD$34)&gt;0),(AM68-AM77)*IFERROR(AM74/AL71,1)*(Inputs!$E$96=1),0)</f>
        <v>0</v>
      </c>
      <c r="AN78" s="19">
        <f>IF(AND(AN72&lt;&gt;0,SUM(AN34:$BD$34)&gt;0),(AN68-AN77)*IFERROR(AN74/AM71,1)*(Inputs!$E$96=1),0)</f>
        <v>0</v>
      </c>
      <c r="AO78" s="19">
        <f>IF(AND(AO72&lt;&gt;0,SUM(AO34:$BD$34)&gt;0),(AO68-AO77)*IFERROR(AO74/AN71,1)*(Inputs!$E$96=1),0)</f>
        <v>0</v>
      </c>
      <c r="AP78" s="19">
        <f>IF(AND(AP72&lt;&gt;0,SUM(AP34:$BD$34)&gt;0),(AP68-AP77)*IFERROR(AP74/AO71,1)*(Inputs!$E$96=1),0)</f>
        <v>0</v>
      </c>
      <c r="AQ78" s="19">
        <f>IF(AND(AQ72&lt;&gt;0,SUM(AQ34:$BD$34)&gt;0),(AQ68-AQ77)*IFERROR(AQ74/AP71,1)*(Inputs!$E$96=1),0)</f>
        <v>0</v>
      </c>
      <c r="AR78" s="19">
        <f>IF(AND(AR72&lt;&gt;0,SUM(AR34:$BD$34)&gt;0),(AR68-AR77)*IFERROR(AR74/AQ71,1)*(Inputs!$E$96=1),0)</f>
        <v>0</v>
      </c>
      <c r="AS78" s="19">
        <f>IF(AND(AS72&lt;&gt;0,SUM(AS34:$BD$34)&gt;0),(AS68-AS77)*IFERROR(AS74/AR71,1)*(Inputs!$E$96=1),0)</f>
        <v>0</v>
      </c>
      <c r="AT78" s="19">
        <f>IF(AND(AT72&lt;&gt;0,SUM(AT34:$BD$34)&gt;0),(AT68-AT77)*IFERROR(AT74/AS71,1)*(Inputs!$E$96=1),0)</f>
        <v>0</v>
      </c>
      <c r="AU78" s="19">
        <f>IF(AND(AU72&lt;&gt;0,SUM(AU34:$BD$34)&gt;0),(AU68-AU77)*IFERROR(AU74/AT71,1)*(Inputs!$E$96=1),0)</f>
        <v>0</v>
      </c>
      <c r="AV78" s="19">
        <f>IF(AND(AV72&lt;&gt;0,SUM(AV34:$BD$34)&gt;0),(AV68-AV77)*IFERROR(AV74/AU71,1)*(Inputs!$E$96=1),0)</f>
        <v>0</v>
      </c>
      <c r="AW78" s="19">
        <f>IF(AND(AW72&lt;&gt;0,SUM(AW34:$BD$34)&gt;0),(AW68-AW77)*IFERROR(AW74/AV71,1)*(Inputs!$E$96=1),0)</f>
        <v>0</v>
      </c>
      <c r="AX78" s="19">
        <f>IF(AND(AX72&lt;&gt;0,SUM(AX34:$BD$34)&gt;0),(AX68-AX77)*IFERROR(AX74/AW71,1)*(Inputs!$E$96=1),0)</f>
        <v>0</v>
      </c>
      <c r="AY78" s="19">
        <f>IF(AND(AY72&lt;&gt;0,SUM(AY34:$BD$34)&gt;0),(AY68-AY77)*IFERROR(AY74/AX71,1)*(Inputs!$E$96=1),0)</f>
        <v>0</v>
      </c>
      <c r="AZ78" s="19">
        <f>IF(AND(AZ72&lt;&gt;0,SUM(AZ34:$BD$34)&gt;0),(AZ68-AZ77)*IFERROR(AZ74/AY71,1)*(Inputs!$E$96=1),0)</f>
        <v>0</v>
      </c>
      <c r="BA78" s="19">
        <f>IF(AND(BA72&lt;&gt;0,SUM(BA34:$BD$34)&gt;0),(BA68-BA77)*IFERROR(BA74/AZ71,1)*(Inputs!$E$96=1),0)</f>
        <v>0</v>
      </c>
      <c r="BB78" s="19">
        <f>IF(AND(BB72&lt;&gt;0,SUM(BB34:$BD$34)&gt;0),(BB68-BB77)*IFERROR(BB74/BA71,1)*(Inputs!$E$96=1),0)</f>
        <v>0</v>
      </c>
      <c r="BC78" s="19">
        <f>IF(AND(BC72&lt;&gt;0,SUM(BC34:$BD$34)&gt;0),(BC68-BC77)*IFERROR(BC74/BB71,1)*(Inputs!$E$96=1),0)</f>
        <v>0</v>
      </c>
      <c r="BD78" s="19">
        <f>IF(AND(BD72&lt;&gt;0,SUM(BD34:$BD$34)&gt;0),(BD68-BD77)*IFERROR(BD74/BC71,1)*(Inputs!$E$96=1),0)</f>
        <v>0</v>
      </c>
    </row>
    <row r="79" spans="2:56" ht="15" customHeight="1">
      <c r="B79" s="287"/>
      <c r="C79" s="116">
        <f t="shared" si="58"/>
        <v>-25.603297149616569</v>
      </c>
      <c r="D79" s="11" t="s">
        <v>348</v>
      </c>
      <c r="E79" s="18" t="s">
        <v>333</v>
      </c>
      <c r="G79" s="19">
        <f t="shared" ref="G79:AL79" si="59">MIN(G66,F81)*-1</f>
        <v>0</v>
      </c>
      <c r="H79" s="19">
        <f t="shared" si="59"/>
        <v>0</v>
      </c>
      <c r="I79" s="19">
        <f t="shared" si="59"/>
        <v>0</v>
      </c>
      <c r="J79" s="19">
        <f>MIN(J66,I81)*-1</f>
        <v>0</v>
      </c>
      <c r="K79" s="19">
        <f t="shared" si="59"/>
        <v>0</v>
      </c>
      <c r="L79" s="19">
        <f t="shared" si="59"/>
        <v>0</v>
      </c>
      <c r="M79" s="19">
        <f t="shared" si="59"/>
        <v>0</v>
      </c>
      <c r="N79" s="19">
        <f t="shared" si="59"/>
        <v>0</v>
      </c>
      <c r="O79" s="19">
        <f t="shared" si="59"/>
        <v>0</v>
      </c>
      <c r="P79" s="19">
        <f>MIN(P66,O81)*-1</f>
        <v>0</v>
      </c>
      <c r="Q79" s="19">
        <f t="shared" si="59"/>
        <v>0</v>
      </c>
      <c r="R79" s="19">
        <f t="shared" si="59"/>
        <v>0</v>
      </c>
      <c r="S79" s="19">
        <f t="shared" si="59"/>
        <v>0</v>
      </c>
      <c r="T79" s="19">
        <f>MIN(T66,S81)*-1</f>
        <v>0</v>
      </c>
      <c r="U79" s="19">
        <f>MIN(U66,T81)*-1</f>
        <v>0</v>
      </c>
      <c r="V79" s="19">
        <f>MIN(V66,U81)*-1</f>
        <v>0</v>
      </c>
      <c r="W79" s="19">
        <f t="shared" si="59"/>
        <v>0</v>
      </c>
      <c r="X79" s="19">
        <f t="shared" si="59"/>
        <v>0</v>
      </c>
      <c r="Y79" s="19">
        <f t="shared" si="59"/>
        <v>0</v>
      </c>
      <c r="Z79" s="19">
        <f t="shared" si="59"/>
        <v>0</v>
      </c>
      <c r="AA79" s="19">
        <f t="shared" si="59"/>
        <v>0</v>
      </c>
      <c r="AB79" s="19">
        <f t="shared" si="59"/>
        <v>0</v>
      </c>
      <c r="AC79" s="19">
        <f t="shared" si="59"/>
        <v>0</v>
      </c>
      <c r="AD79" s="19">
        <f t="shared" si="59"/>
        <v>0</v>
      </c>
      <c r="AE79" s="19">
        <f t="shared" si="59"/>
        <v>0</v>
      </c>
      <c r="AF79" s="19">
        <f t="shared" si="59"/>
        <v>0</v>
      </c>
      <c r="AG79" s="19">
        <f t="shared" si="59"/>
        <v>0</v>
      </c>
      <c r="AH79" s="19">
        <f t="shared" si="59"/>
        <v>0</v>
      </c>
      <c r="AI79" s="19">
        <f t="shared" si="59"/>
        <v>-25.603297149616569</v>
      </c>
      <c r="AJ79" s="19">
        <f t="shared" si="59"/>
        <v>0</v>
      </c>
      <c r="AK79" s="424">
        <f t="shared" si="59"/>
        <v>0</v>
      </c>
      <c r="AL79" s="19">
        <f t="shared" si="59"/>
        <v>0</v>
      </c>
      <c r="AM79" s="19">
        <f t="shared" ref="AM79:BD79" si="60">MIN(AM66,AL81)*-1</f>
        <v>0</v>
      </c>
      <c r="AN79" s="19">
        <f t="shared" si="60"/>
        <v>0</v>
      </c>
      <c r="AO79" s="19">
        <f t="shared" si="60"/>
        <v>0</v>
      </c>
      <c r="AP79" s="19">
        <f t="shared" si="60"/>
        <v>0</v>
      </c>
      <c r="AQ79" s="19">
        <f t="shared" si="60"/>
        <v>0</v>
      </c>
      <c r="AR79" s="19">
        <f t="shared" si="60"/>
        <v>0</v>
      </c>
      <c r="AS79" s="19">
        <f t="shared" si="60"/>
        <v>0</v>
      </c>
      <c r="AT79" s="19">
        <f t="shared" si="60"/>
        <v>0</v>
      </c>
      <c r="AU79" s="19">
        <f t="shared" si="60"/>
        <v>0</v>
      </c>
      <c r="AV79" s="19">
        <f t="shared" si="60"/>
        <v>0</v>
      </c>
      <c r="AW79" s="19">
        <f t="shared" si="60"/>
        <v>0</v>
      </c>
      <c r="AX79" s="19">
        <f t="shared" si="60"/>
        <v>0</v>
      </c>
      <c r="AY79" s="19">
        <f t="shared" si="60"/>
        <v>0</v>
      </c>
      <c r="AZ79" s="19">
        <f t="shared" si="60"/>
        <v>0</v>
      </c>
      <c r="BA79" s="19">
        <f t="shared" si="60"/>
        <v>0</v>
      </c>
      <c r="BB79" s="19">
        <f t="shared" si="60"/>
        <v>0</v>
      </c>
      <c r="BC79" s="19">
        <f t="shared" si="60"/>
        <v>0</v>
      </c>
      <c r="BD79" s="19">
        <f t="shared" si="60"/>
        <v>0</v>
      </c>
    </row>
    <row r="80" spans="2:56" ht="15" customHeight="1">
      <c r="C80" s="116">
        <f t="shared" si="58"/>
        <v>0</v>
      </c>
      <c r="D80" s="11" t="s">
        <v>349</v>
      </c>
      <c r="E80" s="18" t="s">
        <v>333</v>
      </c>
      <c r="G80" s="19">
        <f>AND(G79&lt;&gt;0,SUM(H34:$BD$34)=0)*(G77+G79)*-1</f>
        <v>0</v>
      </c>
      <c r="H80" s="19">
        <f>AND(H79&lt;&gt;0,SUM(I34:$BD$34)=0)*(H77+H79)*-1</f>
        <v>0</v>
      </c>
      <c r="I80" s="19">
        <f>AND(I79&lt;&gt;0,SUM(J34:$BD$34)=0)*(I77+I79)*-1</f>
        <v>0</v>
      </c>
      <c r="J80" s="19">
        <f>AND(J79&lt;&gt;0,SUM(K34:$BD$34)=0)*(J77+J79)*-1</f>
        <v>0</v>
      </c>
      <c r="K80" s="19">
        <f>AND(K79&lt;&gt;0,SUM(L34:$BD$34)=0)*(K77+K79)*-1</f>
        <v>0</v>
      </c>
      <c r="L80" s="19">
        <f>AND(L79&lt;&gt;0,SUM(M34:$BD$34)=0)*(L77+L79)*-1</f>
        <v>0</v>
      </c>
      <c r="M80" s="19">
        <f>AND(M79&lt;&gt;0,SUM(N34:$BD$34)=0)*(M77+M79)*-1</f>
        <v>0</v>
      </c>
      <c r="N80" s="19">
        <f>AND(N79&lt;&gt;0,SUM(O34:$BD$34)=0)*(N77+N79)*-1</f>
        <v>0</v>
      </c>
      <c r="O80" s="19">
        <f>AND(O79&lt;&gt;0,SUM(P34:$BD$34)=0)*(O77+O79)*-1</f>
        <v>0</v>
      </c>
      <c r="P80" s="19">
        <f>AND(P79&lt;&gt;0,SUM(Q34:$BD$34)=0)*(P77+P79)*-1</f>
        <v>0</v>
      </c>
      <c r="Q80" s="19">
        <f>AND(Q79&lt;&gt;0,SUM(R34:$BD$34)=0)*(Q77+Q79)*-1</f>
        <v>0</v>
      </c>
      <c r="R80" s="19">
        <f>AND(R79&lt;&gt;0,SUM(S34:$BD$34)=0)*(R77+R79)*-1</f>
        <v>0</v>
      </c>
      <c r="S80" s="19">
        <f>AND(S79&lt;&gt;0,SUM(T34:$BD$34)=0)*(S77+S79)*-1</f>
        <v>0</v>
      </c>
      <c r="T80" s="19">
        <f>AND(T79&lt;&gt;0,SUM(U34:$BD$34)=0)*(T77+T79)*-1</f>
        <v>0</v>
      </c>
      <c r="U80" s="19">
        <f>AND(U79&lt;&gt;0,SUM(V34:$BD$34)=0)*(U77+U79)*-1</f>
        <v>0</v>
      </c>
      <c r="V80" s="19">
        <f>AND(V79&lt;&gt;0,SUM(W34:$BD$34)=0)*(V77+V79)*-1</f>
        <v>0</v>
      </c>
      <c r="W80" s="19">
        <f>AND(W79&lt;&gt;0,SUM(X34:$BD$34)=0)*(W77+W79)*-1</f>
        <v>0</v>
      </c>
      <c r="X80" s="19">
        <f>AND(X79&lt;&gt;0,SUM(Y34:$BD$34)=0)*(X77+X79)*-1</f>
        <v>0</v>
      </c>
      <c r="Y80" s="19">
        <f>AND(Y79&lt;&gt;0,SUM(Z34:$BD$34)=0)*(Y77+Y79)*-1</f>
        <v>0</v>
      </c>
      <c r="Z80" s="19">
        <f>AND(Z79&lt;&gt;0,SUM(AA34:$BD$34)=0)*(Z77+Z79)*-1</f>
        <v>0</v>
      </c>
      <c r="AA80" s="19">
        <f>AND(AA79&lt;&gt;0,SUM(AB34:$BD$34)=0)*(AA77+AA79)*-1</f>
        <v>0</v>
      </c>
      <c r="AB80" s="19">
        <f>AND(AB79&lt;&gt;0,SUM(AC34:$BD$34)=0)*(AB77+AB79)*-1</f>
        <v>0</v>
      </c>
      <c r="AC80" s="19">
        <f>AND(AC79&lt;&gt;0,SUM(AD34:$BD$34)=0)*(AC77+AC79)*-1</f>
        <v>0</v>
      </c>
      <c r="AD80" s="19">
        <f>AND(AD79&lt;&gt;0,SUM(AE34:$BD$34)=0)*(AD77+AD79)*-1</f>
        <v>0</v>
      </c>
      <c r="AE80" s="19">
        <f>AND(AE79&lt;&gt;0,SUM(AF34:$BD$34)=0)*(AE77+AE79)*-1</f>
        <v>0</v>
      </c>
      <c r="AF80" s="19">
        <f>AND(AF79&lt;&gt;0,SUM(AG34:$BD$34)=0)*(AF77+AF79)*-1</f>
        <v>0</v>
      </c>
      <c r="AG80" s="19">
        <f>AND(AG79&lt;&gt;0,SUM(AH34:$BD$34)=0)*(AG77+AG79)*-1</f>
        <v>0</v>
      </c>
      <c r="AH80" s="19">
        <f>AND(AH79&lt;&gt;0,SUM(AI34:$BD$34)=0)*(AH77+AH79)*-1</f>
        <v>0</v>
      </c>
      <c r="AI80" s="19">
        <f>AND(AI79&lt;&gt;0,SUM(AJ34:$BD$34)=0)*(AI77+AI79)*-1</f>
        <v>0</v>
      </c>
      <c r="AJ80" s="19">
        <f>AND(AJ79&lt;&gt;0,SUM(AK34:$BD$34)=0)*(AJ77+AJ79)*-1</f>
        <v>0</v>
      </c>
      <c r="AK80" s="19">
        <f>AND(AK79&lt;&gt;0,SUM(AL34:$BD$34)=0)*(AK77+AK79)*-1</f>
        <v>0</v>
      </c>
      <c r="AL80" s="19">
        <f>AND(AL79&lt;&gt;0,SUM(AM34:$BD$34)=0)*(AL77+AL79)*-1</f>
        <v>0</v>
      </c>
      <c r="AM80" s="19">
        <f>AND(AM79&lt;&gt;0,SUM(AN34:$BD$34)=0)*(AM77+AM79)*-1</f>
        <v>0</v>
      </c>
      <c r="AN80" s="19">
        <f>AND(AN79&lt;&gt;0,SUM(AO34:$BD$34)=0)*(AN77+AN79)*-1</f>
        <v>0</v>
      </c>
      <c r="AO80" s="19">
        <f>AND(AO79&lt;&gt;0,SUM(AP34:$BD$34)=0)*(AO77+AO79)*-1</f>
        <v>0</v>
      </c>
      <c r="AP80" s="19">
        <f>AND(AP79&lt;&gt;0,SUM(AQ34:$BD$34)=0)*(AP77+AP79)*-1</f>
        <v>0</v>
      </c>
      <c r="AQ80" s="19">
        <f>AND(AQ79&lt;&gt;0,SUM(AR34:$BD$34)=0)*(AQ77+AQ79)*-1</f>
        <v>0</v>
      </c>
      <c r="AR80" s="19">
        <f>AND(AR79&lt;&gt;0,SUM(AS34:$BD$34)=0)*(AR77+AR79)*-1</f>
        <v>0</v>
      </c>
      <c r="AS80" s="19">
        <f>AND(AS79&lt;&gt;0,SUM(AT34:$BD$34)=0)*(AS77+AS79)*-1</f>
        <v>0</v>
      </c>
      <c r="AT80" s="19">
        <f>AND(AT79&lt;&gt;0,SUM(AU34:$BD$34)=0)*(AT77+AT79)*-1</f>
        <v>0</v>
      </c>
      <c r="AU80" s="19">
        <f>AND(AU79&lt;&gt;0,SUM(AV34:$BD$34)=0)*(AU77+AU79)*-1</f>
        <v>0</v>
      </c>
      <c r="AV80" s="19">
        <f>AND(AV79&lt;&gt;0,SUM(AW34:$BD$34)=0)*(AV77+AV79)*-1</f>
        <v>0</v>
      </c>
      <c r="AW80" s="19">
        <f>AND(AW79&lt;&gt;0,SUM(AX34:$BD$34)=0)*(AW77+AW79)*-1</f>
        <v>0</v>
      </c>
      <c r="AX80" s="19">
        <f>AND(AX79&lt;&gt;0,SUM(AY34:$BD$34)=0)*(AX77+AX79)*-1</f>
        <v>0</v>
      </c>
      <c r="AY80" s="19">
        <f>AND(AY79&lt;&gt;0,SUM(AZ34:$BD$34)=0)*(AY77+AY79)*-1</f>
        <v>0</v>
      </c>
      <c r="AZ80" s="19">
        <f>AND(AZ79&lt;&gt;0,SUM(BA34:$BD$34)=0)*(AZ77+AZ79)*-1</f>
        <v>0</v>
      </c>
      <c r="BA80" s="19">
        <f>AND(BA79&lt;&gt;0,SUM(BB34:$BD$34)=0)*(BA77+BA79)*-1</f>
        <v>0</v>
      </c>
      <c r="BB80" s="19">
        <f>AND(BB79&lt;&gt;0,SUM(BC34:$BD$34)=0)*(BB77+BB79)*-1</f>
        <v>0</v>
      </c>
      <c r="BC80" s="19">
        <f>AND(BC79&lt;&gt;0,SUM(BD34:$BD$34)=0)*(BC77+BC79)*-1</f>
        <v>0</v>
      </c>
      <c r="BD80" s="19">
        <f>AND(BD79&lt;&gt;0,SUM($BD34:BE$34)=0)*(BD77+BD79)*-1</f>
        <v>0</v>
      </c>
    </row>
    <row r="81" spans="1:57" ht="15" customHeight="1">
      <c r="C81" s="21"/>
      <c r="D81" s="11" t="s">
        <v>350</v>
      </c>
      <c r="E81" s="18" t="s">
        <v>333</v>
      </c>
      <c r="G81" s="19">
        <f t="shared" ref="G81:AL81" si="61">SUM(G77:G80)</f>
        <v>0</v>
      </c>
      <c r="H81" s="19">
        <f t="shared" si="61"/>
        <v>0</v>
      </c>
      <c r="I81" s="19">
        <f>SUM(I77:I80)</f>
        <v>0</v>
      </c>
      <c r="J81" s="19">
        <f t="shared" si="61"/>
        <v>0</v>
      </c>
      <c r="K81" s="19">
        <f t="shared" si="61"/>
        <v>0</v>
      </c>
      <c r="L81" s="19">
        <f t="shared" si="61"/>
        <v>0</v>
      </c>
      <c r="M81" s="19">
        <f t="shared" si="61"/>
        <v>0</v>
      </c>
      <c r="N81" s="19">
        <f t="shared" si="61"/>
        <v>0</v>
      </c>
      <c r="O81" s="19">
        <f t="shared" si="61"/>
        <v>0</v>
      </c>
      <c r="P81" s="19">
        <f>SUM(P77:P80)</f>
        <v>0</v>
      </c>
      <c r="Q81" s="19">
        <f t="shared" si="61"/>
        <v>0</v>
      </c>
      <c r="R81" s="19">
        <f t="shared" si="61"/>
        <v>0</v>
      </c>
      <c r="S81" s="19">
        <f t="shared" si="61"/>
        <v>0</v>
      </c>
      <c r="T81" s="19">
        <f>SUM(T77:T80)</f>
        <v>0</v>
      </c>
      <c r="U81" s="19">
        <f t="shared" si="61"/>
        <v>0</v>
      </c>
      <c r="V81" s="19">
        <f t="shared" si="61"/>
        <v>0</v>
      </c>
      <c r="W81" s="19">
        <f t="shared" si="61"/>
        <v>0</v>
      </c>
      <c r="X81" s="19">
        <f t="shared" si="61"/>
        <v>0</v>
      </c>
      <c r="Y81" s="19">
        <f t="shared" si="61"/>
        <v>2.2722099393258888</v>
      </c>
      <c r="Z81" s="19">
        <f t="shared" si="61"/>
        <v>4.5952557620400851</v>
      </c>
      <c r="AA81" s="19">
        <f t="shared" si="61"/>
        <v>6.9771343436448277</v>
      </c>
      <c r="AB81" s="19">
        <f t="shared" si="61"/>
        <v>9.4283571370618926</v>
      </c>
      <c r="AC81" s="19">
        <f t="shared" si="61"/>
        <v>11.963340438957527</v>
      </c>
      <c r="AD81" s="19">
        <f t="shared" si="61"/>
        <v>14.603051395970237</v>
      </c>
      <c r="AE81" s="19">
        <f t="shared" si="61"/>
        <v>17.380741038599695</v>
      </c>
      <c r="AF81" s="19">
        <f t="shared" si="61"/>
        <v>20.357119988517269</v>
      </c>
      <c r="AG81" s="19">
        <f t="shared" si="61"/>
        <v>23.678026197272438</v>
      </c>
      <c r="AH81" s="19">
        <f t="shared" si="61"/>
        <v>25.603297149616569</v>
      </c>
      <c r="AI81" s="19">
        <f t="shared" si="61"/>
        <v>0</v>
      </c>
      <c r="AJ81" s="19">
        <f t="shared" si="61"/>
        <v>0</v>
      </c>
      <c r="AK81" s="19">
        <f t="shared" si="61"/>
        <v>0</v>
      </c>
      <c r="AL81" s="19">
        <f t="shared" si="61"/>
        <v>0</v>
      </c>
      <c r="AM81" s="19">
        <f t="shared" ref="AM81:BD81" si="62">SUM(AM77:AM80)</f>
        <v>0</v>
      </c>
      <c r="AN81" s="19">
        <f t="shared" si="62"/>
        <v>0</v>
      </c>
      <c r="AO81" s="19">
        <f t="shared" si="62"/>
        <v>0</v>
      </c>
      <c r="AP81" s="19">
        <f t="shared" si="62"/>
        <v>0</v>
      </c>
      <c r="AQ81" s="19">
        <f t="shared" si="62"/>
        <v>0</v>
      </c>
      <c r="AR81" s="19">
        <f t="shared" si="62"/>
        <v>0</v>
      </c>
      <c r="AS81" s="19">
        <f t="shared" si="62"/>
        <v>0</v>
      </c>
      <c r="AT81" s="19">
        <f t="shared" si="62"/>
        <v>0</v>
      </c>
      <c r="AU81" s="19">
        <f t="shared" si="62"/>
        <v>0</v>
      </c>
      <c r="AV81" s="19">
        <f t="shared" si="62"/>
        <v>0</v>
      </c>
      <c r="AW81" s="19">
        <f t="shared" si="62"/>
        <v>0</v>
      </c>
      <c r="AX81" s="19">
        <f t="shared" si="62"/>
        <v>0</v>
      </c>
      <c r="AY81" s="19">
        <f t="shared" si="62"/>
        <v>0</v>
      </c>
      <c r="AZ81" s="19">
        <f t="shared" si="62"/>
        <v>0</v>
      </c>
      <c r="BA81" s="19">
        <f t="shared" si="62"/>
        <v>0</v>
      </c>
      <c r="BB81" s="19">
        <f t="shared" si="62"/>
        <v>0</v>
      </c>
      <c r="BC81" s="19">
        <f t="shared" si="62"/>
        <v>0</v>
      </c>
      <c r="BD81" s="19">
        <f t="shared" si="62"/>
        <v>0</v>
      </c>
    </row>
    <row r="82" spans="1:57" ht="15" customHeight="1">
      <c r="D82" s="22"/>
      <c r="E82" s="18"/>
      <c r="P82" s="7"/>
    </row>
    <row r="83" spans="1:57" ht="13">
      <c r="A83" s="31"/>
      <c r="C83" s="21"/>
      <c r="D83" s="463" t="s">
        <v>268</v>
      </c>
      <c r="E83" s="463" t="s">
        <v>19</v>
      </c>
      <c r="F83" s="463"/>
      <c r="G83" s="544">
        <f t="shared" ref="G83:BD83" si="63">G$6</f>
        <v>1</v>
      </c>
      <c r="H83" s="544">
        <f t="shared" si="63"/>
        <v>2</v>
      </c>
      <c r="I83" s="544">
        <f t="shared" si="63"/>
        <v>3</v>
      </c>
      <c r="J83" s="544">
        <f t="shared" si="63"/>
        <v>4</v>
      </c>
      <c r="K83" s="544">
        <f t="shared" si="63"/>
        <v>5</v>
      </c>
      <c r="L83" s="544">
        <f t="shared" si="63"/>
        <v>6</v>
      </c>
      <c r="M83" s="544">
        <f t="shared" si="63"/>
        <v>7</v>
      </c>
      <c r="N83" s="544">
        <f t="shared" si="63"/>
        <v>8</v>
      </c>
      <c r="O83" s="544">
        <f t="shared" si="63"/>
        <v>9</v>
      </c>
      <c r="P83" s="544">
        <f t="shared" si="63"/>
        <v>10</v>
      </c>
      <c r="Q83" s="544">
        <f t="shared" si="63"/>
        <v>11</v>
      </c>
      <c r="R83" s="544">
        <f t="shared" si="63"/>
        <v>12</v>
      </c>
      <c r="S83" s="544">
        <f t="shared" si="63"/>
        <v>13</v>
      </c>
      <c r="T83" s="544">
        <f t="shared" si="63"/>
        <v>14</v>
      </c>
      <c r="U83" s="544">
        <f t="shared" si="63"/>
        <v>15</v>
      </c>
      <c r="V83" s="544">
        <f t="shared" si="63"/>
        <v>16</v>
      </c>
      <c r="W83" s="544">
        <f t="shared" si="63"/>
        <v>17</v>
      </c>
      <c r="X83" s="544">
        <f t="shared" si="63"/>
        <v>18</v>
      </c>
      <c r="Y83" s="544">
        <f t="shared" si="63"/>
        <v>19</v>
      </c>
      <c r="Z83" s="544">
        <f t="shared" si="63"/>
        <v>20</v>
      </c>
      <c r="AA83" s="544">
        <f t="shared" si="63"/>
        <v>21</v>
      </c>
      <c r="AB83" s="544">
        <f t="shared" si="63"/>
        <v>22</v>
      </c>
      <c r="AC83" s="544">
        <f t="shared" si="63"/>
        <v>23</v>
      </c>
      <c r="AD83" s="544">
        <f t="shared" si="63"/>
        <v>24</v>
      </c>
      <c r="AE83" s="544">
        <f t="shared" si="63"/>
        <v>25</v>
      </c>
      <c r="AF83" s="544">
        <f t="shared" si="63"/>
        <v>26</v>
      </c>
      <c r="AG83" s="544">
        <f t="shared" si="63"/>
        <v>27</v>
      </c>
      <c r="AH83" s="544">
        <f t="shared" si="63"/>
        <v>28</v>
      </c>
      <c r="AI83" s="544">
        <f t="shared" si="63"/>
        <v>29</v>
      </c>
      <c r="AJ83" s="544">
        <f t="shared" si="63"/>
        <v>30</v>
      </c>
      <c r="AK83" s="544">
        <f t="shared" si="63"/>
        <v>31</v>
      </c>
      <c r="AL83" s="544">
        <f t="shared" si="63"/>
        <v>32</v>
      </c>
      <c r="AM83" s="544">
        <f t="shared" si="63"/>
        <v>33</v>
      </c>
      <c r="AN83" s="544">
        <f t="shared" si="63"/>
        <v>34</v>
      </c>
      <c r="AO83" s="544">
        <f t="shared" si="63"/>
        <v>35</v>
      </c>
      <c r="AP83" s="544">
        <f t="shared" si="63"/>
        <v>36</v>
      </c>
      <c r="AQ83" s="544">
        <f t="shared" si="63"/>
        <v>37</v>
      </c>
      <c r="AR83" s="544">
        <f t="shared" si="63"/>
        <v>38</v>
      </c>
      <c r="AS83" s="544">
        <f t="shared" si="63"/>
        <v>39</v>
      </c>
      <c r="AT83" s="544">
        <f t="shared" si="63"/>
        <v>40</v>
      </c>
      <c r="AU83" s="544">
        <f t="shared" si="63"/>
        <v>41</v>
      </c>
      <c r="AV83" s="544">
        <f t="shared" si="63"/>
        <v>42</v>
      </c>
      <c r="AW83" s="544">
        <f t="shared" si="63"/>
        <v>43</v>
      </c>
      <c r="AX83" s="544">
        <f t="shared" si="63"/>
        <v>44</v>
      </c>
      <c r="AY83" s="544">
        <f t="shared" si="63"/>
        <v>45</v>
      </c>
      <c r="AZ83" s="544">
        <f t="shared" si="63"/>
        <v>46</v>
      </c>
      <c r="BA83" s="544">
        <f t="shared" si="63"/>
        <v>47</v>
      </c>
      <c r="BB83" s="544">
        <f t="shared" si="63"/>
        <v>48</v>
      </c>
      <c r="BC83" s="544">
        <f t="shared" si="63"/>
        <v>49</v>
      </c>
      <c r="BD83" s="544">
        <f t="shared" si="63"/>
        <v>50</v>
      </c>
    </row>
    <row r="84" spans="1:57" ht="15" customHeight="1">
      <c r="C84" s="116">
        <f>SUM(G84:BD84)</f>
        <v>1</v>
      </c>
      <c r="D84" s="11" t="s">
        <v>351</v>
      </c>
      <c r="E84" s="18"/>
      <c r="G84" s="19">
        <f>AND(G59 &gt; 0, (SUM($F84:F84) = 0)) * 1</f>
        <v>0</v>
      </c>
      <c r="H84" s="19">
        <f>AND(H59 &gt; 0, (SUM($F84:G84) = 0)) * 1</f>
        <v>0</v>
      </c>
      <c r="I84" s="19">
        <f>AND(I59 &gt; 0, (SUM($F84:H84) = 0)) * 1</f>
        <v>0</v>
      </c>
      <c r="J84" s="19">
        <f>AND(J59 &gt; 0, (SUM($F84:I84) = 0)) * 1</f>
        <v>0</v>
      </c>
      <c r="K84" s="19">
        <f>AND(K59 &gt; 0, (SUM($F84:J84) = 0)) * 1</f>
        <v>1</v>
      </c>
      <c r="L84" s="19">
        <f>AND(L59 &gt; 0, (SUM($F84:K84) = 0)) * 1</f>
        <v>0</v>
      </c>
      <c r="M84" s="19">
        <f>AND(M59 &gt; 0, (SUM($F84:L84) = 0)) * 1</f>
        <v>0</v>
      </c>
      <c r="N84" s="19">
        <f>AND(N59 &gt; 0, (SUM($F84:M84) = 0)) * 1</f>
        <v>0</v>
      </c>
      <c r="O84" s="19">
        <f>AND(O59 &gt; 0, (SUM($F84:N84) = 0)) * 1</f>
        <v>0</v>
      </c>
      <c r="P84" s="19">
        <f>AND(P59 &gt; 0, (SUM($F84:O84) = 0)) * 1</f>
        <v>0</v>
      </c>
      <c r="Q84" s="19">
        <f>AND(Q59 &gt; 0, (SUM($F84:P84) = 0)) * 1</f>
        <v>0</v>
      </c>
      <c r="R84" s="19">
        <f>AND(R59 &gt; 0, (SUM($F84:Q84) = 0)) * 1</f>
        <v>0</v>
      </c>
      <c r="S84" s="19">
        <f>AND(S59 &gt; 0, (SUM($F84:R84) = 0)) * 1</f>
        <v>0</v>
      </c>
      <c r="T84" s="19">
        <f>AND(T59 &gt; 0, (SUM($F84:S84) = 0)) * 1</f>
        <v>0</v>
      </c>
      <c r="U84" s="19">
        <f>AND(U59 &gt; 0, (SUM($F84:T84) = 0)) * 1</f>
        <v>0</v>
      </c>
      <c r="V84" s="19">
        <f>AND(V59 &gt; 0, (SUM($F84:U84) = 0)) * 1</f>
        <v>0</v>
      </c>
      <c r="W84" s="19">
        <f>AND(W59 &gt; 0, (SUM($F84:V84) = 0)) * 1</f>
        <v>0</v>
      </c>
      <c r="X84" s="19">
        <f>AND(X59 &gt; 0, (SUM($F84:W84) = 0)) * 1</f>
        <v>0</v>
      </c>
      <c r="Y84" s="19">
        <f>AND(Y59 &gt; 0, (SUM($F84:X84) = 0)) * 1</f>
        <v>0</v>
      </c>
      <c r="Z84" s="19">
        <f>AND(Z59 &gt; 0, (SUM($F84:Y84) = 0)) * 1</f>
        <v>0</v>
      </c>
      <c r="AA84" s="19">
        <f>AND(AA59 &gt; 0, (SUM($F84:Z84) = 0)) * 1</f>
        <v>0</v>
      </c>
      <c r="AB84" s="19">
        <f>AND(AB59 &gt; 0, (SUM($F84:AA84) = 0)) * 1</f>
        <v>0</v>
      </c>
      <c r="AC84" s="19">
        <f>AND(AC59 &gt; 0, (SUM($F84:AB84) = 0)) * 1</f>
        <v>0</v>
      </c>
      <c r="AD84" s="19">
        <f>AND(AD59 &gt; 0, (SUM($F84:AC84) = 0)) * 1</f>
        <v>0</v>
      </c>
      <c r="AE84" s="19">
        <f>AND(AE59 &gt; 0, (SUM($F84:AD84) = 0)) * 1</f>
        <v>0</v>
      </c>
      <c r="AF84" s="19">
        <f>AND(AF59 &gt; 0, (SUM($F84:AE84) = 0)) * 1</f>
        <v>0</v>
      </c>
      <c r="AG84" s="19">
        <f>AND(AG59 &gt; 0, (SUM($F84:AF84) = 0)) * 1</f>
        <v>0</v>
      </c>
      <c r="AH84" s="19">
        <f>AND(AH59 &gt; 0, (SUM($F84:AG84) = 0)) * 1</f>
        <v>0</v>
      </c>
      <c r="AI84" s="19">
        <f>AND(AI59 &gt; 0, (SUM($F84:AH84) = 0)) * 1</f>
        <v>0</v>
      </c>
      <c r="AJ84" s="19">
        <f>AND(AJ59 &gt; 0, (SUM($F84:AI84) = 0)) * 1</f>
        <v>0</v>
      </c>
      <c r="AK84" s="19">
        <f>AND(AK59 &gt; 0, (SUM($F84:AJ84) = 0)) * 1</f>
        <v>0</v>
      </c>
      <c r="AL84" s="19">
        <f>AND(AL59 &gt; 0, (SUM($F84:AK84) = 0)) * 1</f>
        <v>0</v>
      </c>
      <c r="AM84" s="19">
        <f>AND(AM59 &gt; 0, (SUM($F84:AL84) = 0)) * 1</f>
        <v>0</v>
      </c>
      <c r="AN84" s="19">
        <f>AND(AN59 &gt; 0, (SUM($F84:AM84) = 0)) * 1</f>
        <v>0</v>
      </c>
      <c r="AO84" s="19">
        <f>AND(AO59 &gt; 0, (SUM($F84:AN84) = 0)) * 1</f>
        <v>0</v>
      </c>
      <c r="AP84" s="19">
        <f>AND(AP59 &gt; 0, (SUM($F84:AO84) = 0)) * 1</f>
        <v>0</v>
      </c>
      <c r="AQ84" s="19">
        <f>AND(AQ59 &gt; 0, (SUM($F84:AP84) = 0)) * 1</f>
        <v>0</v>
      </c>
      <c r="AR84" s="19">
        <f>AND(AR59 &gt; 0, (SUM($F84:AQ84) = 0)) * 1</f>
        <v>0</v>
      </c>
      <c r="AS84" s="19">
        <f>AND(AS59 &gt; 0, (SUM($F84:AR84) = 0)) * 1</f>
        <v>0</v>
      </c>
      <c r="AT84" s="19">
        <f>AND(AT59 &gt; 0, (SUM($F84:AS84) = 0)) * 1</f>
        <v>0</v>
      </c>
      <c r="AU84" s="19">
        <f>AND(AU59 &gt; 0, (SUM($F84:AT84) = 0)) * 1</f>
        <v>0</v>
      </c>
      <c r="AV84" s="19">
        <f>AND(AV59 &gt; 0, (SUM($F84:AU84) = 0)) * 1</f>
        <v>0</v>
      </c>
      <c r="AW84" s="19">
        <f>AND(AW59 &gt; 0, (SUM($F84:AV84) = 0)) * 1</f>
        <v>0</v>
      </c>
      <c r="AX84" s="19">
        <f>AND(AX59 &gt; 0, (SUM($F84:AW84) = 0)) * 1</f>
        <v>0</v>
      </c>
      <c r="AY84" s="19">
        <f>AND(AY59 &gt; 0, (SUM($F84:AX84) = 0)) * 1</f>
        <v>0</v>
      </c>
      <c r="AZ84" s="19">
        <f>AND(AZ59 &gt; 0, (SUM($F84:AY84) = 0)) * 1</f>
        <v>0</v>
      </c>
      <c r="BA84" s="19">
        <f>AND(BA59 &gt; 0, (SUM($F84:AZ84) = 0)) * 1</f>
        <v>0</v>
      </c>
      <c r="BB84" s="19">
        <f>AND(BB59 &gt; 0, (SUM($F84:BA84) = 0)) * 1</f>
        <v>0</v>
      </c>
      <c r="BC84" s="19">
        <f>AND(BC59 &gt; 0, (SUM($F84:BB84) = 0)) * 1</f>
        <v>0</v>
      </c>
      <c r="BD84" s="19">
        <f>AND(BD59 &gt; 0, (SUM($F84:BC84) = 0)) * 1</f>
        <v>0</v>
      </c>
    </row>
    <row r="85" spans="1:57" ht="13">
      <c r="A85" s="426"/>
      <c r="B85" s="132"/>
      <c r="C85" s="116">
        <f>SUM(G85:BD85)</f>
        <v>4</v>
      </c>
      <c r="D85" s="428" t="s">
        <v>352</v>
      </c>
      <c r="E85" s="170"/>
      <c r="F85" s="170"/>
      <c r="G85" s="19">
        <f>(SUM(H84:$BD84) &gt; 0) * 1</f>
        <v>1</v>
      </c>
      <c r="H85" s="19">
        <f>(SUM(I84:$BD84) &gt; 0) * 1</f>
        <v>1</v>
      </c>
      <c r="I85" s="19">
        <f>(SUM(J84:$BD84) &gt; 0) * 1</f>
        <v>1</v>
      </c>
      <c r="J85" s="19">
        <f>(SUM(K84:$BD84) &gt; 0) * 1</f>
        <v>1</v>
      </c>
      <c r="K85" s="19">
        <f>(SUM(L84:$BD84) &gt; 0) * 1</f>
        <v>0</v>
      </c>
      <c r="L85" s="19">
        <f>(SUM(M84:$BD84) &gt; 0) * 1</f>
        <v>0</v>
      </c>
      <c r="M85" s="19">
        <f>(SUM(N84:$BD84) &gt; 0) * 1</f>
        <v>0</v>
      </c>
      <c r="N85" s="19">
        <f>(SUM(O84:$BD84) &gt; 0) * 1</f>
        <v>0</v>
      </c>
      <c r="O85" s="19">
        <f>(SUM(P84:$BD84) &gt; 0) * 1</f>
        <v>0</v>
      </c>
      <c r="P85" s="19">
        <f>(SUM(Q84:$BD84) &gt; 0) * 1</f>
        <v>0</v>
      </c>
      <c r="Q85" s="19">
        <f>(SUM(R84:$BD84) &gt; 0) * 1</f>
        <v>0</v>
      </c>
      <c r="R85" s="19">
        <f>(SUM(S84:$BD84) &gt; 0) * 1</f>
        <v>0</v>
      </c>
      <c r="S85" s="19">
        <f>(SUM(T84:$BD84) &gt; 0) * 1</f>
        <v>0</v>
      </c>
      <c r="T85" s="19">
        <f>(SUM(U84:$BD84) &gt; 0) * 1</f>
        <v>0</v>
      </c>
      <c r="U85" s="19">
        <f>(SUM(V84:$BD84) &gt; 0) * 1</f>
        <v>0</v>
      </c>
      <c r="V85" s="19">
        <f>(SUM(W84:$BD84) &gt; 0) * 1</f>
        <v>0</v>
      </c>
      <c r="W85" s="19">
        <f>(SUM(X84:$BD84) &gt; 0) * 1</f>
        <v>0</v>
      </c>
      <c r="X85" s="19">
        <f>(SUM(Y84:$BD84) &gt; 0) * 1</f>
        <v>0</v>
      </c>
      <c r="Y85" s="19">
        <f>(SUM(Z84:$BD84) &gt; 0) * 1</f>
        <v>0</v>
      </c>
      <c r="Z85" s="19">
        <f>(SUM(AA84:$BD84) &gt; 0) * 1</f>
        <v>0</v>
      </c>
      <c r="AA85" s="19">
        <f>(SUM(AB84:$BD84) &gt; 0) * 1</f>
        <v>0</v>
      </c>
      <c r="AB85" s="19">
        <f>(SUM(AC84:$BD84) &gt; 0) * 1</f>
        <v>0</v>
      </c>
      <c r="AC85" s="19">
        <f>(SUM(AD84:$BD84) &gt; 0) * 1</f>
        <v>0</v>
      </c>
      <c r="AD85" s="19">
        <f>(SUM(AE84:$BD84) &gt; 0) * 1</f>
        <v>0</v>
      </c>
      <c r="AE85" s="19">
        <f>(SUM(AF84:$BD84) &gt; 0) * 1</f>
        <v>0</v>
      </c>
      <c r="AF85" s="19">
        <f>(SUM(AG84:$BD84) &gt; 0) * 1</f>
        <v>0</v>
      </c>
      <c r="AG85" s="19">
        <f>(SUM(AH84:$BD84) &gt; 0) * 1</f>
        <v>0</v>
      </c>
      <c r="AH85" s="19">
        <f>(SUM(AI84:$BD84) &gt; 0) * 1</f>
        <v>0</v>
      </c>
      <c r="AI85" s="19">
        <f>(SUM(AJ84:$BD84) &gt; 0) * 1</f>
        <v>0</v>
      </c>
      <c r="AJ85" s="19">
        <f>(SUM(AK84:$BD84) &gt; 0) * 1</f>
        <v>0</v>
      </c>
      <c r="AK85" s="19">
        <f>(SUM(AL84:$BD84) &gt; 0) * 1</f>
        <v>0</v>
      </c>
      <c r="AL85" s="19">
        <f>(SUM(AM84:$BD84) &gt; 0) * 1</f>
        <v>0</v>
      </c>
      <c r="AM85" s="19">
        <f>(SUM(AN84:$BD84) &gt; 0) * 1</f>
        <v>0</v>
      </c>
      <c r="AN85" s="19">
        <f>(SUM(AO84:$BD84) &gt; 0) * 1</f>
        <v>0</v>
      </c>
      <c r="AO85" s="19">
        <f>(SUM(AP84:$BD84) &gt; 0) * 1</f>
        <v>0</v>
      </c>
      <c r="AP85" s="19">
        <f>(SUM(AQ84:$BD84) &gt; 0) * 1</f>
        <v>0</v>
      </c>
      <c r="AQ85" s="19">
        <f>(SUM(AR84:$BD84) &gt; 0) * 1</f>
        <v>0</v>
      </c>
      <c r="AR85" s="19">
        <f>(SUM(AS84:$BD84) &gt; 0) * 1</f>
        <v>0</v>
      </c>
      <c r="AS85" s="19">
        <f>(SUM(AT84:$BD84) &gt; 0) * 1</f>
        <v>0</v>
      </c>
      <c r="AT85" s="19">
        <f>(SUM(AU84:$BD84) &gt; 0) * 1</f>
        <v>0</v>
      </c>
      <c r="AU85" s="19">
        <f>(SUM(AV84:$BD84) &gt; 0) * 1</f>
        <v>0</v>
      </c>
      <c r="AV85" s="19">
        <f>(SUM(AW84:$BD84) &gt; 0) * 1</f>
        <v>0</v>
      </c>
      <c r="AW85" s="19">
        <f>(SUM(AX84:$BD84) &gt; 0) * 1</f>
        <v>0</v>
      </c>
      <c r="AX85" s="19">
        <f>(SUM(AY84:$BD84) &gt; 0) * 1</f>
        <v>0</v>
      </c>
      <c r="AY85" s="19">
        <f>(SUM(AZ84:$BD84) &gt; 0) * 1</f>
        <v>0</v>
      </c>
      <c r="AZ85" s="19">
        <f>(SUM(BA84:$BD84) &gt; 0) * 1</f>
        <v>0</v>
      </c>
      <c r="BA85" s="19">
        <f>(SUM(BB84:$BD84) &gt; 0) * 1</f>
        <v>0</v>
      </c>
      <c r="BB85" s="19">
        <f>(SUM(BC84:$BD84) &gt; 0) * 1</f>
        <v>0</v>
      </c>
      <c r="BC85" s="19">
        <f>(SUM(BD84:$BD84) &gt; 0) * 1</f>
        <v>0</v>
      </c>
      <c r="BD85" s="19">
        <f>(SUM($BD84:BE84) &gt; 0) * 1</f>
        <v>0</v>
      </c>
      <c r="BE85" s="132"/>
    </row>
    <row r="86" spans="1:57" ht="13">
      <c r="A86" s="426"/>
      <c r="B86" s="132"/>
      <c r="C86" s="21"/>
      <c r="D86" s="429" t="s">
        <v>353</v>
      </c>
      <c r="E86" s="170"/>
      <c r="F86" s="170"/>
      <c r="G86" s="19">
        <f>G32 * (G85 = 0)</f>
        <v>0</v>
      </c>
      <c r="H86" s="19">
        <f t="shared" ref="H86:BD86" si="64">H32 * (H85 = 0)</f>
        <v>0</v>
      </c>
      <c r="I86" s="19">
        <f t="shared" si="64"/>
        <v>0</v>
      </c>
      <c r="J86" s="19">
        <f t="shared" si="64"/>
        <v>0</v>
      </c>
      <c r="K86" s="19">
        <f t="shared" si="64"/>
        <v>1</v>
      </c>
      <c r="L86" s="19">
        <f t="shared" si="64"/>
        <v>1</v>
      </c>
      <c r="M86" s="19">
        <f t="shared" si="64"/>
        <v>1</v>
      </c>
      <c r="N86" s="19">
        <f t="shared" si="64"/>
        <v>1</v>
      </c>
      <c r="O86" s="19">
        <f t="shared" si="64"/>
        <v>1</v>
      </c>
      <c r="P86" s="19">
        <f t="shared" si="64"/>
        <v>1</v>
      </c>
      <c r="Q86" s="19">
        <f t="shared" si="64"/>
        <v>1</v>
      </c>
      <c r="R86" s="19">
        <f t="shared" si="64"/>
        <v>1</v>
      </c>
      <c r="S86" s="19">
        <f t="shared" si="64"/>
        <v>1</v>
      </c>
      <c r="T86" s="19">
        <f t="shared" si="64"/>
        <v>1</v>
      </c>
      <c r="U86" s="19">
        <f t="shared" si="64"/>
        <v>1</v>
      </c>
      <c r="V86" s="19">
        <f t="shared" si="64"/>
        <v>1</v>
      </c>
      <c r="W86" s="19">
        <f t="shared" si="64"/>
        <v>1</v>
      </c>
      <c r="X86" s="19">
        <f t="shared" si="64"/>
        <v>1</v>
      </c>
      <c r="Y86" s="19">
        <f t="shared" si="64"/>
        <v>1</v>
      </c>
      <c r="Z86" s="19">
        <f t="shared" si="64"/>
        <v>1</v>
      </c>
      <c r="AA86" s="19">
        <f t="shared" si="64"/>
        <v>1</v>
      </c>
      <c r="AB86" s="19">
        <f t="shared" si="64"/>
        <v>1</v>
      </c>
      <c r="AC86" s="19">
        <f t="shared" si="64"/>
        <v>1</v>
      </c>
      <c r="AD86" s="19">
        <f t="shared" si="64"/>
        <v>1</v>
      </c>
      <c r="AE86" s="19">
        <f t="shared" si="64"/>
        <v>1</v>
      </c>
      <c r="AF86" s="19">
        <f t="shared" si="64"/>
        <v>1</v>
      </c>
      <c r="AG86" s="19">
        <f t="shared" si="64"/>
        <v>1</v>
      </c>
      <c r="AH86" s="19">
        <f t="shared" si="64"/>
        <v>1</v>
      </c>
      <c r="AI86" s="19">
        <f t="shared" si="64"/>
        <v>0</v>
      </c>
      <c r="AJ86" s="19">
        <f t="shared" si="64"/>
        <v>0</v>
      </c>
      <c r="AK86" s="19">
        <f t="shared" si="64"/>
        <v>0</v>
      </c>
      <c r="AL86" s="19">
        <f t="shared" si="64"/>
        <v>0</v>
      </c>
      <c r="AM86" s="19">
        <f t="shared" si="64"/>
        <v>0</v>
      </c>
      <c r="AN86" s="19">
        <f t="shared" si="64"/>
        <v>0</v>
      </c>
      <c r="AO86" s="19">
        <f t="shared" si="64"/>
        <v>0</v>
      </c>
      <c r="AP86" s="19">
        <f t="shared" si="64"/>
        <v>0</v>
      </c>
      <c r="AQ86" s="19">
        <f t="shared" si="64"/>
        <v>0</v>
      </c>
      <c r="AR86" s="19">
        <f t="shared" si="64"/>
        <v>0</v>
      </c>
      <c r="AS86" s="19">
        <f t="shared" si="64"/>
        <v>0</v>
      </c>
      <c r="AT86" s="19">
        <f t="shared" si="64"/>
        <v>0</v>
      </c>
      <c r="AU86" s="19">
        <f t="shared" si="64"/>
        <v>0</v>
      </c>
      <c r="AV86" s="19">
        <f t="shared" si="64"/>
        <v>0</v>
      </c>
      <c r="AW86" s="19">
        <f t="shared" si="64"/>
        <v>0</v>
      </c>
      <c r="AX86" s="19">
        <f t="shared" si="64"/>
        <v>0</v>
      </c>
      <c r="AY86" s="19">
        <f t="shared" si="64"/>
        <v>0</v>
      </c>
      <c r="AZ86" s="19">
        <f t="shared" si="64"/>
        <v>0</v>
      </c>
      <c r="BA86" s="19">
        <f t="shared" si="64"/>
        <v>0</v>
      </c>
      <c r="BB86" s="19">
        <f t="shared" si="64"/>
        <v>0</v>
      </c>
      <c r="BC86" s="19">
        <f t="shared" si="64"/>
        <v>0</v>
      </c>
      <c r="BD86" s="19">
        <f t="shared" si="64"/>
        <v>0</v>
      </c>
      <c r="BE86" s="132"/>
    </row>
    <row r="87" spans="1:57" ht="13">
      <c r="A87" s="426"/>
      <c r="B87" s="132"/>
      <c r="C87" s="21"/>
      <c r="D87" s="429" t="s">
        <v>354</v>
      </c>
      <c r="E87" s="170"/>
      <c r="F87" s="170"/>
      <c r="G87" s="19">
        <f>(G86 = 1) * (1 + F87)</f>
        <v>0</v>
      </c>
      <c r="H87" s="19">
        <f t="shared" ref="H87:BD87" si="65">(H86 = 1) * (1 + G87)</f>
        <v>0</v>
      </c>
      <c r="I87" s="19">
        <f t="shared" si="65"/>
        <v>0</v>
      </c>
      <c r="J87" s="19">
        <f t="shared" si="65"/>
        <v>0</v>
      </c>
      <c r="K87" s="19">
        <f t="shared" si="65"/>
        <v>1</v>
      </c>
      <c r="L87" s="19">
        <f t="shared" si="65"/>
        <v>2</v>
      </c>
      <c r="M87" s="19">
        <f t="shared" si="65"/>
        <v>3</v>
      </c>
      <c r="N87" s="19">
        <f t="shared" si="65"/>
        <v>4</v>
      </c>
      <c r="O87" s="19">
        <f t="shared" si="65"/>
        <v>5</v>
      </c>
      <c r="P87" s="19">
        <f t="shared" si="65"/>
        <v>6</v>
      </c>
      <c r="Q87" s="19">
        <f t="shared" si="65"/>
        <v>7</v>
      </c>
      <c r="R87" s="19">
        <f t="shared" si="65"/>
        <v>8</v>
      </c>
      <c r="S87" s="19">
        <f t="shared" si="65"/>
        <v>9</v>
      </c>
      <c r="T87" s="19">
        <f t="shared" si="65"/>
        <v>10</v>
      </c>
      <c r="U87" s="19">
        <f t="shared" si="65"/>
        <v>11</v>
      </c>
      <c r="V87" s="19">
        <f t="shared" si="65"/>
        <v>12</v>
      </c>
      <c r="W87" s="19">
        <f t="shared" si="65"/>
        <v>13</v>
      </c>
      <c r="X87" s="19">
        <f t="shared" si="65"/>
        <v>14</v>
      </c>
      <c r="Y87" s="19">
        <f t="shared" si="65"/>
        <v>15</v>
      </c>
      <c r="Z87" s="19">
        <f t="shared" si="65"/>
        <v>16</v>
      </c>
      <c r="AA87" s="19">
        <f t="shared" si="65"/>
        <v>17</v>
      </c>
      <c r="AB87" s="19">
        <f t="shared" si="65"/>
        <v>18</v>
      </c>
      <c r="AC87" s="19">
        <f t="shared" si="65"/>
        <v>19</v>
      </c>
      <c r="AD87" s="19">
        <f t="shared" si="65"/>
        <v>20</v>
      </c>
      <c r="AE87" s="19">
        <f t="shared" si="65"/>
        <v>21</v>
      </c>
      <c r="AF87" s="19">
        <f t="shared" si="65"/>
        <v>22</v>
      </c>
      <c r="AG87" s="19">
        <f t="shared" si="65"/>
        <v>23</v>
      </c>
      <c r="AH87" s="19">
        <f t="shared" si="65"/>
        <v>24</v>
      </c>
      <c r="AI87" s="19">
        <f t="shared" si="65"/>
        <v>0</v>
      </c>
      <c r="AJ87" s="19">
        <f t="shared" si="65"/>
        <v>0</v>
      </c>
      <c r="AK87" s="19">
        <f t="shared" si="65"/>
        <v>0</v>
      </c>
      <c r="AL87" s="19">
        <f t="shared" si="65"/>
        <v>0</v>
      </c>
      <c r="AM87" s="19">
        <f t="shared" si="65"/>
        <v>0</v>
      </c>
      <c r="AN87" s="19">
        <f t="shared" si="65"/>
        <v>0</v>
      </c>
      <c r="AO87" s="19">
        <f t="shared" si="65"/>
        <v>0</v>
      </c>
      <c r="AP87" s="19">
        <f t="shared" si="65"/>
        <v>0</v>
      </c>
      <c r="AQ87" s="19">
        <f t="shared" si="65"/>
        <v>0</v>
      </c>
      <c r="AR87" s="19">
        <f t="shared" si="65"/>
        <v>0</v>
      </c>
      <c r="AS87" s="19">
        <f t="shared" si="65"/>
        <v>0</v>
      </c>
      <c r="AT87" s="19">
        <f t="shared" si="65"/>
        <v>0</v>
      </c>
      <c r="AU87" s="19">
        <f t="shared" si="65"/>
        <v>0</v>
      </c>
      <c r="AV87" s="19">
        <f t="shared" si="65"/>
        <v>0</v>
      </c>
      <c r="AW87" s="19">
        <f t="shared" si="65"/>
        <v>0</v>
      </c>
      <c r="AX87" s="19">
        <f t="shared" si="65"/>
        <v>0</v>
      </c>
      <c r="AY87" s="19">
        <f t="shared" si="65"/>
        <v>0</v>
      </c>
      <c r="AZ87" s="19">
        <f t="shared" si="65"/>
        <v>0</v>
      </c>
      <c r="BA87" s="19">
        <f t="shared" si="65"/>
        <v>0</v>
      </c>
      <c r="BB87" s="19">
        <f t="shared" si="65"/>
        <v>0</v>
      </c>
      <c r="BC87" s="19">
        <f t="shared" si="65"/>
        <v>0</v>
      </c>
      <c r="BD87" s="19">
        <f t="shared" si="65"/>
        <v>0</v>
      </c>
      <c r="BE87" s="132"/>
    </row>
    <row r="88" spans="1:57" ht="13">
      <c r="A88" s="426"/>
      <c r="B88" s="132"/>
      <c r="C88" s="21"/>
      <c r="D88" s="429"/>
      <c r="E88" s="170"/>
      <c r="F88" s="170"/>
      <c r="G88" s="19"/>
      <c r="H88" s="427"/>
      <c r="I88" s="427"/>
      <c r="J88" s="427"/>
      <c r="K88" s="427"/>
      <c r="L88" s="427"/>
      <c r="M88" s="427"/>
      <c r="N88" s="427"/>
      <c r="O88" s="427"/>
      <c r="P88" s="427"/>
      <c r="Q88" s="427"/>
      <c r="R88" s="427"/>
      <c r="S88" s="427"/>
      <c r="T88" s="427"/>
      <c r="U88" s="427"/>
      <c r="V88" s="427"/>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27"/>
      <c r="BC88" s="427"/>
      <c r="BD88" s="427"/>
      <c r="BE88" s="132"/>
    </row>
    <row r="89" spans="1:57" ht="13">
      <c r="A89" s="426"/>
      <c r="B89" s="132"/>
      <c r="C89" s="21">
        <f t="shared" ref="C89:C98" si="66">SUM(G89:BD89)</f>
        <v>198.19619999999998</v>
      </c>
      <c r="D89" s="428" t="s">
        <v>355</v>
      </c>
      <c r="E89" s="170"/>
      <c r="F89" s="170"/>
      <c r="G89" s="19">
        <f>SUM(G53:G54) * G85 * Inputs!$E$195</f>
        <v>0</v>
      </c>
      <c r="H89" s="19">
        <f>SUM(H53:H54) * H85 * Inputs!$E$195</f>
        <v>0</v>
      </c>
      <c r="I89" s="19">
        <f>SUM(I53:I54) * I85 * Inputs!$E$195</f>
        <v>39.015000000000001</v>
      </c>
      <c r="J89" s="19">
        <f>SUM(J53:J54) * J85 * Inputs!$E$195</f>
        <v>159.18119999999999</v>
      </c>
      <c r="K89" s="19">
        <f>SUM(K53:K54) * K85 * Inputs!$E$195</f>
        <v>0</v>
      </c>
      <c r="L89" s="19">
        <f>SUM(L53:L54) * L85 * Inputs!$E$195</f>
        <v>0</v>
      </c>
      <c r="M89" s="19">
        <f>SUM(M53:M54) * M85 * Inputs!$E$195</f>
        <v>0</v>
      </c>
      <c r="N89" s="19">
        <f>SUM(N53:N54) * N85 * Inputs!$E$195</f>
        <v>0</v>
      </c>
      <c r="O89" s="19">
        <f>SUM(O53:O54) * O85 * Inputs!$E$195</f>
        <v>0</v>
      </c>
      <c r="P89" s="19">
        <f>SUM(P53:P54) * P85 * Inputs!$E$195</f>
        <v>0</v>
      </c>
      <c r="Q89" s="19">
        <f>SUM(Q53:Q54) * Q85 * Inputs!$E$195</f>
        <v>0</v>
      </c>
      <c r="R89" s="19">
        <f>SUM(R53:R54) * R85 * Inputs!$E$195</f>
        <v>0</v>
      </c>
      <c r="S89" s="19">
        <f>SUM(S53:S54) * S85 * Inputs!$E$195</f>
        <v>0</v>
      </c>
      <c r="T89" s="19">
        <f>SUM(T53:T54) * T85 * Inputs!$E$195</f>
        <v>0</v>
      </c>
      <c r="U89" s="19">
        <f>SUM(U53:U54) * U85 * Inputs!$E$195</f>
        <v>0</v>
      </c>
      <c r="V89" s="19">
        <f>SUM(V53:V54) * V85 * Inputs!$E$195</f>
        <v>0</v>
      </c>
      <c r="W89" s="19">
        <f>SUM(W53:W54) * W85 * Inputs!$E$195</f>
        <v>0</v>
      </c>
      <c r="X89" s="19">
        <f>SUM(X53:X54) * X85 * Inputs!$E$195</f>
        <v>0</v>
      </c>
      <c r="Y89" s="19">
        <f>SUM(Y53:Y54) * Y85 * Inputs!$E$195</f>
        <v>0</v>
      </c>
      <c r="Z89" s="19">
        <f>SUM(Z53:Z54) * Z85 * Inputs!$E$195</f>
        <v>0</v>
      </c>
      <c r="AA89" s="19">
        <f>SUM(AA53:AA54) * AA85 * Inputs!$E$195</f>
        <v>0</v>
      </c>
      <c r="AB89" s="19">
        <f>SUM(AB53:AB54) * AB85 * Inputs!$E$195</f>
        <v>0</v>
      </c>
      <c r="AC89" s="19">
        <f>SUM(AC53:AC54) * AC85 * Inputs!$E$195</f>
        <v>0</v>
      </c>
      <c r="AD89" s="19">
        <f>SUM(AD53:AD54) * AD85 * Inputs!$E$195</f>
        <v>0</v>
      </c>
      <c r="AE89" s="19">
        <f>SUM(AE53:AE54) * AE85 * Inputs!$E$195</f>
        <v>0</v>
      </c>
      <c r="AF89" s="19">
        <f>SUM(AF53:AF54) * AF85 * Inputs!$E$195</f>
        <v>0</v>
      </c>
      <c r="AG89" s="19">
        <f>SUM(AG53:AG54) * AG85 * Inputs!$E$195</f>
        <v>0</v>
      </c>
      <c r="AH89" s="19">
        <f>SUM(AH53:AH54) * AH85 * Inputs!$E$195</f>
        <v>0</v>
      </c>
      <c r="AI89" s="19">
        <f>SUM(AI53:AI54) * AI85 * Inputs!$E$195</f>
        <v>0</v>
      </c>
      <c r="AJ89" s="19">
        <f>SUM(AJ53:AJ54) * AJ85 * Inputs!$E$195</f>
        <v>0</v>
      </c>
      <c r="AK89" s="19">
        <f>SUM(AK53:AK54) * AK85 * Inputs!$E$195</f>
        <v>0</v>
      </c>
      <c r="AL89" s="19">
        <f>SUM(AL53:AL54) * AL85 * Inputs!$E$195</f>
        <v>0</v>
      </c>
      <c r="AM89" s="19">
        <f>SUM(AM53:AM54) * AM85 * Inputs!$E$195</f>
        <v>0</v>
      </c>
      <c r="AN89" s="19">
        <f>SUM(AN53:AN54) * AN85 * Inputs!$E$195</f>
        <v>0</v>
      </c>
      <c r="AO89" s="19">
        <f>SUM(AO53:AO54) * AO85 * Inputs!$E$195</f>
        <v>0</v>
      </c>
      <c r="AP89" s="19">
        <f>SUM(AP53:AP54) * AP85 * Inputs!$E$195</f>
        <v>0</v>
      </c>
      <c r="AQ89" s="19">
        <f>SUM(AQ53:AQ54) * AQ85 * Inputs!$E$195</f>
        <v>0</v>
      </c>
      <c r="AR89" s="19">
        <f>SUM(AR53:AR54) * AR85 * Inputs!$E$195</f>
        <v>0</v>
      </c>
      <c r="AS89" s="19">
        <f>SUM(AS53:AS54) * AS85 * Inputs!$E$195</f>
        <v>0</v>
      </c>
      <c r="AT89" s="19">
        <f>SUM(AT53:AT54) * AT85 * Inputs!$E$195</f>
        <v>0</v>
      </c>
      <c r="AU89" s="19">
        <f>SUM(AU53:AU54) * AU85 * Inputs!$E$195</f>
        <v>0</v>
      </c>
      <c r="AV89" s="19">
        <f>SUM(AV53:AV54) * AV85 * Inputs!$E$195</f>
        <v>0</v>
      </c>
      <c r="AW89" s="19">
        <f>SUM(AW53:AW54) * AW85 * Inputs!$E$195</f>
        <v>0</v>
      </c>
      <c r="AX89" s="19">
        <f>SUM(AX53:AX54) * AX85 * Inputs!$E$195</f>
        <v>0</v>
      </c>
      <c r="AY89" s="19">
        <f>SUM(AY53:AY54) * AY85 * Inputs!$E$195</f>
        <v>0</v>
      </c>
      <c r="AZ89" s="19">
        <f>SUM(AZ53:AZ54) * AZ85 * Inputs!$E$195</f>
        <v>0</v>
      </c>
      <c r="BA89" s="19">
        <f>SUM(BA53:BA54) * BA85 * Inputs!$E$195</f>
        <v>0</v>
      </c>
      <c r="BB89" s="19">
        <f>SUM(BB53:BB54) * BB85 * Inputs!$E$195</f>
        <v>0</v>
      </c>
      <c r="BC89" s="19">
        <f>SUM(BC53:BC54) * BC85 * Inputs!$E$195</f>
        <v>0</v>
      </c>
      <c r="BD89" s="19">
        <f>SUM(BD53:BD54) * BD85 * Inputs!$E$195</f>
        <v>0</v>
      </c>
      <c r="BE89" s="132"/>
    </row>
    <row r="90" spans="1:57" ht="13">
      <c r="A90" s="426"/>
      <c r="B90" s="132"/>
      <c r="C90" s="116">
        <f>SUM(G90:BD90)</f>
        <v>5</v>
      </c>
      <c r="D90" s="428" t="s">
        <v>270</v>
      </c>
      <c r="E90" s="170"/>
      <c r="F90" s="170"/>
      <c r="G90" s="19">
        <f>AND(G87 &gt; 0, G87 &lt;= Inputs!$E$197) * 1</f>
        <v>0</v>
      </c>
      <c r="H90" s="19">
        <f>AND(H87 &gt; 0, H87 &lt;= Inputs!$E$197) * 1</f>
        <v>0</v>
      </c>
      <c r="I90" s="19">
        <f>AND(I87 &gt; 0, I87 &lt;= Inputs!$E$197) * 1</f>
        <v>0</v>
      </c>
      <c r="J90" s="19">
        <f>AND(J87 &gt; 0, J87 &lt;= Inputs!$E$197) * 1</f>
        <v>0</v>
      </c>
      <c r="K90" s="19">
        <f>AND(K87 &gt; 0, K87 &lt;= Inputs!$E$197) * 1</f>
        <v>1</v>
      </c>
      <c r="L90" s="19">
        <f>AND(L87 &gt; 0, L87 &lt;= Inputs!$E$197) * 1</f>
        <v>1</v>
      </c>
      <c r="M90" s="19">
        <f>AND(M87 &gt; 0, M87 &lt;= Inputs!$E$197) * 1</f>
        <v>1</v>
      </c>
      <c r="N90" s="19">
        <f>AND(N87 &gt; 0, N87 &lt;= Inputs!$E$197) * 1</f>
        <v>1</v>
      </c>
      <c r="O90" s="19">
        <f>AND(O87 &gt; 0, O87 &lt;= Inputs!$E$197) * 1</f>
        <v>1</v>
      </c>
      <c r="P90" s="19">
        <f>AND(P87 &gt; 0, P87 &lt;= Inputs!$E$197) * 1</f>
        <v>0</v>
      </c>
      <c r="Q90" s="19">
        <f>AND(Q87 &gt; 0, Q87 &lt;= Inputs!$E$197) * 1</f>
        <v>0</v>
      </c>
      <c r="R90" s="19">
        <f>AND(R87 &gt; 0, R87 &lt;= Inputs!$E$197) * 1</f>
        <v>0</v>
      </c>
      <c r="S90" s="19">
        <f>AND(S87 &gt; 0, S87 &lt;= Inputs!$E$197) * 1</f>
        <v>0</v>
      </c>
      <c r="T90" s="19">
        <f>AND(T87 &gt; 0, T87 &lt;= Inputs!$E$197) * 1</f>
        <v>0</v>
      </c>
      <c r="U90" s="19">
        <f>AND(U87 &gt; 0, U87 &lt;= Inputs!$E$197) * 1</f>
        <v>0</v>
      </c>
      <c r="V90" s="19">
        <f>AND(V87 &gt; 0, V87 &lt;= Inputs!$E$197) * 1</f>
        <v>0</v>
      </c>
      <c r="W90" s="19">
        <f>AND(W87 &gt; 0, W87 &lt;= Inputs!$E$197) * 1</f>
        <v>0</v>
      </c>
      <c r="X90" s="19">
        <f>AND(X87 &gt; 0, X87 &lt;= Inputs!$E$197) * 1</f>
        <v>0</v>
      </c>
      <c r="Y90" s="19">
        <f>AND(Y87 &gt; 0, Y87 &lt;= Inputs!$E$197) * 1</f>
        <v>0</v>
      </c>
      <c r="Z90" s="19">
        <f>AND(Z87 &gt; 0, Z87 &lt;= Inputs!$E$197) * 1</f>
        <v>0</v>
      </c>
      <c r="AA90" s="19">
        <f>AND(AA87 &gt; 0, AA87 &lt;= Inputs!$E$197) * 1</f>
        <v>0</v>
      </c>
      <c r="AB90" s="19">
        <f>AND(AB87 &gt; 0, AB87 &lt;= Inputs!$E$197) * 1</f>
        <v>0</v>
      </c>
      <c r="AC90" s="19">
        <f>AND(AC87 &gt; 0, AC87 &lt;= Inputs!$E$197) * 1</f>
        <v>0</v>
      </c>
      <c r="AD90" s="19">
        <f>AND(AD87 &gt; 0, AD87 &lt;= Inputs!$E$197) * 1</f>
        <v>0</v>
      </c>
      <c r="AE90" s="19">
        <f>AND(AE87 &gt; 0, AE87 &lt;= Inputs!$E$197) * 1</f>
        <v>0</v>
      </c>
      <c r="AF90" s="19">
        <f>AND(AF87 &gt; 0, AF87 &lt;= Inputs!$E$197) * 1</f>
        <v>0</v>
      </c>
      <c r="AG90" s="19">
        <f>AND(AG87 &gt; 0, AG87 &lt;= Inputs!$E$197) * 1</f>
        <v>0</v>
      </c>
      <c r="AH90" s="19">
        <f>AND(AH87 &gt; 0, AH87 &lt;= Inputs!$E$197) * 1</f>
        <v>0</v>
      </c>
      <c r="AI90" s="19">
        <f>AND(AI87 &gt; 0, AI87 &lt;= Inputs!$E$197) * 1</f>
        <v>0</v>
      </c>
      <c r="AJ90" s="19">
        <f>AND(AJ87 &gt; 0, AJ87 &lt;= Inputs!$E$197) * 1</f>
        <v>0</v>
      </c>
      <c r="AK90" s="19">
        <f>AND(AK87 &gt; 0, AK87 &lt;= Inputs!$E$197) * 1</f>
        <v>0</v>
      </c>
      <c r="AL90" s="19">
        <f>AND(AL87 &gt; 0, AL87 &lt;= Inputs!$E$197) * 1</f>
        <v>0</v>
      </c>
      <c r="AM90" s="19">
        <f>AND(AM87 &gt; 0, AM87 &lt;= Inputs!$E$197) * 1</f>
        <v>0</v>
      </c>
      <c r="AN90" s="19">
        <f>AND(AN87 &gt; 0, AN87 &lt;= Inputs!$E$197) * 1</f>
        <v>0</v>
      </c>
      <c r="AO90" s="19">
        <f>AND(AO87 &gt; 0, AO87 &lt;= Inputs!$E$197) * 1</f>
        <v>0</v>
      </c>
      <c r="AP90" s="19">
        <f>AND(AP87 &gt; 0, AP87 &lt;= Inputs!$E$197) * 1</f>
        <v>0</v>
      </c>
      <c r="AQ90" s="19">
        <f>AND(AQ87 &gt; 0, AQ87 &lt;= Inputs!$E$197) * 1</f>
        <v>0</v>
      </c>
      <c r="AR90" s="19">
        <f>AND(AR87 &gt; 0, AR87 &lt;= Inputs!$E$197) * 1</f>
        <v>0</v>
      </c>
      <c r="AS90" s="19">
        <f>AND(AS87 &gt; 0, AS87 &lt;= Inputs!$E$197) * 1</f>
        <v>0</v>
      </c>
      <c r="AT90" s="19">
        <f>AND(AT87 &gt; 0, AT87 &lt;= Inputs!$E$197) * 1</f>
        <v>0</v>
      </c>
      <c r="AU90" s="19">
        <f>AND(AU87 &gt; 0, AU87 &lt;= Inputs!$E$197) * 1</f>
        <v>0</v>
      </c>
      <c r="AV90" s="19">
        <f>AND(AV87 &gt; 0, AV87 &lt;= Inputs!$E$197) * 1</f>
        <v>0</v>
      </c>
      <c r="AW90" s="19">
        <f>AND(AW87 &gt; 0, AW87 &lt;= Inputs!$E$197) * 1</f>
        <v>0</v>
      </c>
      <c r="AX90" s="19">
        <f>AND(AX87 &gt; 0, AX87 &lt;= Inputs!$E$197) * 1</f>
        <v>0</v>
      </c>
      <c r="AY90" s="19">
        <f>AND(AY87 &gt; 0, AY87 &lt;= Inputs!$E$197) * 1</f>
        <v>0</v>
      </c>
      <c r="AZ90" s="19">
        <f>AND(AZ87 &gt; 0, AZ87 &lt;= Inputs!$E$197) * 1</f>
        <v>0</v>
      </c>
      <c r="BA90" s="19">
        <f>AND(BA87 &gt; 0, BA87 &lt;= Inputs!$E$197) * 1</f>
        <v>0</v>
      </c>
      <c r="BB90" s="19">
        <f>AND(BB87 &gt; 0, BB87 &lt;= Inputs!$E$197) * 1</f>
        <v>0</v>
      </c>
      <c r="BC90" s="19">
        <f>AND(BC87 &gt; 0, BC87 &lt;= Inputs!$E$197) * 1</f>
        <v>0</v>
      </c>
      <c r="BD90" s="19">
        <f>AND(BD87 &gt; 0, BD87 &lt;= Inputs!$E$197) * 1</f>
        <v>0</v>
      </c>
      <c r="BE90" s="132"/>
    </row>
    <row r="91" spans="1:57" ht="13">
      <c r="A91" s="426"/>
      <c r="B91" s="132"/>
      <c r="C91" s="21"/>
      <c r="D91" s="430" t="s">
        <v>356</v>
      </c>
      <c r="E91" s="170"/>
      <c r="F91" s="170"/>
      <c r="G91" s="105">
        <f>IFERROR(G90 / SUM(G90:$BD90), 0)</f>
        <v>0</v>
      </c>
      <c r="H91" s="105">
        <f>IFERROR(H90 / SUM(H90:$BD90), 0)</f>
        <v>0</v>
      </c>
      <c r="I91" s="105">
        <f>IFERROR(I90 / SUM(I90:$BD90), 0)</f>
        <v>0</v>
      </c>
      <c r="J91" s="105">
        <f>IFERROR(J90 / SUM(J90:$BD90), 0)</f>
        <v>0</v>
      </c>
      <c r="K91" s="105">
        <f>IFERROR(K90 / SUM(K90:$BD90), 0)</f>
        <v>0.2</v>
      </c>
      <c r="L91" s="105">
        <f>IFERROR(L90 / SUM(L90:$BD90), 0)</f>
        <v>0.25</v>
      </c>
      <c r="M91" s="105">
        <f>IFERROR(M90 / SUM(M90:$BD90), 0)</f>
        <v>0.33333333333333331</v>
      </c>
      <c r="N91" s="105">
        <f>IFERROR(N90 / SUM(N90:$BD90), 0)</f>
        <v>0.5</v>
      </c>
      <c r="O91" s="105">
        <f>IFERROR(O90 / SUM(O90:$BD90), 0)</f>
        <v>1</v>
      </c>
      <c r="P91" s="105">
        <f>IFERROR(P90 / SUM(P90:$BD90), 0)</f>
        <v>0</v>
      </c>
      <c r="Q91" s="105">
        <f>IFERROR(Q90 / SUM(Q90:$BD90), 0)</f>
        <v>0</v>
      </c>
      <c r="R91" s="105">
        <f>IFERROR(R90 / SUM(R90:$BD90), 0)</f>
        <v>0</v>
      </c>
      <c r="S91" s="105">
        <f>IFERROR(S90 / SUM(S90:$BD90), 0)</f>
        <v>0</v>
      </c>
      <c r="T91" s="105">
        <f>IFERROR(T90 / SUM(T90:$BD90), 0)</f>
        <v>0</v>
      </c>
      <c r="U91" s="105">
        <f>IFERROR(U90 / SUM(U90:$BD90), 0)</f>
        <v>0</v>
      </c>
      <c r="V91" s="105">
        <f>IFERROR(V90 / SUM(V90:$BD90), 0)</f>
        <v>0</v>
      </c>
      <c r="W91" s="105">
        <f>IFERROR(W90 / SUM(W90:$BD90), 0)</f>
        <v>0</v>
      </c>
      <c r="X91" s="105">
        <f>IFERROR(X90 / SUM(X90:$BD90), 0)</f>
        <v>0</v>
      </c>
      <c r="Y91" s="105">
        <f>IFERROR(Y90 / SUM(Y90:$BD90), 0)</f>
        <v>0</v>
      </c>
      <c r="Z91" s="105">
        <f>IFERROR(Z90 / SUM(Z90:$BD90), 0)</f>
        <v>0</v>
      </c>
      <c r="AA91" s="105">
        <f>IFERROR(AA90 / SUM(AA90:$BD90), 0)</f>
        <v>0</v>
      </c>
      <c r="AB91" s="105">
        <f>IFERROR(AB90 / SUM(AB90:$BD90), 0)</f>
        <v>0</v>
      </c>
      <c r="AC91" s="105">
        <f>IFERROR(AC90 / SUM(AC90:$BD90), 0)</f>
        <v>0</v>
      </c>
      <c r="AD91" s="105">
        <f>IFERROR(AD90 / SUM(AD90:$BD90), 0)</f>
        <v>0</v>
      </c>
      <c r="AE91" s="105">
        <f>IFERROR(AE90 / SUM(AE90:$BD90), 0)</f>
        <v>0</v>
      </c>
      <c r="AF91" s="105">
        <f>IFERROR(AF90 / SUM(AF90:$BD90), 0)</f>
        <v>0</v>
      </c>
      <c r="AG91" s="105">
        <f>IFERROR(AG90 / SUM(AG90:$BD90), 0)</f>
        <v>0</v>
      </c>
      <c r="AH91" s="105">
        <f>IFERROR(AH90 / SUM(AH90:$BD90), 0)</f>
        <v>0</v>
      </c>
      <c r="AI91" s="105">
        <f>IFERROR(AI90 / SUM(AI90:$BD90), 0)</f>
        <v>0</v>
      </c>
      <c r="AJ91" s="105">
        <f>IFERROR(AJ90 / SUM(AJ90:$BD90), 0)</f>
        <v>0</v>
      </c>
      <c r="AK91" s="105">
        <f>IFERROR(AK90 / SUM(AK90:$BD90), 0)</f>
        <v>0</v>
      </c>
      <c r="AL91" s="105">
        <f>IFERROR(AL90 / SUM(AL90:$BD90), 0)</f>
        <v>0</v>
      </c>
      <c r="AM91" s="105">
        <f>IFERROR(AM90 / SUM(AM90:$BD90), 0)</f>
        <v>0</v>
      </c>
      <c r="AN91" s="105">
        <f>IFERROR(AN90 / SUM(AN90:$BD90), 0)</f>
        <v>0</v>
      </c>
      <c r="AO91" s="105">
        <f>IFERROR(AO90 / SUM(AO90:$BD90), 0)</f>
        <v>0</v>
      </c>
      <c r="AP91" s="105">
        <f>IFERROR(AP90 / SUM(AP90:$BD90), 0)</f>
        <v>0</v>
      </c>
      <c r="AQ91" s="105">
        <f>IFERROR(AQ90 / SUM(AQ90:$BD90), 0)</f>
        <v>0</v>
      </c>
      <c r="AR91" s="105">
        <f>IFERROR(AR90 / SUM(AR90:$BD90), 0)</f>
        <v>0</v>
      </c>
      <c r="AS91" s="105">
        <f>IFERROR(AS90 / SUM(AS90:$BD90), 0)</f>
        <v>0</v>
      </c>
      <c r="AT91" s="105">
        <f>IFERROR(AT90 / SUM(AT90:$BD90), 0)</f>
        <v>0</v>
      </c>
      <c r="AU91" s="105">
        <f>IFERROR(AU90 / SUM(AU90:$BD90), 0)</f>
        <v>0</v>
      </c>
      <c r="AV91" s="105">
        <f>IFERROR(AV90 / SUM(AV90:$BD90), 0)</f>
        <v>0</v>
      </c>
      <c r="AW91" s="105">
        <f>IFERROR(AW90 / SUM(AW90:$BD90), 0)</f>
        <v>0</v>
      </c>
      <c r="AX91" s="105">
        <f>IFERROR(AX90 / SUM(AX90:$BD90), 0)</f>
        <v>0</v>
      </c>
      <c r="AY91" s="105">
        <f>IFERROR(AY90 / SUM(AY90:$BD90), 0)</f>
        <v>0</v>
      </c>
      <c r="AZ91" s="105">
        <f>IFERROR(AZ90 / SUM(AZ90:$BD90), 0)</f>
        <v>0</v>
      </c>
      <c r="BA91" s="105">
        <f>IFERROR(BA90 / SUM(BA90:$BD90), 0)</f>
        <v>0</v>
      </c>
      <c r="BB91" s="105">
        <f>IFERROR(BB90 / SUM(BB90:$BD90), 0)</f>
        <v>0</v>
      </c>
      <c r="BC91" s="105">
        <f>IFERROR(BC90 / SUM(BC90:$BD90), 0)</f>
        <v>0</v>
      </c>
      <c r="BD91" s="105">
        <f>IFERROR(BD90 / SUM(BD90:$BD90), 0)</f>
        <v>0</v>
      </c>
      <c r="BE91" s="132"/>
    </row>
    <row r="92" spans="1:57" ht="13">
      <c r="A92" s="426"/>
      <c r="B92" s="132"/>
      <c r="C92" s="21"/>
      <c r="D92" s="428"/>
      <c r="E92" s="170"/>
      <c r="F92" s="170"/>
      <c r="G92" s="19"/>
      <c r="H92" s="427"/>
      <c r="I92" s="427"/>
      <c r="J92" s="427"/>
      <c r="K92" s="427"/>
      <c r="L92" s="427"/>
      <c r="M92" s="427"/>
      <c r="N92" s="427"/>
      <c r="O92" s="427"/>
      <c r="P92" s="427"/>
      <c r="Q92" s="427"/>
      <c r="R92" s="427"/>
      <c r="S92" s="427"/>
      <c r="T92" s="427"/>
      <c r="U92" s="427"/>
      <c r="V92" s="427"/>
      <c r="W92" s="427"/>
      <c r="X92" s="427"/>
      <c r="Y92" s="427"/>
      <c r="Z92" s="427"/>
      <c r="AA92" s="427"/>
      <c r="AB92" s="427"/>
      <c r="AC92" s="427"/>
      <c r="AD92" s="427"/>
      <c r="AE92" s="427"/>
      <c r="AF92" s="427"/>
      <c r="AG92" s="427"/>
      <c r="AH92" s="427"/>
      <c r="AI92" s="427"/>
      <c r="AJ92" s="427"/>
      <c r="AK92" s="427"/>
      <c r="AL92" s="427"/>
      <c r="AM92" s="427"/>
      <c r="AN92" s="427"/>
      <c r="AO92" s="427"/>
      <c r="AP92" s="427"/>
      <c r="AQ92" s="427"/>
      <c r="AR92" s="427"/>
      <c r="AS92" s="427"/>
      <c r="AT92" s="427"/>
      <c r="AU92" s="427"/>
      <c r="AV92" s="427"/>
      <c r="AW92" s="427"/>
      <c r="AX92" s="427"/>
      <c r="AY92" s="427"/>
      <c r="AZ92" s="427"/>
      <c r="BA92" s="427"/>
      <c r="BB92" s="427"/>
      <c r="BC92" s="427"/>
      <c r="BD92" s="427"/>
      <c r="BE92" s="132"/>
    </row>
    <row r="93" spans="1:57" ht="13">
      <c r="A93" s="426"/>
      <c r="B93" s="132"/>
      <c r="C93" s="21"/>
      <c r="D93" s="428" t="s">
        <v>357</v>
      </c>
      <c r="E93" s="170"/>
      <c r="F93" s="170"/>
      <c r="G93" s="19">
        <f>F99</f>
        <v>0</v>
      </c>
      <c r="H93" s="19">
        <f t="shared" ref="H93:BD93" si="67">G99</f>
        <v>0</v>
      </c>
      <c r="I93" s="19">
        <f t="shared" si="67"/>
        <v>0</v>
      </c>
      <c r="J93" s="19">
        <f t="shared" si="67"/>
        <v>40.575600000000001</v>
      </c>
      <c r="K93" s="19">
        <f t="shared" si="67"/>
        <v>209.37009599999999</v>
      </c>
      <c r="L93" s="19">
        <f t="shared" si="67"/>
        <v>167.4960768</v>
      </c>
      <c r="M93" s="19">
        <f t="shared" si="67"/>
        <v>125.62205760000002</v>
      </c>
      <c r="N93" s="19">
        <f t="shared" si="67"/>
        <v>83.748038400000013</v>
      </c>
      <c r="O93" s="19">
        <f t="shared" si="67"/>
        <v>41.874019200000006</v>
      </c>
      <c r="P93" s="19">
        <f t="shared" si="67"/>
        <v>0</v>
      </c>
      <c r="Q93" s="19">
        <f t="shared" si="67"/>
        <v>0</v>
      </c>
      <c r="R93" s="19">
        <f t="shared" si="67"/>
        <v>0</v>
      </c>
      <c r="S93" s="19">
        <f t="shared" si="67"/>
        <v>0</v>
      </c>
      <c r="T93" s="19">
        <f t="shared" si="67"/>
        <v>0</v>
      </c>
      <c r="U93" s="19">
        <f t="shared" si="67"/>
        <v>0</v>
      </c>
      <c r="V93" s="19">
        <f t="shared" si="67"/>
        <v>0</v>
      </c>
      <c r="W93" s="19">
        <f t="shared" si="67"/>
        <v>0</v>
      </c>
      <c r="X93" s="19">
        <f t="shared" si="67"/>
        <v>0</v>
      </c>
      <c r="Y93" s="19">
        <f t="shared" si="67"/>
        <v>0</v>
      </c>
      <c r="Z93" s="19">
        <f t="shared" si="67"/>
        <v>0</v>
      </c>
      <c r="AA93" s="19">
        <f t="shared" si="67"/>
        <v>0</v>
      </c>
      <c r="AB93" s="19">
        <f t="shared" si="67"/>
        <v>0</v>
      </c>
      <c r="AC93" s="19">
        <f t="shared" si="67"/>
        <v>0</v>
      </c>
      <c r="AD93" s="19">
        <f t="shared" si="67"/>
        <v>0</v>
      </c>
      <c r="AE93" s="19">
        <f t="shared" si="67"/>
        <v>0</v>
      </c>
      <c r="AF93" s="19">
        <f t="shared" si="67"/>
        <v>0</v>
      </c>
      <c r="AG93" s="19">
        <f t="shared" si="67"/>
        <v>0</v>
      </c>
      <c r="AH93" s="19">
        <f t="shared" si="67"/>
        <v>0</v>
      </c>
      <c r="AI93" s="19">
        <f t="shared" si="67"/>
        <v>0</v>
      </c>
      <c r="AJ93" s="19">
        <f t="shared" si="67"/>
        <v>0</v>
      </c>
      <c r="AK93" s="19">
        <f t="shared" si="67"/>
        <v>0</v>
      </c>
      <c r="AL93" s="19">
        <f t="shared" si="67"/>
        <v>0</v>
      </c>
      <c r="AM93" s="19">
        <f t="shared" si="67"/>
        <v>0</v>
      </c>
      <c r="AN93" s="19">
        <f t="shared" si="67"/>
        <v>0</v>
      </c>
      <c r="AO93" s="19">
        <f t="shared" si="67"/>
        <v>0</v>
      </c>
      <c r="AP93" s="19">
        <f t="shared" si="67"/>
        <v>0</v>
      </c>
      <c r="AQ93" s="19">
        <f t="shared" si="67"/>
        <v>0</v>
      </c>
      <c r="AR93" s="19">
        <f t="shared" si="67"/>
        <v>0</v>
      </c>
      <c r="AS93" s="19">
        <f t="shared" si="67"/>
        <v>0</v>
      </c>
      <c r="AT93" s="19">
        <f t="shared" si="67"/>
        <v>0</v>
      </c>
      <c r="AU93" s="19">
        <f t="shared" si="67"/>
        <v>0</v>
      </c>
      <c r="AV93" s="19">
        <f t="shared" si="67"/>
        <v>0</v>
      </c>
      <c r="AW93" s="19">
        <f t="shared" si="67"/>
        <v>0</v>
      </c>
      <c r="AX93" s="19">
        <f t="shared" si="67"/>
        <v>0</v>
      </c>
      <c r="AY93" s="19">
        <f t="shared" si="67"/>
        <v>0</v>
      </c>
      <c r="AZ93" s="19">
        <f t="shared" si="67"/>
        <v>0</v>
      </c>
      <c r="BA93" s="19">
        <f t="shared" si="67"/>
        <v>0</v>
      </c>
      <c r="BB93" s="19">
        <f t="shared" si="67"/>
        <v>0</v>
      </c>
      <c r="BC93" s="19">
        <f t="shared" si="67"/>
        <v>0</v>
      </c>
      <c r="BD93" s="19">
        <f t="shared" si="67"/>
        <v>0</v>
      </c>
      <c r="BE93" s="132"/>
    </row>
    <row r="94" spans="1:57" ht="13">
      <c r="A94" s="426"/>
      <c r="B94" s="132"/>
      <c r="C94" s="21">
        <f t="shared" si="66"/>
        <v>198.19619999999998</v>
      </c>
      <c r="D94" s="428" t="s">
        <v>358</v>
      </c>
      <c r="E94" s="170"/>
      <c r="F94" s="170"/>
      <c r="G94" s="19">
        <f>G89</f>
        <v>0</v>
      </c>
      <c r="H94" s="19">
        <f t="shared" ref="H94:BD94" si="68">H89</f>
        <v>0</v>
      </c>
      <c r="I94" s="19">
        <f t="shared" si="68"/>
        <v>39.015000000000001</v>
      </c>
      <c r="J94" s="19">
        <f t="shared" si="68"/>
        <v>159.18119999999999</v>
      </c>
      <c r="K94" s="19">
        <f t="shared" si="68"/>
        <v>0</v>
      </c>
      <c r="L94" s="19">
        <f t="shared" si="68"/>
        <v>0</v>
      </c>
      <c r="M94" s="19">
        <f t="shared" si="68"/>
        <v>0</v>
      </c>
      <c r="N94" s="19">
        <f t="shared" si="68"/>
        <v>0</v>
      </c>
      <c r="O94" s="19">
        <f t="shared" si="68"/>
        <v>0</v>
      </c>
      <c r="P94" s="19">
        <f t="shared" si="68"/>
        <v>0</v>
      </c>
      <c r="Q94" s="19">
        <f t="shared" si="68"/>
        <v>0</v>
      </c>
      <c r="R94" s="19">
        <f t="shared" si="68"/>
        <v>0</v>
      </c>
      <c r="S94" s="19">
        <f t="shared" si="68"/>
        <v>0</v>
      </c>
      <c r="T94" s="19">
        <f t="shared" si="68"/>
        <v>0</v>
      </c>
      <c r="U94" s="19">
        <f t="shared" si="68"/>
        <v>0</v>
      </c>
      <c r="V94" s="19">
        <f t="shared" si="68"/>
        <v>0</v>
      </c>
      <c r="W94" s="19">
        <f t="shared" si="68"/>
        <v>0</v>
      </c>
      <c r="X94" s="19">
        <f t="shared" si="68"/>
        <v>0</v>
      </c>
      <c r="Y94" s="19">
        <f t="shared" si="68"/>
        <v>0</v>
      </c>
      <c r="Z94" s="19">
        <f t="shared" si="68"/>
        <v>0</v>
      </c>
      <c r="AA94" s="19">
        <f t="shared" si="68"/>
        <v>0</v>
      </c>
      <c r="AB94" s="19">
        <f t="shared" si="68"/>
        <v>0</v>
      </c>
      <c r="AC94" s="19">
        <f t="shared" si="68"/>
        <v>0</v>
      </c>
      <c r="AD94" s="19">
        <f t="shared" si="68"/>
        <v>0</v>
      </c>
      <c r="AE94" s="19">
        <f t="shared" si="68"/>
        <v>0</v>
      </c>
      <c r="AF94" s="19">
        <f t="shared" si="68"/>
        <v>0</v>
      </c>
      <c r="AG94" s="19">
        <f t="shared" si="68"/>
        <v>0</v>
      </c>
      <c r="AH94" s="19">
        <f t="shared" si="68"/>
        <v>0</v>
      </c>
      <c r="AI94" s="19">
        <f t="shared" si="68"/>
        <v>0</v>
      </c>
      <c r="AJ94" s="19">
        <f t="shared" si="68"/>
        <v>0</v>
      </c>
      <c r="AK94" s="19">
        <f t="shared" si="68"/>
        <v>0</v>
      </c>
      <c r="AL94" s="19">
        <f t="shared" si="68"/>
        <v>0</v>
      </c>
      <c r="AM94" s="19">
        <f t="shared" si="68"/>
        <v>0</v>
      </c>
      <c r="AN94" s="19">
        <f t="shared" si="68"/>
        <v>0</v>
      </c>
      <c r="AO94" s="19">
        <f t="shared" si="68"/>
        <v>0</v>
      </c>
      <c r="AP94" s="19">
        <f t="shared" si="68"/>
        <v>0</v>
      </c>
      <c r="AQ94" s="19">
        <f t="shared" si="68"/>
        <v>0</v>
      </c>
      <c r="AR94" s="19">
        <f t="shared" si="68"/>
        <v>0</v>
      </c>
      <c r="AS94" s="19">
        <f t="shared" si="68"/>
        <v>0</v>
      </c>
      <c r="AT94" s="19">
        <f t="shared" si="68"/>
        <v>0</v>
      </c>
      <c r="AU94" s="19">
        <f t="shared" si="68"/>
        <v>0</v>
      </c>
      <c r="AV94" s="19">
        <f t="shared" si="68"/>
        <v>0</v>
      </c>
      <c r="AW94" s="19">
        <f t="shared" si="68"/>
        <v>0</v>
      </c>
      <c r="AX94" s="19">
        <f t="shared" si="68"/>
        <v>0</v>
      </c>
      <c r="AY94" s="19">
        <f t="shared" si="68"/>
        <v>0</v>
      </c>
      <c r="AZ94" s="19">
        <f t="shared" si="68"/>
        <v>0</v>
      </c>
      <c r="BA94" s="19">
        <f t="shared" si="68"/>
        <v>0</v>
      </c>
      <c r="BB94" s="19">
        <f t="shared" si="68"/>
        <v>0</v>
      </c>
      <c r="BC94" s="19">
        <f t="shared" si="68"/>
        <v>0</v>
      </c>
      <c r="BD94" s="19">
        <f t="shared" si="68"/>
        <v>0</v>
      </c>
      <c r="BE94" s="132"/>
    </row>
    <row r="95" spans="1:57" ht="13">
      <c r="A95" s="426"/>
      <c r="B95" s="132"/>
      <c r="C95" s="21">
        <f t="shared" si="66"/>
        <v>61.422719040000004</v>
      </c>
      <c r="D95" s="428" t="s">
        <v>359</v>
      </c>
      <c r="E95" s="170"/>
      <c r="F95" s="170"/>
      <c r="G95" s="19">
        <f>(G93 + (G94 / 2)) * (Inputs!$E$198 + Inputs!$E$202)</f>
        <v>0</v>
      </c>
      <c r="H95" s="19">
        <f>(H93 + (H94 / 2)) * (Inputs!$E$198 + Inputs!$E$202)</f>
        <v>0</v>
      </c>
      <c r="I95" s="19">
        <f>(I93 + (I94 / 2)) * (Inputs!$E$198 + Inputs!$E$202)</f>
        <v>1.5606</v>
      </c>
      <c r="J95" s="19">
        <f>(J93 + (J94 / 2)) * (Inputs!$E$198 + Inputs!$E$202)</f>
        <v>9.6132960000000001</v>
      </c>
      <c r="K95" s="19">
        <f>(K93 + (K94 / 2)) * (Inputs!$E$198 + Inputs!$E$202)</f>
        <v>16.74960768</v>
      </c>
      <c r="L95" s="19">
        <f>(L93 + (L94 / 2)) * (Inputs!$E$198 + Inputs!$E$202)</f>
        <v>13.399686144</v>
      </c>
      <c r="M95" s="19">
        <f>(M93 + (M94 / 2)) * (Inputs!$E$198 + Inputs!$E$202)</f>
        <v>10.049764608000002</v>
      </c>
      <c r="N95" s="19">
        <f>(N93 + (N94 / 2)) * (Inputs!$E$198 + Inputs!$E$202)</f>
        <v>6.6998430720000011</v>
      </c>
      <c r="O95" s="19">
        <f>(O93 + (O94 / 2)) * (Inputs!$E$198 + Inputs!$E$202)</f>
        <v>3.3499215360000005</v>
      </c>
      <c r="P95" s="19">
        <f>(P93 + (P94 / 2)) * (Inputs!$E$198 + Inputs!$E$202)</f>
        <v>0</v>
      </c>
      <c r="Q95" s="19">
        <f>(Q93 + (Q94 / 2)) * (Inputs!$E$198 + Inputs!$E$202)</f>
        <v>0</v>
      </c>
      <c r="R95" s="19">
        <f>(R93 + (R94 / 2)) * (Inputs!$E$198 + Inputs!$E$202)</f>
        <v>0</v>
      </c>
      <c r="S95" s="19">
        <f>(S93 + (S94 / 2)) * (Inputs!$E$198 + Inputs!$E$202)</f>
        <v>0</v>
      </c>
      <c r="T95" s="19">
        <f>(T93 + (T94 / 2)) * (Inputs!$E$198 + Inputs!$E$202)</f>
        <v>0</v>
      </c>
      <c r="U95" s="19">
        <f>(U93 + (U94 / 2)) * (Inputs!$E$198 + Inputs!$E$202)</f>
        <v>0</v>
      </c>
      <c r="V95" s="19">
        <f>(V93 + (V94 / 2)) * (Inputs!$E$198 + Inputs!$E$202)</f>
        <v>0</v>
      </c>
      <c r="W95" s="19">
        <f>(W93 + (W94 / 2)) * (Inputs!$E$198 + Inputs!$E$202)</f>
        <v>0</v>
      </c>
      <c r="X95" s="19">
        <f>(X93 + (X94 / 2)) * (Inputs!$E$198 + Inputs!$E$202)</f>
        <v>0</v>
      </c>
      <c r="Y95" s="19">
        <f>(Y93 + (Y94 / 2)) * (Inputs!$E$198 + Inputs!$E$202)</f>
        <v>0</v>
      </c>
      <c r="Z95" s="19">
        <f>(Z93 + (Z94 / 2)) * (Inputs!$E$198 + Inputs!$E$202)</f>
        <v>0</v>
      </c>
      <c r="AA95" s="19">
        <f>(AA93 + (AA94 / 2)) * (Inputs!$E$198 + Inputs!$E$202)</f>
        <v>0</v>
      </c>
      <c r="AB95" s="19">
        <f>(AB93 + (AB94 / 2)) * (Inputs!$E$198 + Inputs!$E$202)</f>
        <v>0</v>
      </c>
      <c r="AC95" s="19">
        <f>(AC93 + (AC94 / 2)) * (Inputs!$E$198 + Inputs!$E$202)</f>
        <v>0</v>
      </c>
      <c r="AD95" s="19">
        <f>(AD93 + (AD94 / 2)) * (Inputs!$E$198 + Inputs!$E$202)</f>
        <v>0</v>
      </c>
      <c r="AE95" s="19">
        <f>(AE93 + (AE94 / 2)) * (Inputs!$E$198 + Inputs!$E$202)</f>
        <v>0</v>
      </c>
      <c r="AF95" s="19">
        <f>(AF93 + (AF94 / 2)) * (Inputs!$E$198 + Inputs!$E$202)</f>
        <v>0</v>
      </c>
      <c r="AG95" s="19">
        <f>(AG93 + (AG94 / 2)) * (Inputs!$E$198 + Inputs!$E$202)</f>
        <v>0</v>
      </c>
      <c r="AH95" s="19">
        <f>(AH93 + (AH94 / 2)) * (Inputs!$E$198 + Inputs!$E$202)</f>
        <v>0</v>
      </c>
      <c r="AI95" s="19">
        <f>(AI93 + (AI94 / 2)) * (Inputs!$E$198 + Inputs!$E$202)</f>
        <v>0</v>
      </c>
      <c r="AJ95" s="19">
        <f>(AJ93 + (AJ94 / 2)) * (Inputs!$E$198 + Inputs!$E$202)</f>
        <v>0</v>
      </c>
      <c r="AK95" s="19">
        <f>(AK93 + (AK94 / 2)) * (Inputs!$E$198 + Inputs!$E$202)</f>
        <v>0</v>
      </c>
      <c r="AL95" s="19">
        <f>(AL93 + (AL94 / 2)) * (Inputs!$E$198 + Inputs!$E$202)</f>
        <v>0</v>
      </c>
      <c r="AM95" s="19">
        <f>(AM93 + (AM94 / 2)) * (Inputs!$E$198 + Inputs!$E$202)</f>
        <v>0</v>
      </c>
      <c r="AN95" s="19">
        <f>(AN93 + (AN94 / 2)) * (Inputs!$E$198 + Inputs!$E$202)</f>
        <v>0</v>
      </c>
      <c r="AO95" s="19">
        <f>(AO93 + (AO94 / 2)) * (Inputs!$E$198 + Inputs!$E$202)</f>
        <v>0</v>
      </c>
      <c r="AP95" s="19">
        <f>(AP93 + (AP94 / 2)) * (Inputs!$E$198 + Inputs!$E$202)</f>
        <v>0</v>
      </c>
      <c r="AQ95" s="19">
        <f>(AQ93 + (AQ94 / 2)) * (Inputs!$E$198 + Inputs!$E$202)</f>
        <v>0</v>
      </c>
      <c r="AR95" s="19">
        <f>(AR93 + (AR94 / 2)) * (Inputs!$E$198 + Inputs!$E$202)</f>
        <v>0</v>
      </c>
      <c r="AS95" s="19">
        <f>(AS93 + (AS94 / 2)) * (Inputs!$E$198 + Inputs!$E$202)</f>
        <v>0</v>
      </c>
      <c r="AT95" s="19">
        <f>(AT93 + (AT94 / 2)) * (Inputs!$E$198 + Inputs!$E$202)</f>
        <v>0</v>
      </c>
      <c r="AU95" s="19">
        <f>(AU93 + (AU94 / 2)) * (Inputs!$E$198 + Inputs!$E$202)</f>
        <v>0</v>
      </c>
      <c r="AV95" s="19">
        <f>(AV93 + (AV94 / 2)) * (Inputs!$E$198 + Inputs!$E$202)</f>
        <v>0</v>
      </c>
      <c r="AW95" s="19">
        <f>(AW93 + (AW94 / 2)) * (Inputs!$E$198 + Inputs!$E$202)</f>
        <v>0</v>
      </c>
      <c r="AX95" s="19">
        <f>(AX93 + (AX94 / 2)) * (Inputs!$E$198 + Inputs!$E$202)</f>
        <v>0</v>
      </c>
      <c r="AY95" s="19">
        <f>(AY93 + (AY94 / 2)) * (Inputs!$E$198 + Inputs!$E$202)</f>
        <v>0</v>
      </c>
      <c r="AZ95" s="19">
        <f>(AZ93 + (AZ94 / 2)) * (Inputs!$E$198 + Inputs!$E$202)</f>
        <v>0</v>
      </c>
      <c r="BA95" s="19">
        <f>(BA93 + (BA94 / 2)) * (Inputs!$E$198 + Inputs!$E$202)</f>
        <v>0</v>
      </c>
      <c r="BB95" s="19">
        <f>(BB93 + (BB94 / 2)) * (Inputs!$E$198 + Inputs!$E$202)</f>
        <v>0</v>
      </c>
      <c r="BC95" s="19">
        <f>(BC93 + (BC94 / 2)) * (Inputs!$E$198 + Inputs!$E$202)</f>
        <v>0</v>
      </c>
      <c r="BD95" s="19">
        <f>(BD93 + (BD94 / 2)) * (Inputs!$E$198 + Inputs!$E$202)</f>
        <v>0</v>
      </c>
      <c r="BE95" s="132"/>
    </row>
    <row r="96" spans="1:57" ht="13">
      <c r="A96" s="426"/>
      <c r="B96" s="132"/>
      <c r="C96" s="21">
        <f t="shared" si="66"/>
        <v>50.248823040000005</v>
      </c>
      <c r="D96" s="428" t="s">
        <v>360</v>
      </c>
      <c r="E96" s="170"/>
      <c r="F96" s="170"/>
      <c r="G96" s="19">
        <f>G95 * G90</f>
        <v>0</v>
      </c>
      <c r="H96" s="19">
        <f t="shared" ref="H96:BD96" si="69">H95 * H90</f>
        <v>0</v>
      </c>
      <c r="I96" s="19">
        <f t="shared" si="69"/>
        <v>0</v>
      </c>
      <c r="J96" s="19">
        <f t="shared" si="69"/>
        <v>0</v>
      </c>
      <c r="K96" s="19">
        <f t="shared" si="69"/>
        <v>16.74960768</v>
      </c>
      <c r="L96" s="19">
        <f t="shared" si="69"/>
        <v>13.399686144</v>
      </c>
      <c r="M96" s="19">
        <f t="shared" si="69"/>
        <v>10.049764608000002</v>
      </c>
      <c r="N96" s="19">
        <f t="shared" si="69"/>
        <v>6.6998430720000011</v>
      </c>
      <c r="O96" s="19">
        <f t="shared" si="69"/>
        <v>3.3499215360000005</v>
      </c>
      <c r="P96" s="19">
        <f t="shared" si="69"/>
        <v>0</v>
      </c>
      <c r="Q96" s="19">
        <f t="shared" si="69"/>
        <v>0</v>
      </c>
      <c r="R96" s="19">
        <f t="shared" si="69"/>
        <v>0</v>
      </c>
      <c r="S96" s="19">
        <f t="shared" si="69"/>
        <v>0</v>
      </c>
      <c r="T96" s="19">
        <f t="shared" si="69"/>
        <v>0</v>
      </c>
      <c r="U96" s="19">
        <f t="shared" si="69"/>
        <v>0</v>
      </c>
      <c r="V96" s="19">
        <f t="shared" si="69"/>
        <v>0</v>
      </c>
      <c r="W96" s="19">
        <f t="shared" si="69"/>
        <v>0</v>
      </c>
      <c r="X96" s="19">
        <f t="shared" si="69"/>
        <v>0</v>
      </c>
      <c r="Y96" s="19">
        <f t="shared" si="69"/>
        <v>0</v>
      </c>
      <c r="Z96" s="19">
        <f t="shared" si="69"/>
        <v>0</v>
      </c>
      <c r="AA96" s="19">
        <f t="shared" si="69"/>
        <v>0</v>
      </c>
      <c r="AB96" s="19">
        <f t="shared" si="69"/>
        <v>0</v>
      </c>
      <c r="AC96" s="19">
        <f t="shared" si="69"/>
        <v>0</v>
      </c>
      <c r="AD96" s="19">
        <f t="shared" si="69"/>
        <v>0</v>
      </c>
      <c r="AE96" s="19">
        <f t="shared" si="69"/>
        <v>0</v>
      </c>
      <c r="AF96" s="19">
        <f t="shared" si="69"/>
        <v>0</v>
      </c>
      <c r="AG96" s="19">
        <f t="shared" si="69"/>
        <v>0</v>
      </c>
      <c r="AH96" s="19">
        <f t="shared" si="69"/>
        <v>0</v>
      </c>
      <c r="AI96" s="19">
        <f t="shared" si="69"/>
        <v>0</v>
      </c>
      <c r="AJ96" s="19">
        <f t="shared" si="69"/>
        <v>0</v>
      </c>
      <c r="AK96" s="19">
        <f t="shared" si="69"/>
        <v>0</v>
      </c>
      <c r="AL96" s="19">
        <f t="shared" si="69"/>
        <v>0</v>
      </c>
      <c r="AM96" s="19">
        <f t="shared" si="69"/>
        <v>0</v>
      </c>
      <c r="AN96" s="19">
        <f t="shared" si="69"/>
        <v>0</v>
      </c>
      <c r="AO96" s="19">
        <f t="shared" si="69"/>
        <v>0</v>
      </c>
      <c r="AP96" s="19">
        <f t="shared" si="69"/>
        <v>0</v>
      </c>
      <c r="AQ96" s="19">
        <f t="shared" si="69"/>
        <v>0</v>
      </c>
      <c r="AR96" s="19">
        <f t="shared" si="69"/>
        <v>0</v>
      </c>
      <c r="AS96" s="19">
        <f t="shared" si="69"/>
        <v>0</v>
      </c>
      <c r="AT96" s="19">
        <f t="shared" si="69"/>
        <v>0</v>
      </c>
      <c r="AU96" s="19">
        <f t="shared" si="69"/>
        <v>0</v>
      </c>
      <c r="AV96" s="19">
        <f t="shared" si="69"/>
        <v>0</v>
      </c>
      <c r="AW96" s="19">
        <f t="shared" si="69"/>
        <v>0</v>
      </c>
      <c r="AX96" s="19">
        <f t="shared" si="69"/>
        <v>0</v>
      </c>
      <c r="AY96" s="19">
        <f t="shared" si="69"/>
        <v>0</v>
      </c>
      <c r="AZ96" s="19">
        <f t="shared" si="69"/>
        <v>0</v>
      </c>
      <c r="BA96" s="19">
        <f t="shared" si="69"/>
        <v>0</v>
      </c>
      <c r="BB96" s="19">
        <f t="shared" si="69"/>
        <v>0</v>
      </c>
      <c r="BC96" s="19">
        <f t="shared" si="69"/>
        <v>0</v>
      </c>
      <c r="BD96" s="19">
        <f t="shared" si="69"/>
        <v>0</v>
      </c>
      <c r="BE96" s="132"/>
    </row>
    <row r="97" spans="1:57" ht="13">
      <c r="A97" s="426"/>
      <c r="B97" s="132"/>
      <c r="C97" s="21"/>
      <c r="D97" s="428" t="s">
        <v>361</v>
      </c>
      <c r="E97" s="170"/>
      <c r="F97" s="170"/>
      <c r="G97" s="19">
        <f>G93 + G94 + G95 - G96</f>
        <v>0</v>
      </c>
      <c r="H97" s="19">
        <f t="shared" ref="H97:BD97" si="70">H93 + H94 + H95 - H96</f>
        <v>0</v>
      </c>
      <c r="I97" s="19">
        <f t="shared" si="70"/>
        <v>40.575600000000001</v>
      </c>
      <c r="J97" s="19">
        <f t="shared" si="70"/>
        <v>209.37009599999999</v>
      </c>
      <c r="K97" s="19">
        <f t="shared" si="70"/>
        <v>209.37009599999999</v>
      </c>
      <c r="L97" s="19">
        <f t="shared" si="70"/>
        <v>167.49607680000003</v>
      </c>
      <c r="M97" s="19">
        <f t="shared" si="70"/>
        <v>125.62205760000001</v>
      </c>
      <c r="N97" s="19">
        <f t="shared" si="70"/>
        <v>83.748038400000013</v>
      </c>
      <c r="O97" s="19">
        <f t="shared" si="70"/>
        <v>41.874019200000006</v>
      </c>
      <c r="P97" s="19">
        <f t="shared" si="70"/>
        <v>0</v>
      </c>
      <c r="Q97" s="19">
        <f t="shared" si="70"/>
        <v>0</v>
      </c>
      <c r="R97" s="19">
        <f t="shared" si="70"/>
        <v>0</v>
      </c>
      <c r="S97" s="19">
        <f t="shared" si="70"/>
        <v>0</v>
      </c>
      <c r="T97" s="19">
        <f t="shared" si="70"/>
        <v>0</v>
      </c>
      <c r="U97" s="19">
        <f t="shared" si="70"/>
        <v>0</v>
      </c>
      <c r="V97" s="19">
        <f t="shared" si="70"/>
        <v>0</v>
      </c>
      <c r="W97" s="19">
        <f t="shared" si="70"/>
        <v>0</v>
      </c>
      <c r="X97" s="19">
        <f t="shared" si="70"/>
        <v>0</v>
      </c>
      <c r="Y97" s="19">
        <f t="shared" si="70"/>
        <v>0</v>
      </c>
      <c r="Z97" s="19">
        <f t="shared" si="70"/>
        <v>0</v>
      </c>
      <c r="AA97" s="19">
        <f t="shared" si="70"/>
        <v>0</v>
      </c>
      <c r="AB97" s="19">
        <f t="shared" si="70"/>
        <v>0</v>
      </c>
      <c r="AC97" s="19">
        <f t="shared" si="70"/>
        <v>0</v>
      </c>
      <c r="AD97" s="19">
        <f t="shared" si="70"/>
        <v>0</v>
      </c>
      <c r="AE97" s="19">
        <f t="shared" si="70"/>
        <v>0</v>
      </c>
      <c r="AF97" s="19">
        <f t="shared" si="70"/>
        <v>0</v>
      </c>
      <c r="AG97" s="19">
        <f t="shared" si="70"/>
        <v>0</v>
      </c>
      <c r="AH97" s="19">
        <f t="shared" si="70"/>
        <v>0</v>
      </c>
      <c r="AI97" s="19">
        <f t="shared" si="70"/>
        <v>0</v>
      </c>
      <c r="AJ97" s="19">
        <f t="shared" si="70"/>
        <v>0</v>
      </c>
      <c r="AK97" s="19">
        <f t="shared" si="70"/>
        <v>0</v>
      </c>
      <c r="AL97" s="19">
        <f t="shared" si="70"/>
        <v>0</v>
      </c>
      <c r="AM97" s="19">
        <f t="shared" si="70"/>
        <v>0</v>
      </c>
      <c r="AN97" s="19">
        <f t="shared" si="70"/>
        <v>0</v>
      </c>
      <c r="AO97" s="19">
        <f t="shared" si="70"/>
        <v>0</v>
      </c>
      <c r="AP97" s="19">
        <f t="shared" si="70"/>
        <v>0</v>
      </c>
      <c r="AQ97" s="19">
        <f t="shared" si="70"/>
        <v>0</v>
      </c>
      <c r="AR97" s="19">
        <f t="shared" si="70"/>
        <v>0</v>
      </c>
      <c r="AS97" s="19">
        <f t="shared" si="70"/>
        <v>0</v>
      </c>
      <c r="AT97" s="19">
        <f t="shared" si="70"/>
        <v>0</v>
      </c>
      <c r="AU97" s="19">
        <f t="shared" si="70"/>
        <v>0</v>
      </c>
      <c r="AV97" s="19">
        <f t="shared" si="70"/>
        <v>0</v>
      </c>
      <c r="AW97" s="19">
        <f t="shared" si="70"/>
        <v>0</v>
      </c>
      <c r="AX97" s="19">
        <f t="shared" si="70"/>
        <v>0</v>
      </c>
      <c r="AY97" s="19">
        <f t="shared" si="70"/>
        <v>0</v>
      </c>
      <c r="AZ97" s="19">
        <f t="shared" si="70"/>
        <v>0</v>
      </c>
      <c r="BA97" s="19">
        <f t="shared" si="70"/>
        <v>0</v>
      </c>
      <c r="BB97" s="19">
        <f t="shared" si="70"/>
        <v>0</v>
      </c>
      <c r="BC97" s="19">
        <f t="shared" si="70"/>
        <v>0</v>
      </c>
      <c r="BD97" s="19">
        <f t="shared" si="70"/>
        <v>0</v>
      </c>
      <c r="BE97" s="132"/>
    </row>
    <row r="98" spans="1:57" ht="13">
      <c r="A98" s="426"/>
      <c r="B98" s="132"/>
      <c r="C98" s="21">
        <f t="shared" si="66"/>
        <v>209.37009600000005</v>
      </c>
      <c r="D98" s="428" t="s">
        <v>362</v>
      </c>
      <c r="E98" s="170"/>
      <c r="F98" s="170"/>
      <c r="G98" s="19">
        <f>G97 * G91</f>
        <v>0</v>
      </c>
      <c r="H98" s="19">
        <f t="shared" ref="H98:BD98" si="71">H97 * H91</f>
        <v>0</v>
      </c>
      <c r="I98" s="19">
        <f t="shared" si="71"/>
        <v>0</v>
      </c>
      <c r="J98" s="19">
        <f t="shared" si="71"/>
        <v>0</v>
      </c>
      <c r="K98" s="19">
        <f t="shared" si="71"/>
        <v>41.874019199999999</v>
      </c>
      <c r="L98" s="19">
        <f t="shared" si="71"/>
        <v>41.874019200000006</v>
      </c>
      <c r="M98" s="19">
        <f t="shared" si="71"/>
        <v>41.874019199999999</v>
      </c>
      <c r="N98" s="19">
        <f t="shared" si="71"/>
        <v>41.874019200000006</v>
      </c>
      <c r="O98" s="19">
        <f t="shared" si="71"/>
        <v>41.874019200000006</v>
      </c>
      <c r="P98" s="19">
        <f t="shared" si="71"/>
        <v>0</v>
      </c>
      <c r="Q98" s="19">
        <f t="shared" si="71"/>
        <v>0</v>
      </c>
      <c r="R98" s="19">
        <f t="shared" si="71"/>
        <v>0</v>
      </c>
      <c r="S98" s="19">
        <f t="shared" si="71"/>
        <v>0</v>
      </c>
      <c r="T98" s="19">
        <f t="shared" si="71"/>
        <v>0</v>
      </c>
      <c r="U98" s="19">
        <f t="shared" si="71"/>
        <v>0</v>
      </c>
      <c r="V98" s="19">
        <f t="shared" si="71"/>
        <v>0</v>
      </c>
      <c r="W98" s="19">
        <f t="shared" si="71"/>
        <v>0</v>
      </c>
      <c r="X98" s="19">
        <f t="shared" si="71"/>
        <v>0</v>
      </c>
      <c r="Y98" s="19">
        <f t="shared" si="71"/>
        <v>0</v>
      </c>
      <c r="Z98" s="19">
        <f t="shared" si="71"/>
        <v>0</v>
      </c>
      <c r="AA98" s="19">
        <f t="shared" si="71"/>
        <v>0</v>
      </c>
      <c r="AB98" s="19">
        <f t="shared" si="71"/>
        <v>0</v>
      </c>
      <c r="AC98" s="19">
        <f t="shared" si="71"/>
        <v>0</v>
      </c>
      <c r="AD98" s="19">
        <f t="shared" si="71"/>
        <v>0</v>
      </c>
      <c r="AE98" s="19">
        <f t="shared" si="71"/>
        <v>0</v>
      </c>
      <c r="AF98" s="19">
        <f t="shared" si="71"/>
        <v>0</v>
      </c>
      <c r="AG98" s="19">
        <f t="shared" si="71"/>
        <v>0</v>
      </c>
      <c r="AH98" s="19">
        <f t="shared" si="71"/>
        <v>0</v>
      </c>
      <c r="AI98" s="19">
        <f t="shared" si="71"/>
        <v>0</v>
      </c>
      <c r="AJ98" s="19">
        <f t="shared" si="71"/>
        <v>0</v>
      </c>
      <c r="AK98" s="19">
        <f t="shared" si="71"/>
        <v>0</v>
      </c>
      <c r="AL98" s="19">
        <f t="shared" si="71"/>
        <v>0</v>
      </c>
      <c r="AM98" s="19">
        <f t="shared" si="71"/>
        <v>0</v>
      </c>
      <c r="AN98" s="19">
        <f t="shared" si="71"/>
        <v>0</v>
      </c>
      <c r="AO98" s="19">
        <f t="shared" si="71"/>
        <v>0</v>
      </c>
      <c r="AP98" s="19">
        <f t="shared" si="71"/>
        <v>0</v>
      </c>
      <c r="AQ98" s="19">
        <f t="shared" si="71"/>
        <v>0</v>
      </c>
      <c r="AR98" s="19">
        <f t="shared" si="71"/>
        <v>0</v>
      </c>
      <c r="AS98" s="19">
        <f t="shared" si="71"/>
        <v>0</v>
      </c>
      <c r="AT98" s="19">
        <f t="shared" si="71"/>
        <v>0</v>
      </c>
      <c r="AU98" s="19">
        <f t="shared" si="71"/>
        <v>0</v>
      </c>
      <c r="AV98" s="19">
        <f t="shared" si="71"/>
        <v>0</v>
      </c>
      <c r="AW98" s="19">
        <f t="shared" si="71"/>
        <v>0</v>
      </c>
      <c r="AX98" s="19">
        <f t="shared" si="71"/>
        <v>0</v>
      </c>
      <c r="AY98" s="19">
        <f t="shared" si="71"/>
        <v>0</v>
      </c>
      <c r="AZ98" s="19">
        <f t="shared" si="71"/>
        <v>0</v>
      </c>
      <c r="BA98" s="19">
        <f t="shared" si="71"/>
        <v>0</v>
      </c>
      <c r="BB98" s="19">
        <f t="shared" si="71"/>
        <v>0</v>
      </c>
      <c r="BC98" s="19">
        <f t="shared" si="71"/>
        <v>0</v>
      </c>
      <c r="BD98" s="19">
        <f t="shared" si="71"/>
        <v>0</v>
      </c>
      <c r="BE98" s="132"/>
    </row>
    <row r="99" spans="1:57" ht="13">
      <c r="A99" s="426"/>
      <c r="B99" s="132"/>
      <c r="C99" s="21"/>
      <c r="D99" s="428" t="s">
        <v>363</v>
      </c>
      <c r="E99" s="170"/>
      <c r="F99" s="170"/>
      <c r="G99" s="19">
        <f>G97 - G98</f>
        <v>0</v>
      </c>
      <c r="H99" s="19">
        <f t="shared" ref="H99:BD99" si="72">H97 - H98</f>
        <v>0</v>
      </c>
      <c r="I99" s="19">
        <f t="shared" si="72"/>
        <v>40.575600000000001</v>
      </c>
      <c r="J99" s="19">
        <f t="shared" si="72"/>
        <v>209.37009599999999</v>
      </c>
      <c r="K99" s="19">
        <f t="shared" si="72"/>
        <v>167.4960768</v>
      </c>
      <c r="L99" s="19">
        <f t="shared" si="72"/>
        <v>125.62205760000002</v>
      </c>
      <c r="M99" s="19">
        <f t="shared" si="72"/>
        <v>83.748038400000013</v>
      </c>
      <c r="N99" s="19">
        <f t="shared" si="72"/>
        <v>41.874019200000006</v>
      </c>
      <c r="O99" s="19">
        <f t="shared" si="72"/>
        <v>0</v>
      </c>
      <c r="P99" s="19">
        <f t="shared" si="72"/>
        <v>0</v>
      </c>
      <c r="Q99" s="19">
        <f t="shared" si="72"/>
        <v>0</v>
      </c>
      <c r="R99" s="19">
        <f t="shared" si="72"/>
        <v>0</v>
      </c>
      <c r="S99" s="19">
        <f t="shared" si="72"/>
        <v>0</v>
      </c>
      <c r="T99" s="19">
        <f t="shared" si="72"/>
        <v>0</v>
      </c>
      <c r="U99" s="19">
        <f t="shared" si="72"/>
        <v>0</v>
      </c>
      <c r="V99" s="19">
        <f t="shared" si="72"/>
        <v>0</v>
      </c>
      <c r="W99" s="19">
        <f t="shared" si="72"/>
        <v>0</v>
      </c>
      <c r="X99" s="19">
        <f t="shared" si="72"/>
        <v>0</v>
      </c>
      <c r="Y99" s="19">
        <f t="shared" si="72"/>
        <v>0</v>
      </c>
      <c r="Z99" s="19">
        <f t="shared" si="72"/>
        <v>0</v>
      </c>
      <c r="AA99" s="19">
        <f t="shared" si="72"/>
        <v>0</v>
      </c>
      <c r="AB99" s="19">
        <f t="shared" si="72"/>
        <v>0</v>
      </c>
      <c r="AC99" s="19">
        <f t="shared" si="72"/>
        <v>0</v>
      </c>
      <c r="AD99" s="19">
        <f t="shared" si="72"/>
        <v>0</v>
      </c>
      <c r="AE99" s="19">
        <f t="shared" si="72"/>
        <v>0</v>
      </c>
      <c r="AF99" s="19">
        <f t="shared" si="72"/>
        <v>0</v>
      </c>
      <c r="AG99" s="19">
        <f t="shared" si="72"/>
        <v>0</v>
      </c>
      <c r="AH99" s="19">
        <f t="shared" si="72"/>
        <v>0</v>
      </c>
      <c r="AI99" s="19">
        <f t="shared" si="72"/>
        <v>0</v>
      </c>
      <c r="AJ99" s="19">
        <f t="shared" si="72"/>
        <v>0</v>
      </c>
      <c r="AK99" s="19">
        <f t="shared" si="72"/>
        <v>0</v>
      </c>
      <c r="AL99" s="19">
        <f t="shared" si="72"/>
        <v>0</v>
      </c>
      <c r="AM99" s="19">
        <f t="shared" si="72"/>
        <v>0</v>
      </c>
      <c r="AN99" s="19">
        <f t="shared" si="72"/>
        <v>0</v>
      </c>
      <c r="AO99" s="19">
        <f t="shared" si="72"/>
        <v>0</v>
      </c>
      <c r="AP99" s="19">
        <f t="shared" si="72"/>
        <v>0</v>
      </c>
      <c r="AQ99" s="19">
        <f t="shared" si="72"/>
        <v>0</v>
      </c>
      <c r="AR99" s="19">
        <f t="shared" si="72"/>
        <v>0</v>
      </c>
      <c r="AS99" s="19">
        <f t="shared" si="72"/>
        <v>0</v>
      </c>
      <c r="AT99" s="19">
        <f t="shared" si="72"/>
        <v>0</v>
      </c>
      <c r="AU99" s="19">
        <f t="shared" si="72"/>
        <v>0</v>
      </c>
      <c r="AV99" s="19">
        <f t="shared" si="72"/>
        <v>0</v>
      </c>
      <c r="AW99" s="19">
        <f t="shared" si="72"/>
        <v>0</v>
      </c>
      <c r="AX99" s="19">
        <f t="shared" si="72"/>
        <v>0</v>
      </c>
      <c r="AY99" s="19">
        <f t="shared" si="72"/>
        <v>0</v>
      </c>
      <c r="AZ99" s="19">
        <f t="shared" si="72"/>
        <v>0</v>
      </c>
      <c r="BA99" s="19">
        <f t="shared" si="72"/>
        <v>0</v>
      </c>
      <c r="BB99" s="19">
        <f t="shared" si="72"/>
        <v>0</v>
      </c>
      <c r="BC99" s="19">
        <f t="shared" si="72"/>
        <v>0</v>
      </c>
      <c r="BD99" s="19">
        <f t="shared" si="72"/>
        <v>0</v>
      </c>
      <c r="BE99" s="132"/>
    </row>
    <row r="100" spans="1:57" ht="13">
      <c r="A100" s="426"/>
      <c r="B100" s="132"/>
      <c r="C100" s="21"/>
      <c r="D100" s="428"/>
      <c r="E100" s="170"/>
      <c r="F100" s="170"/>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32"/>
    </row>
    <row r="101" spans="1:57" ht="15" customHeight="1">
      <c r="C101" s="21">
        <f>SUM(G101:BD101)</f>
        <v>61.422719040000068</v>
      </c>
      <c r="D101" s="11" t="s">
        <v>364</v>
      </c>
      <c r="E101" s="18" t="s">
        <v>333</v>
      </c>
      <c r="G101" s="21">
        <f>-G94 + G96 + G98</f>
        <v>0</v>
      </c>
      <c r="H101" s="21">
        <f t="shared" ref="H101:BD101" si="73">-H94 + H96 + H98</f>
        <v>0</v>
      </c>
      <c r="I101" s="21">
        <f t="shared" si="73"/>
        <v>-39.015000000000001</v>
      </c>
      <c r="J101" s="21">
        <f t="shared" si="73"/>
        <v>-159.18119999999999</v>
      </c>
      <c r="K101" s="21">
        <f t="shared" si="73"/>
        <v>58.623626880000003</v>
      </c>
      <c r="L101" s="21">
        <f t="shared" si="73"/>
        <v>55.273705344000007</v>
      </c>
      <c r="M101" s="21">
        <f t="shared" si="73"/>
        <v>51.923783808000003</v>
      </c>
      <c r="N101" s="21">
        <f t="shared" si="73"/>
        <v>48.573862272000007</v>
      </c>
      <c r="O101" s="21">
        <f t="shared" si="73"/>
        <v>45.22394073600001</v>
      </c>
      <c r="P101" s="21">
        <f t="shared" si="73"/>
        <v>0</v>
      </c>
      <c r="Q101" s="21">
        <f t="shared" si="73"/>
        <v>0</v>
      </c>
      <c r="R101" s="21">
        <f t="shared" si="73"/>
        <v>0</v>
      </c>
      <c r="S101" s="21">
        <f t="shared" si="73"/>
        <v>0</v>
      </c>
      <c r="T101" s="21">
        <f t="shared" si="73"/>
        <v>0</v>
      </c>
      <c r="U101" s="21">
        <f t="shared" si="73"/>
        <v>0</v>
      </c>
      <c r="V101" s="21">
        <f t="shared" si="73"/>
        <v>0</v>
      </c>
      <c r="W101" s="21">
        <f t="shared" si="73"/>
        <v>0</v>
      </c>
      <c r="X101" s="21">
        <f t="shared" si="73"/>
        <v>0</v>
      </c>
      <c r="Y101" s="21">
        <f t="shared" si="73"/>
        <v>0</v>
      </c>
      <c r="Z101" s="21">
        <f t="shared" si="73"/>
        <v>0</v>
      </c>
      <c r="AA101" s="21">
        <f t="shared" si="73"/>
        <v>0</v>
      </c>
      <c r="AB101" s="21">
        <f t="shared" si="73"/>
        <v>0</v>
      </c>
      <c r="AC101" s="21">
        <f t="shared" si="73"/>
        <v>0</v>
      </c>
      <c r="AD101" s="21">
        <f t="shared" si="73"/>
        <v>0</v>
      </c>
      <c r="AE101" s="21">
        <f t="shared" si="73"/>
        <v>0</v>
      </c>
      <c r="AF101" s="21">
        <f t="shared" si="73"/>
        <v>0</v>
      </c>
      <c r="AG101" s="21">
        <f t="shared" si="73"/>
        <v>0</v>
      </c>
      <c r="AH101" s="21">
        <f t="shared" si="73"/>
        <v>0</v>
      </c>
      <c r="AI101" s="21">
        <f t="shared" si="73"/>
        <v>0</v>
      </c>
      <c r="AJ101" s="21">
        <f t="shared" si="73"/>
        <v>0</v>
      </c>
      <c r="AK101" s="21">
        <f t="shared" si="73"/>
        <v>0</v>
      </c>
      <c r="AL101" s="21">
        <f t="shared" si="73"/>
        <v>0</v>
      </c>
      <c r="AM101" s="21">
        <f t="shared" si="73"/>
        <v>0</v>
      </c>
      <c r="AN101" s="21">
        <f t="shared" si="73"/>
        <v>0</v>
      </c>
      <c r="AO101" s="21">
        <f t="shared" si="73"/>
        <v>0</v>
      </c>
      <c r="AP101" s="21">
        <f t="shared" si="73"/>
        <v>0</v>
      </c>
      <c r="AQ101" s="21">
        <f t="shared" si="73"/>
        <v>0</v>
      </c>
      <c r="AR101" s="21">
        <f t="shared" si="73"/>
        <v>0</v>
      </c>
      <c r="AS101" s="21">
        <f t="shared" si="73"/>
        <v>0</v>
      </c>
      <c r="AT101" s="21">
        <f t="shared" si="73"/>
        <v>0</v>
      </c>
      <c r="AU101" s="21">
        <f t="shared" si="73"/>
        <v>0</v>
      </c>
      <c r="AV101" s="21">
        <f t="shared" si="73"/>
        <v>0</v>
      </c>
      <c r="AW101" s="21">
        <f t="shared" si="73"/>
        <v>0</v>
      </c>
      <c r="AX101" s="21">
        <f t="shared" si="73"/>
        <v>0</v>
      </c>
      <c r="AY101" s="21">
        <f t="shared" si="73"/>
        <v>0</v>
      </c>
      <c r="AZ101" s="21">
        <f t="shared" si="73"/>
        <v>0</v>
      </c>
      <c r="BA101" s="21">
        <f t="shared" si="73"/>
        <v>0</v>
      </c>
      <c r="BB101" s="21">
        <f t="shared" si="73"/>
        <v>0</v>
      </c>
      <c r="BC101" s="21">
        <f t="shared" si="73"/>
        <v>0</v>
      </c>
      <c r="BD101" s="21">
        <f t="shared" si="73"/>
        <v>0</v>
      </c>
    </row>
    <row r="102" spans="1:57" ht="15" customHeight="1">
      <c r="C102" s="21"/>
      <c r="E102" s="18"/>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35"/>
      <c r="AL102" s="21"/>
      <c r="AM102" s="21"/>
      <c r="AN102" s="21"/>
      <c r="AO102" s="21"/>
      <c r="AP102" s="21"/>
      <c r="AQ102" s="21"/>
      <c r="AR102" s="21"/>
      <c r="AS102" s="21"/>
      <c r="AT102" s="21"/>
      <c r="AU102" s="21"/>
      <c r="AV102" s="21"/>
      <c r="AW102" s="21"/>
      <c r="AX102" s="21"/>
      <c r="AY102" s="21"/>
      <c r="AZ102" s="21"/>
      <c r="BA102" s="21"/>
      <c r="BB102" s="21"/>
      <c r="BC102" s="21"/>
      <c r="BD102" s="21"/>
    </row>
    <row r="103" spans="1:57" ht="23" customHeight="1">
      <c r="A103" s="547"/>
      <c r="B103" s="547" t="s">
        <v>365</v>
      </c>
      <c r="C103" s="555"/>
      <c r="D103" s="555"/>
      <c r="E103" s="463"/>
      <c r="F103" s="556"/>
      <c r="G103" s="544"/>
      <c r="H103" s="544"/>
      <c r="I103" s="544"/>
      <c r="J103" s="544"/>
      <c r="K103" s="544"/>
      <c r="L103" s="544"/>
      <c r="M103" s="544"/>
      <c r="N103" s="544"/>
      <c r="O103" s="544"/>
      <c r="P103" s="544"/>
      <c r="Q103" s="544"/>
      <c r="R103" s="544"/>
      <c r="S103" s="544"/>
      <c r="T103" s="544"/>
      <c r="U103" s="544"/>
      <c r="V103" s="544"/>
      <c r="W103" s="544"/>
      <c r="X103" s="544"/>
      <c r="Y103" s="544"/>
      <c r="Z103" s="544"/>
      <c r="AA103" s="544"/>
      <c r="AB103" s="544"/>
      <c r="AC103" s="544"/>
      <c r="AD103" s="544"/>
      <c r="AE103" s="544"/>
      <c r="AF103" s="544"/>
      <c r="AG103" s="544"/>
      <c r="AH103" s="544"/>
      <c r="AI103" s="544"/>
      <c r="AJ103" s="544"/>
      <c r="AK103" s="544"/>
      <c r="AL103" s="544"/>
      <c r="AM103" s="544"/>
      <c r="AN103" s="544"/>
      <c r="AO103" s="544"/>
      <c r="AP103" s="544"/>
      <c r="AQ103" s="544"/>
      <c r="AR103" s="544"/>
      <c r="AS103" s="544"/>
      <c r="AT103" s="544"/>
      <c r="AU103" s="544"/>
      <c r="AV103" s="544"/>
      <c r="AW103" s="544"/>
      <c r="AX103" s="544"/>
      <c r="AY103" s="544"/>
      <c r="AZ103" s="544"/>
      <c r="BA103" s="544"/>
      <c r="BB103" s="544"/>
      <c r="BC103" s="544"/>
      <c r="BD103" s="544"/>
    </row>
    <row r="104" spans="1:57" ht="15" customHeight="1">
      <c r="D104" s="22"/>
      <c r="E104" s="18"/>
    </row>
    <row r="105" spans="1:57" ht="15" customHeight="1">
      <c r="D105" s="213" t="s">
        <v>366</v>
      </c>
      <c r="E105" s="18"/>
    </row>
    <row r="106" spans="1:57" ht="15" customHeight="1">
      <c r="D106" s="22"/>
      <c r="E106" s="18"/>
    </row>
    <row r="107" spans="1:57" ht="15" customHeight="1">
      <c r="D107" s="9" t="s">
        <v>367</v>
      </c>
    </row>
    <row r="108" spans="1:57" ht="15" customHeight="1">
      <c r="C108" s="21">
        <f>SUM(G108:BD108)</f>
        <v>17547.995329144804</v>
      </c>
      <c r="D108" s="11" t="s">
        <v>368</v>
      </c>
      <c r="E108" s="18" t="s">
        <v>333</v>
      </c>
      <c r="G108" s="19">
        <f t="shared" ref="G108:AL108" si="74">G47</f>
        <v>0</v>
      </c>
      <c r="H108" s="19">
        <f t="shared" si="74"/>
        <v>0</v>
      </c>
      <c r="I108" s="19">
        <f t="shared" si="74"/>
        <v>0</v>
      </c>
      <c r="J108" s="19">
        <f t="shared" si="74"/>
        <v>0</v>
      </c>
      <c r="K108" s="19">
        <f t="shared" si="74"/>
        <v>259.7837184</v>
      </c>
      <c r="L108" s="19">
        <f t="shared" si="74"/>
        <v>618.28524979200006</v>
      </c>
      <c r="M108" s="19">
        <f t="shared" si="74"/>
        <v>630.65095478784008</v>
      </c>
      <c r="N108" s="19">
        <f t="shared" si="74"/>
        <v>643.26397388359669</v>
      </c>
      <c r="O108" s="19">
        <f t="shared" si="74"/>
        <v>656.12925336126864</v>
      </c>
      <c r="P108" s="19">
        <f t="shared" si="74"/>
        <v>669.25183842849401</v>
      </c>
      <c r="Q108" s="19">
        <f t="shared" si="74"/>
        <v>682.636875197064</v>
      </c>
      <c r="R108" s="19">
        <f t="shared" si="74"/>
        <v>696.28961270100513</v>
      </c>
      <c r="S108" s="19">
        <f t="shared" si="74"/>
        <v>710.21540495502541</v>
      </c>
      <c r="T108" s="19">
        <f t="shared" si="74"/>
        <v>724.41971305412585</v>
      </c>
      <c r="U108" s="19">
        <f t="shared" si="74"/>
        <v>738.90810731520844</v>
      </c>
      <c r="V108" s="19">
        <f t="shared" si="74"/>
        <v>753.68626946151232</v>
      </c>
      <c r="W108" s="19">
        <f t="shared" si="74"/>
        <v>768.75999485074271</v>
      </c>
      <c r="X108" s="19">
        <f t="shared" si="74"/>
        <v>784.13519474775762</v>
      </c>
      <c r="Y108" s="19">
        <f t="shared" si="74"/>
        <v>799.81789864271275</v>
      </c>
      <c r="Z108" s="19">
        <f t="shared" si="74"/>
        <v>815.81425661556693</v>
      </c>
      <c r="AA108" s="19">
        <f t="shared" si="74"/>
        <v>832.1305417478784</v>
      </c>
      <c r="AB108" s="19">
        <f t="shared" si="74"/>
        <v>848.77315258283591</v>
      </c>
      <c r="AC108" s="19">
        <f t="shared" si="74"/>
        <v>865.74861563449269</v>
      </c>
      <c r="AD108" s="19">
        <f t="shared" si="74"/>
        <v>883.06358794718233</v>
      </c>
      <c r="AE108" s="19">
        <f t="shared" si="74"/>
        <v>900.72485970612604</v>
      </c>
      <c r="AF108" s="19">
        <f t="shared" si="74"/>
        <v>918.73935690024859</v>
      </c>
      <c r="AG108" s="19">
        <f t="shared" si="74"/>
        <v>937.11414403825358</v>
      </c>
      <c r="AH108" s="19">
        <f t="shared" si="74"/>
        <v>409.65275439386505</v>
      </c>
      <c r="AI108" s="19">
        <f t="shared" si="74"/>
        <v>0</v>
      </c>
      <c r="AJ108" s="19">
        <f t="shared" si="74"/>
        <v>0</v>
      </c>
      <c r="AK108" s="19">
        <f t="shared" si="74"/>
        <v>0</v>
      </c>
      <c r="AL108" s="19">
        <f t="shared" si="74"/>
        <v>0</v>
      </c>
      <c r="AM108" s="19">
        <f t="shared" ref="AM108:BD108" si="75">AM47</f>
        <v>0</v>
      </c>
      <c r="AN108" s="19">
        <f t="shared" si="75"/>
        <v>0</v>
      </c>
      <c r="AO108" s="19">
        <f t="shared" si="75"/>
        <v>0</v>
      </c>
      <c r="AP108" s="19">
        <f t="shared" si="75"/>
        <v>0</v>
      </c>
      <c r="AQ108" s="19">
        <f t="shared" si="75"/>
        <v>0</v>
      </c>
      <c r="AR108" s="19">
        <f t="shared" si="75"/>
        <v>0</v>
      </c>
      <c r="AS108" s="19">
        <f t="shared" si="75"/>
        <v>0</v>
      </c>
      <c r="AT108" s="19">
        <f t="shared" si="75"/>
        <v>0</v>
      </c>
      <c r="AU108" s="19">
        <f t="shared" si="75"/>
        <v>0</v>
      </c>
      <c r="AV108" s="19">
        <f t="shared" si="75"/>
        <v>0</v>
      </c>
      <c r="AW108" s="19">
        <f t="shared" si="75"/>
        <v>0</v>
      </c>
      <c r="AX108" s="19">
        <f t="shared" si="75"/>
        <v>0</v>
      </c>
      <c r="AY108" s="19">
        <f t="shared" si="75"/>
        <v>0</v>
      </c>
      <c r="AZ108" s="19">
        <f t="shared" si="75"/>
        <v>0</v>
      </c>
      <c r="BA108" s="19">
        <f t="shared" si="75"/>
        <v>0</v>
      </c>
      <c r="BB108" s="19">
        <f t="shared" si="75"/>
        <v>0</v>
      </c>
      <c r="BC108" s="19">
        <f t="shared" si="75"/>
        <v>0</v>
      </c>
      <c r="BD108" s="19">
        <f t="shared" si="75"/>
        <v>0</v>
      </c>
    </row>
    <row r="109" spans="1:57" ht="15" customHeight="1">
      <c r="C109" s="21">
        <f>SUM(G109:BD109)</f>
        <v>17497.377173577093</v>
      </c>
      <c r="D109" s="11" t="s">
        <v>369</v>
      </c>
      <c r="E109" s="18" t="s">
        <v>333</v>
      </c>
      <c r="G109" s="19">
        <f>G51*(1-Inputs!$E$228)</f>
        <v>0</v>
      </c>
      <c r="H109" s="19">
        <f>H51*(1-Inputs!$E$228)</f>
        <v>0</v>
      </c>
      <c r="I109" s="19">
        <f>I51*(1-Inputs!$E$228)</f>
        <v>0</v>
      </c>
      <c r="J109" s="19">
        <f>J51*(1-Inputs!$E$228)</f>
        <v>0</v>
      </c>
      <c r="K109" s="19">
        <f>K51*(1-Inputs!$E$228)</f>
        <v>259.29662392800003</v>
      </c>
      <c r="L109" s="19">
        <f>L51*(1-Inputs!$E$228)</f>
        <v>617.1259649486401</v>
      </c>
      <c r="M109" s="19">
        <f>M51*(1-Inputs!$E$228)</f>
        <v>629.46848424761288</v>
      </c>
      <c r="N109" s="19">
        <f>N51*(1-Inputs!$E$228)</f>
        <v>642.05785393256497</v>
      </c>
      <c r="O109" s="19">
        <f>O51*(1-Inputs!$E$228)</f>
        <v>654.89901101121632</v>
      </c>
      <c r="P109" s="19">
        <f>P51*(1-Inputs!$E$228)</f>
        <v>667.99699123144069</v>
      </c>
      <c r="Q109" s="19">
        <f>Q51*(1-Inputs!$E$228)</f>
        <v>681.35693105606958</v>
      </c>
      <c r="R109" s="19">
        <f>R51*(1-Inputs!$E$228)</f>
        <v>694.98406967719075</v>
      </c>
      <c r="S109" s="19">
        <f>S51*(1-Inputs!$E$228)</f>
        <v>708.88375107073477</v>
      </c>
      <c r="T109" s="19">
        <f>T51*(1-Inputs!$E$228)</f>
        <v>723.06142609214942</v>
      </c>
      <c r="U109" s="19">
        <f>U51*(1-Inputs!$E$228)</f>
        <v>737.52265461399247</v>
      </c>
      <c r="V109" s="19">
        <f>V51*(1-Inputs!$E$228)</f>
        <v>752.27310770627207</v>
      </c>
      <c r="W109" s="19">
        <f>W51*(1-Inputs!$E$228)</f>
        <v>767.3185698603977</v>
      </c>
      <c r="X109" s="19">
        <f>X51*(1-Inputs!$E$228)</f>
        <v>782.66494125760573</v>
      </c>
      <c r="Y109" s="19">
        <f>Y51*(1-Inputs!$E$228)</f>
        <v>798.31824008275771</v>
      </c>
      <c r="Z109" s="19">
        <f>Z51*(1-Inputs!$E$228)</f>
        <v>814.28460488441283</v>
      </c>
      <c r="AA109" s="19">
        <f>AA51*(1-Inputs!$E$228)</f>
        <v>830.57029698210113</v>
      </c>
      <c r="AB109" s="19">
        <f>AB51*(1-Inputs!$E$228)</f>
        <v>847.18170292174318</v>
      </c>
      <c r="AC109" s="19">
        <f>AC51*(1-Inputs!$E$228)</f>
        <v>864.12533698017808</v>
      </c>
      <c r="AD109" s="19">
        <f>AD51*(1-Inputs!$E$228)</f>
        <v>877.54444052251245</v>
      </c>
      <c r="AE109" s="19">
        <f>AE51*(1-Inputs!$E$228)</f>
        <v>895.09532933296271</v>
      </c>
      <c r="AF109" s="19">
        <f>AF51*(1-Inputs!$E$228)</f>
        <v>912.99723591962197</v>
      </c>
      <c r="AG109" s="19">
        <f>AG51*(1-Inputs!$E$228)</f>
        <v>931.25718063801457</v>
      </c>
      <c r="AH109" s="19">
        <f>AH51*(1-Inputs!$E$228)</f>
        <v>407.0924246789034</v>
      </c>
      <c r="AI109" s="19">
        <f>AI51*(1-Inputs!$E$228)</f>
        <v>0</v>
      </c>
      <c r="AJ109" s="19">
        <f>AJ51*(1-Inputs!$E$228)</f>
        <v>0</v>
      </c>
      <c r="AK109" s="19">
        <f>AK51*(1-Inputs!$E$228)</f>
        <v>0</v>
      </c>
      <c r="AL109" s="19">
        <f>AL51*(1-Inputs!$E$228)</f>
        <v>0</v>
      </c>
      <c r="AM109" s="19">
        <f>AM51*(1-Inputs!$E$228)</f>
        <v>0</v>
      </c>
      <c r="AN109" s="19">
        <f>AN51*(1-Inputs!$E$228)</f>
        <v>0</v>
      </c>
      <c r="AO109" s="19">
        <f>AO51*(1-Inputs!$E$228)</f>
        <v>0</v>
      </c>
      <c r="AP109" s="19">
        <f>AP51*(1-Inputs!$E$228)</f>
        <v>0</v>
      </c>
      <c r="AQ109" s="19">
        <f>AQ51*(1-Inputs!$E$228)</f>
        <v>0</v>
      </c>
      <c r="AR109" s="19">
        <f>AR51*(1-Inputs!$E$228)</f>
        <v>0</v>
      </c>
      <c r="AS109" s="19">
        <f>AS51*(1-Inputs!$E$228)</f>
        <v>0</v>
      </c>
      <c r="AT109" s="19">
        <f>AT51*(1-Inputs!$E$228)</f>
        <v>0</v>
      </c>
      <c r="AU109" s="19">
        <f>AU51*(1-Inputs!$E$228)</f>
        <v>0</v>
      </c>
      <c r="AV109" s="19">
        <f>AV51*(1-Inputs!$E$228)</f>
        <v>0</v>
      </c>
      <c r="AW109" s="19">
        <f>AW51*(1-Inputs!$E$228)</f>
        <v>0</v>
      </c>
      <c r="AX109" s="19">
        <f>AX51*(1-Inputs!$E$228)</f>
        <v>0</v>
      </c>
      <c r="AY109" s="19">
        <f>AY51*(1-Inputs!$E$228)</f>
        <v>0</v>
      </c>
      <c r="AZ109" s="19">
        <f>AZ51*(1-Inputs!$E$228)</f>
        <v>0</v>
      </c>
      <c r="BA109" s="19">
        <f>BA51*(1-Inputs!$E$228)</f>
        <v>0</v>
      </c>
      <c r="BB109" s="19">
        <f>BB51*(1-Inputs!$E$228)</f>
        <v>0</v>
      </c>
      <c r="BC109" s="19">
        <f>BC51*(1-Inputs!$E$228)</f>
        <v>0</v>
      </c>
      <c r="BD109" s="19">
        <f>BD51*(1-Inputs!$E$228)</f>
        <v>0</v>
      </c>
    </row>
    <row r="110" spans="1:57" ht="15" customHeight="1">
      <c r="C110" s="21">
        <f>SUM(G110:BD110)</f>
        <v>17547.995329144804</v>
      </c>
      <c r="D110" s="11" t="s">
        <v>370</v>
      </c>
      <c r="E110" s="18" t="s">
        <v>333</v>
      </c>
      <c r="G110" s="19">
        <f>IF(G$33=0,0,IF(Inputs!$E$30="gross",G108,G109))</f>
        <v>0</v>
      </c>
      <c r="H110" s="19">
        <f>IF(H$33=0,0,IF(Inputs!$E$30="gross",H108,H109))</f>
        <v>0</v>
      </c>
      <c r="I110" s="19">
        <f>IF(I$33=0,0,IF(Inputs!$E$30="gross",I108,I109))</f>
        <v>0</v>
      </c>
      <c r="J110" s="19">
        <f>IF(J$33=0,0,IF(Inputs!$E$30="gross",J108,J109))</f>
        <v>0</v>
      </c>
      <c r="K110" s="19">
        <f>IF(K$33=0,0,IF(Inputs!$E$30="gross",K108,K109))</f>
        <v>259.7837184</v>
      </c>
      <c r="L110" s="19">
        <f>IF(L$33=0,0,IF(Inputs!$E$30="gross",L108,L109))</f>
        <v>618.28524979200006</v>
      </c>
      <c r="M110" s="19">
        <f>IF(M$33=0,0,IF(Inputs!$E$30="gross",M108,M109))</f>
        <v>630.65095478784008</v>
      </c>
      <c r="N110" s="19">
        <f>IF(N$33=0,0,IF(Inputs!$E$30="gross",N108,N109))</f>
        <v>643.26397388359669</v>
      </c>
      <c r="O110" s="19">
        <f>IF(O$33=0,0,IF(Inputs!$E$30="gross",O108,O109))</f>
        <v>656.12925336126864</v>
      </c>
      <c r="P110" s="19">
        <f>IF(P$33=0,0,IF(Inputs!$E$30="gross",P108,P109))</f>
        <v>669.25183842849401</v>
      </c>
      <c r="Q110" s="19">
        <f>IF(Q$33=0,0,IF(Inputs!$E$30="gross",Q108,Q109))</f>
        <v>682.636875197064</v>
      </c>
      <c r="R110" s="19">
        <f>IF(R$33=0,0,IF(Inputs!$E$30="gross",R108,R109))</f>
        <v>696.28961270100513</v>
      </c>
      <c r="S110" s="19">
        <f>IF(S$33=0,0,IF(Inputs!$E$30="gross",S108,S109))</f>
        <v>710.21540495502541</v>
      </c>
      <c r="T110" s="19">
        <f>IF(T$33=0,0,IF(Inputs!$E$30="gross",T108,T109))</f>
        <v>724.41971305412585</v>
      </c>
      <c r="U110" s="19">
        <f>IF(U$33=0,0,IF(Inputs!$E$30="gross",U108,U109))</f>
        <v>738.90810731520844</v>
      </c>
      <c r="V110" s="19">
        <f>IF(V$33=0,0,IF(Inputs!$E$30="gross",V108,V109))</f>
        <v>753.68626946151232</v>
      </c>
      <c r="W110" s="19">
        <f>IF(W$33=0,0,IF(Inputs!$E$30="gross",W108,W109))</f>
        <v>768.75999485074271</v>
      </c>
      <c r="X110" s="19">
        <f>IF(X$33=0,0,IF(Inputs!$E$30="gross",X108,X109))</f>
        <v>784.13519474775762</v>
      </c>
      <c r="Y110" s="19">
        <f>IF(Y$33=0,0,IF(Inputs!$E$30="gross",Y108,Y109))</f>
        <v>799.81789864271275</v>
      </c>
      <c r="Z110" s="19">
        <f>IF(Z$33=0,0,IF(Inputs!$E$30="gross",Z108,Z109))</f>
        <v>815.81425661556693</v>
      </c>
      <c r="AA110" s="19">
        <f>IF(AA$33=0,0,IF(Inputs!$E$30="gross",AA108,AA109))</f>
        <v>832.1305417478784</v>
      </c>
      <c r="AB110" s="19">
        <f>IF(AB$33=0,0,IF(Inputs!$E$30="gross",AB108,AB109))</f>
        <v>848.77315258283591</v>
      </c>
      <c r="AC110" s="19">
        <f>IF(AC$33=0,0,IF(Inputs!$E$30="gross",AC108,AC109))</f>
        <v>865.74861563449269</v>
      </c>
      <c r="AD110" s="19">
        <f>IF(AD$33=0,0,IF(Inputs!$E$30="gross",AD108,AD109))</f>
        <v>883.06358794718233</v>
      </c>
      <c r="AE110" s="19">
        <f>IF(AE$33=0,0,IF(Inputs!$E$30="gross",AE108,AE109))</f>
        <v>900.72485970612604</v>
      </c>
      <c r="AF110" s="19">
        <f>IF(AF$33=0,0,IF(Inputs!$E$30="gross",AF108,AF109))</f>
        <v>918.73935690024859</v>
      </c>
      <c r="AG110" s="19">
        <f>IF(AG$33=0,0,IF(Inputs!$E$30="gross",AG108,AG109))</f>
        <v>937.11414403825358</v>
      </c>
      <c r="AH110" s="19">
        <f>IF(AH$33=0,0,IF(Inputs!$E$30="gross",AH108,AH109))</f>
        <v>409.65275439386505</v>
      </c>
      <c r="AI110" s="19">
        <f>IF(AI$33=0,0,IF(Inputs!$E$30="gross",AI108,AI109))</f>
        <v>0</v>
      </c>
      <c r="AJ110" s="19">
        <f>IF(AJ$33=0,0,IF(Inputs!$E$30="gross",AJ108,AJ109))</f>
        <v>0</v>
      </c>
      <c r="AK110" s="19">
        <f>IF(AK$33=0,0,IF(Inputs!$E$30="gross",AK108,AK109))</f>
        <v>0</v>
      </c>
      <c r="AL110" s="19">
        <f>IF(AL$33=0,0,IF(Inputs!$E$30="gross",AL108,AL109))</f>
        <v>0</v>
      </c>
      <c r="AM110" s="19">
        <f>IF(AM$33=0,0,IF(Inputs!$E$30="gross",AM108,AM109))</f>
        <v>0</v>
      </c>
      <c r="AN110" s="19">
        <f>IF(AN$33=0,0,IF(Inputs!$E$30="gross",AN108,AN109))</f>
        <v>0</v>
      </c>
      <c r="AO110" s="19">
        <f>IF(AO$33=0,0,IF(Inputs!$E$30="gross",AO108,AO109))</f>
        <v>0</v>
      </c>
      <c r="AP110" s="19">
        <f>IF(AP$33=0,0,IF(Inputs!$E$30="gross",AP108,AP109))</f>
        <v>0</v>
      </c>
      <c r="AQ110" s="19">
        <f>IF(AQ$33=0,0,IF(Inputs!$E$30="gross",AQ108,AQ109))</f>
        <v>0</v>
      </c>
      <c r="AR110" s="19">
        <f>IF(AR$33=0,0,IF(Inputs!$E$30="gross",AR108,AR109))</f>
        <v>0</v>
      </c>
      <c r="AS110" s="19">
        <f>IF(AS$33=0,0,IF(Inputs!$E$30="gross",AS108,AS109))</f>
        <v>0</v>
      </c>
      <c r="AT110" s="19">
        <f>IF(AT$33=0,0,IF(Inputs!$E$30="gross",AT108,AT109))</f>
        <v>0</v>
      </c>
      <c r="AU110" s="19">
        <f>IF(AU$33=0,0,IF(Inputs!$E$30="gross",AU108,AU109))</f>
        <v>0</v>
      </c>
      <c r="AV110" s="19">
        <f>IF(AV$33=0,0,IF(Inputs!$E$30="gross",AV108,AV109))</f>
        <v>0</v>
      </c>
      <c r="AW110" s="19">
        <f>IF(AW$33=0,0,IF(Inputs!$E$30="gross",AW108,AW109))</f>
        <v>0</v>
      </c>
      <c r="AX110" s="19">
        <f>IF(AX$33=0,0,IF(Inputs!$E$30="gross",AX108,AX109))</f>
        <v>0</v>
      </c>
      <c r="AY110" s="19">
        <f>IF(AY$33=0,0,IF(Inputs!$E$30="gross",AY108,AY109))</f>
        <v>0</v>
      </c>
      <c r="AZ110" s="19">
        <f>IF(AZ$33=0,0,IF(Inputs!$E$30="gross",AZ108,AZ109))</f>
        <v>0</v>
      </c>
      <c r="BA110" s="19">
        <f>IF(BA$33=0,0,IF(Inputs!$E$30="gross",BA108,BA109))</f>
        <v>0</v>
      </c>
      <c r="BB110" s="19">
        <f>IF(BB$33=0,0,IF(Inputs!$E$30="gross",BB108,BB109))</f>
        <v>0</v>
      </c>
      <c r="BC110" s="19">
        <f>IF(BC$33=0,0,IF(Inputs!$E$30="gross",BC108,BC109))</f>
        <v>0</v>
      </c>
      <c r="BD110" s="19">
        <f>IF(BD$33=0,0,IF(Inputs!$E$30="gross",BD108,BD109))</f>
        <v>0</v>
      </c>
    </row>
    <row r="111" spans="1:57" ht="15" customHeight="1">
      <c r="C111" s="21"/>
      <c r="D111" s="11" t="s">
        <v>371</v>
      </c>
      <c r="E111" s="18" t="s">
        <v>30</v>
      </c>
      <c r="G111" s="144">
        <f>CHOOSE(Inputs!$D$6,Inputs!$E$26,Inputs!$E$27,Inputs!$E$28,Inputs!$E$29)+Inputs!$E$36+Inputs!$E$37</f>
        <v>6.9999999999999993E-2</v>
      </c>
      <c r="H111" s="144">
        <f>CHOOSE(Inputs!$D$6,Inputs!$E$26,Inputs!$E$27,Inputs!$E$28,Inputs!$E$29)+Inputs!$E$36+Inputs!$E$37</f>
        <v>6.9999999999999993E-2</v>
      </c>
      <c r="I111" s="144">
        <f>CHOOSE(Inputs!$D$6,Inputs!$E$26,Inputs!$E$27,Inputs!$E$28,Inputs!$E$29)+Inputs!$E$36+Inputs!$E$37</f>
        <v>6.9999999999999993E-2</v>
      </c>
      <c r="J111" s="144">
        <f>CHOOSE(Inputs!$D$6,Inputs!$E$26,Inputs!$E$27,Inputs!$E$28,Inputs!$E$29)+Inputs!$E$36+Inputs!$E$37</f>
        <v>6.9999999999999993E-2</v>
      </c>
      <c r="K111" s="144">
        <f>CHOOSE(Inputs!$D$6,Inputs!$E$26,Inputs!$E$27,Inputs!$E$28,Inputs!$E$29)+Inputs!$E$36+Inputs!$E$37</f>
        <v>6.9999999999999993E-2</v>
      </c>
      <c r="L111" s="144">
        <f>CHOOSE(Inputs!$D$6,Inputs!$E$26,Inputs!$E$27,Inputs!$E$28,Inputs!$E$29)+Inputs!$E$36+Inputs!$E$37</f>
        <v>6.9999999999999993E-2</v>
      </c>
      <c r="M111" s="144">
        <f>CHOOSE(Inputs!$D$6,Inputs!$E$26,Inputs!$E$27,Inputs!$E$28,Inputs!$E$29)+Inputs!$E$36+Inputs!$E$37</f>
        <v>6.9999999999999993E-2</v>
      </c>
      <c r="N111" s="144">
        <f>CHOOSE(Inputs!$D$6,Inputs!$E$26,Inputs!$E$27,Inputs!$E$28,Inputs!$E$29)+Inputs!$E$36+Inputs!$E$37</f>
        <v>6.9999999999999993E-2</v>
      </c>
      <c r="O111" s="144">
        <f>CHOOSE(Inputs!$D$6,Inputs!$E$26,Inputs!$E$27,Inputs!$E$28,Inputs!$E$29)+Inputs!$E$36+Inputs!$E$37</f>
        <v>6.9999999999999993E-2</v>
      </c>
      <c r="P111" s="144">
        <f>CHOOSE(Inputs!$D$6,Inputs!$E$26,Inputs!$E$27,Inputs!$E$28,Inputs!$E$29)+Inputs!$E$36+Inputs!$E$37</f>
        <v>6.9999999999999993E-2</v>
      </c>
      <c r="Q111" s="144">
        <f>CHOOSE(Inputs!$D$6,Inputs!$E$26,Inputs!$E$27,Inputs!$E$28,Inputs!$E$29)+Inputs!$E$36+Inputs!$E$37</f>
        <v>6.9999999999999993E-2</v>
      </c>
      <c r="R111" s="144">
        <f>CHOOSE(Inputs!$D$6,Inputs!$E$26,Inputs!$E$27,Inputs!$E$28,Inputs!$E$29)+Inputs!$E$36+Inputs!$E$37</f>
        <v>6.9999999999999993E-2</v>
      </c>
      <c r="S111" s="144">
        <f>CHOOSE(Inputs!$D$6,Inputs!$E$26,Inputs!$E$27,Inputs!$E$28,Inputs!$E$29)+Inputs!$E$36+Inputs!$E$37</f>
        <v>6.9999999999999993E-2</v>
      </c>
      <c r="T111" s="144">
        <f>CHOOSE(Inputs!$D$6,Inputs!$E$26,Inputs!$E$27,Inputs!$E$28,Inputs!$E$29)+Inputs!$E$36+Inputs!$E$37</f>
        <v>6.9999999999999993E-2</v>
      </c>
      <c r="U111" s="144">
        <f>CHOOSE(Inputs!$D$6,Inputs!$E$26,Inputs!$E$27,Inputs!$E$28,Inputs!$E$29)+Inputs!$E$36+Inputs!$E$37</f>
        <v>6.9999999999999993E-2</v>
      </c>
      <c r="V111" s="144">
        <f>CHOOSE(Inputs!$D$6,Inputs!$E$26,Inputs!$E$27,Inputs!$E$28,Inputs!$E$29)+Inputs!$E$36+Inputs!$E$37</f>
        <v>6.9999999999999993E-2</v>
      </c>
      <c r="W111" s="144">
        <f>CHOOSE(Inputs!$D$6,Inputs!$E$26,Inputs!$E$27,Inputs!$E$28,Inputs!$E$29)+Inputs!$E$36+Inputs!$E$37</f>
        <v>6.9999999999999993E-2</v>
      </c>
      <c r="X111" s="144">
        <f>CHOOSE(Inputs!$D$6,Inputs!$E$26,Inputs!$E$27,Inputs!$E$28,Inputs!$E$29)+Inputs!$E$36+Inputs!$E$37</f>
        <v>6.9999999999999993E-2</v>
      </c>
      <c r="Y111" s="144">
        <f>CHOOSE(Inputs!$D$6,Inputs!$E$26,Inputs!$E$27,Inputs!$E$28,Inputs!$E$29)+Inputs!$E$36+Inputs!$E$37</f>
        <v>6.9999999999999993E-2</v>
      </c>
      <c r="Z111" s="144">
        <f>CHOOSE(Inputs!$D$6,Inputs!$E$26,Inputs!$E$27,Inputs!$E$28,Inputs!$E$29)+Inputs!$E$36+Inputs!$E$37</f>
        <v>6.9999999999999993E-2</v>
      </c>
      <c r="AA111" s="144">
        <f>CHOOSE(Inputs!$D$6,Inputs!$E$26,Inputs!$E$27,Inputs!$E$28,Inputs!$E$29)+Inputs!$E$36+Inputs!$E$37</f>
        <v>6.9999999999999993E-2</v>
      </c>
      <c r="AB111" s="144">
        <f>CHOOSE(Inputs!$D$6,Inputs!$E$26,Inputs!$E$27,Inputs!$E$28,Inputs!$E$29)+Inputs!$E$36+Inputs!$E$37</f>
        <v>6.9999999999999993E-2</v>
      </c>
      <c r="AC111" s="144">
        <f>CHOOSE(Inputs!$D$6,Inputs!$E$26,Inputs!$E$27,Inputs!$E$28,Inputs!$E$29)+Inputs!$E$36+Inputs!$E$37</f>
        <v>6.9999999999999993E-2</v>
      </c>
      <c r="AD111" s="144">
        <f>CHOOSE(Inputs!$D$6,Inputs!$E$26,Inputs!$E$27,Inputs!$E$28,Inputs!$E$29)+Inputs!$E$36+Inputs!$E$37</f>
        <v>6.9999999999999993E-2</v>
      </c>
      <c r="AE111" s="144">
        <f>CHOOSE(Inputs!$D$6,Inputs!$E$26,Inputs!$E$27,Inputs!$E$28,Inputs!$E$29)+Inputs!$E$36+Inputs!$E$37</f>
        <v>6.9999999999999993E-2</v>
      </c>
      <c r="AF111" s="144">
        <f>CHOOSE(Inputs!$D$6,Inputs!$E$26,Inputs!$E$27,Inputs!$E$28,Inputs!$E$29)+Inputs!$E$36+Inputs!$E$37</f>
        <v>6.9999999999999993E-2</v>
      </c>
      <c r="AG111" s="144">
        <f>CHOOSE(Inputs!$D$6,Inputs!$E$26,Inputs!$E$27,Inputs!$E$28,Inputs!$E$29)+Inputs!$E$36+Inputs!$E$37</f>
        <v>6.9999999999999993E-2</v>
      </c>
      <c r="AH111" s="144">
        <f>CHOOSE(Inputs!$D$6,Inputs!$E$26,Inputs!$E$27,Inputs!$E$28,Inputs!$E$29)+Inputs!$E$36+Inputs!$E$37</f>
        <v>6.9999999999999993E-2</v>
      </c>
      <c r="AI111" s="144">
        <f>CHOOSE(Inputs!$D$6,Inputs!$E$26,Inputs!$E$27,Inputs!$E$28,Inputs!$E$29)+Inputs!$E$36+Inputs!$E$37</f>
        <v>6.9999999999999993E-2</v>
      </c>
      <c r="AJ111" s="144">
        <f>CHOOSE(Inputs!$D$6,Inputs!$E$26,Inputs!$E$27,Inputs!$E$28,Inputs!$E$29)+Inputs!$E$36+Inputs!$E$37</f>
        <v>6.9999999999999993E-2</v>
      </c>
      <c r="AK111" s="144">
        <f>CHOOSE(Inputs!$D$6,Inputs!$E$26,Inputs!$E$27,Inputs!$E$28,Inputs!$E$29)+Inputs!$E$36+Inputs!$E$37</f>
        <v>6.9999999999999993E-2</v>
      </c>
      <c r="AL111" s="144">
        <f>CHOOSE(Inputs!$D$6,Inputs!$E$26,Inputs!$E$27,Inputs!$E$28,Inputs!$E$29)+Inputs!$E$36+Inputs!$E$37</f>
        <v>6.9999999999999993E-2</v>
      </c>
      <c r="AM111" s="144">
        <f>CHOOSE(Inputs!$D$6,Inputs!$E$26,Inputs!$E$27,Inputs!$E$28,Inputs!$E$29)+Inputs!$E$36+Inputs!$E$37</f>
        <v>6.9999999999999993E-2</v>
      </c>
      <c r="AN111" s="144">
        <f>CHOOSE(Inputs!$D$6,Inputs!$E$26,Inputs!$E$27,Inputs!$E$28,Inputs!$E$29)+Inputs!$E$36+Inputs!$E$37</f>
        <v>6.9999999999999993E-2</v>
      </c>
      <c r="AO111" s="144">
        <f>CHOOSE(Inputs!$D$6,Inputs!$E$26,Inputs!$E$27,Inputs!$E$28,Inputs!$E$29)+Inputs!$E$36+Inputs!$E$37</f>
        <v>6.9999999999999993E-2</v>
      </c>
      <c r="AP111" s="144">
        <f>CHOOSE(Inputs!$D$6,Inputs!$E$26,Inputs!$E$27,Inputs!$E$28,Inputs!$E$29)+Inputs!$E$36+Inputs!$E$37</f>
        <v>6.9999999999999993E-2</v>
      </c>
      <c r="AQ111" s="144">
        <f>CHOOSE(Inputs!$D$6,Inputs!$E$26,Inputs!$E$27,Inputs!$E$28,Inputs!$E$29)+Inputs!$E$36+Inputs!$E$37</f>
        <v>6.9999999999999993E-2</v>
      </c>
      <c r="AR111" s="144">
        <f>CHOOSE(Inputs!$D$6,Inputs!$E$26,Inputs!$E$27,Inputs!$E$28,Inputs!$E$29)+Inputs!$E$36+Inputs!$E$37</f>
        <v>6.9999999999999993E-2</v>
      </c>
      <c r="AS111" s="144">
        <f>CHOOSE(Inputs!$D$6,Inputs!$E$26,Inputs!$E$27,Inputs!$E$28,Inputs!$E$29)+Inputs!$E$36+Inputs!$E$37</f>
        <v>6.9999999999999993E-2</v>
      </c>
      <c r="AT111" s="144">
        <f>CHOOSE(Inputs!$D$6,Inputs!$E$26,Inputs!$E$27,Inputs!$E$28,Inputs!$E$29)+Inputs!$E$36+Inputs!$E$37</f>
        <v>6.9999999999999993E-2</v>
      </c>
      <c r="AU111" s="144">
        <f>CHOOSE(Inputs!$D$6,Inputs!$E$26,Inputs!$E$27,Inputs!$E$28,Inputs!$E$29)+Inputs!$E$36+Inputs!$E$37</f>
        <v>6.9999999999999993E-2</v>
      </c>
      <c r="AV111" s="144">
        <f>CHOOSE(Inputs!$D$6,Inputs!$E$26,Inputs!$E$27,Inputs!$E$28,Inputs!$E$29)+Inputs!$E$36+Inputs!$E$37</f>
        <v>6.9999999999999993E-2</v>
      </c>
      <c r="AW111" s="144">
        <f>CHOOSE(Inputs!$D$6,Inputs!$E$26,Inputs!$E$27,Inputs!$E$28,Inputs!$E$29)+Inputs!$E$36+Inputs!$E$37</f>
        <v>6.9999999999999993E-2</v>
      </c>
      <c r="AX111" s="144">
        <f>CHOOSE(Inputs!$D$6,Inputs!$E$26,Inputs!$E$27,Inputs!$E$28,Inputs!$E$29)+Inputs!$E$36+Inputs!$E$37</f>
        <v>6.9999999999999993E-2</v>
      </c>
      <c r="AY111" s="144">
        <f>CHOOSE(Inputs!$D$6,Inputs!$E$26,Inputs!$E$27,Inputs!$E$28,Inputs!$E$29)+Inputs!$E$36+Inputs!$E$37</f>
        <v>6.9999999999999993E-2</v>
      </c>
      <c r="AZ111" s="144">
        <f>CHOOSE(Inputs!$D$6,Inputs!$E$26,Inputs!$E$27,Inputs!$E$28,Inputs!$E$29)+Inputs!$E$36+Inputs!$E$37</f>
        <v>6.9999999999999993E-2</v>
      </c>
      <c r="BA111" s="144">
        <f>CHOOSE(Inputs!$D$6,Inputs!$E$26,Inputs!$E$27,Inputs!$E$28,Inputs!$E$29)+Inputs!$E$36+Inputs!$E$37</f>
        <v>6.9999999999999993E-2</v>
      </c>
      <c r="BB111" s="144">
        <f>CHOOSE(Inputs!$D$6,Inputs!$E$26,Inputs!$E$27,Inputs!$E$28,Inputs!$E$29)+Inputs!$E$36+Inputs!$E$37</f>
        <v>6.9999999999999993E-2</v>
      </c>
      <c r="BC111" s="144">
        <f>CHOOSE(Inputs!$D$6,Inputs!$E$26,Inputs!$E$27,Inputs!$E$28,Inputs!$E$29)+Inputs!$E$36+Inputs!$E$37</f>
        <v>6.9999999999999993E-2</v>
      </c>
      <c r="BD111" s="144">
        <f>CHOOSE(Inputs!$D$6,Inputs!$E$26,Inputs!$E$27,Inputs!$E$28,Inputs!$E$29)+Inputs!$E$36+Inputs!$E$37</f>
        <v>6.9999999999999993E-2</v>
      </c>
    </row>
    <row r="112" spans="1:57" ht="15" customHeight="1">
      <c r="C112" s="21">
        <f>SUM(G112:BD112)</f>
        <v>1228.3596730401362</v>
      </c>
      <c r="D112" s="11" t="s">
        <v>372</v>
      </c>
      <c r="E112" s="18" t="s">
        <v>333</v>
      </c>
      <c r="G112" s="19">
        <f>G110*G111</f>
        <v>0</v>
      </c>
      <c r="H112" s="19">
        <f>H110*H111</f>
        <v>0</v>
      </c>
      <c r="I112" s="19">
        <f>I110*I111</f>
        <v>0</v>
      </c>
      <c r="J112" s="19">
        <f t="shared" ref="J112:AL112" si="76">J110*J111</f>
        <v>0</v>
      </c>
      <c r="K112" s="19">
        <f t="shared" si="76"/>
        <v>18.184860287999999</v>
      </c>
      <c r="L112" s="19">
        <f t="shared" si="76"/>
        <v>43.279967485439997</v>
      </c>
      <c r="M112" s="19">
        <f t="shared" si="76"/>
        <v>44.145566835148799</v>
      </c>
      <c r="N112" s="19">
        <f t="shared" si="76"/>
        <v>45.028478171851766</v>
      </c>
      <c r="O112" s="19">
        <f t="shared" si="76"/>
        <v>45.929047735288798</v>
      </c>
      <c r="P112" s="19">
        <f t="shared" si="76"/>
        <v>46.847628689994579</v>
      </c>
      <c r="Q112" s="19">
        <f t="shared" si="76"/>
        <v>47.784581263794472</v>
      </c>
      <c r="R112" s="19">
        <f t="shared" si="76"/>
        <v>48.740272889070354</v>
      </c>
      <c r="S112" s="19">
        <f t="shared" si="76"/>
        <v>49.715078346851776</v>
      </c>
      <c r="T112" s="19">
        <f t="shared" si="76"/>
        <v>50.709379913788801</v>
      </c>
      <c r="U112" s="19">
        <f t="shared" si="76"/>
        <v>51.723567512064584</v>
      </c>
      <c r="V112" s="19">
        <f t="shared" si="76"/>
        <v>52.75803886230586</v>
      </c>
      <c r="W112" s="19">
        <f t="shared" si="76"/>
        <v>53.813199639551982</v>
      </c>
      <c r="X112" s="19">
        <f t="shared" si="76"/>
        <v>54.88946363234303</v>
      </c>
      <c r="Y112" s="19">
        <f t="shared" si="76"/>
        <v>55.987252904989887</v>
      </c>
      <c r="Z112" s="19">
        <f t="shared" si="76"/>
        <v>57.106997963089682</v>
      </c>
      <c r="AA112" s="19">
        <f t="shared" si="76"/>
        <v>58.24913792235148</v>
      </c>
      <c r="AB112" s="19">
        <f t="shared" si="76"/>
        <v>59.414120680798504</v>
      </c>
      <c r="AC112" s="19">
        <f t="shared" si="76"/>
        <v>60.602403094414484</v>
      </c>
      <c r="AD112" s="19">
        <f t="shared" si="76"/>
        <v>61.814451156302759</v>
      </c>
      <c r="AE112" s="19">
        <f t="shared" si="76"/>
        <v>63.050740179428814</v>
      </c>
      <c r="AF112" s="19">
        <f t="shared" si="76"/>
        <v>64.311754983017394</v>
      </c>
      <c r="AG112" s="19">
        <f t="shared" si="76"/>
        <v>65.59799008267774</v>
      </c>
      <c r="AH112" s="19">
        <f t="shared" si="76"/>
        <v>28.675692807570552</v>
      </c>
      <c r="AI112" s="19">
        <f t="shared" si="76"/>
        <v>0</v>
      </c>
      <c r="AJ112" s="19">
        <f t="shared" si="76"/>
        <v>0</v>
      </c>
      <c r="AK112" s="19">
        <f t="shared" si="76"/>
        <v>0</v>
      </c>
      <c r="AL112" s="19">
        <f t="shared" si="76"/>
        <v>0</v>
      </c>
      <c r="AM112" s="19">
        <f t="shared" ref="AM112:BD112" si="77">AM110*AM111</f>
        <v>0</v>
      </c>
      <c r="AN112" s="19">
        <f t="shared" si="77"/>
        <v>0</v>
      </c>
      <c r="AO112" s="19">
        <f t="shared" si="77"/>
        <v>0</v>
      </c>
      <c r="AP112" s="19">
        <f t="shared" si="77"/>
        <v>0</v>
      </c>
      <c r="AQ112" s="19">
        <f t="shared" si="77"/>
        <v>0</v>
      </c>
      <c r="AR112" s="19">
        <f t="shared" si="77"/>
        <v>0</v>
      </c>
      <c r="AS112" s="19">
        <f t="shared" si="77"/>
        <v>0</v>
      </c>
      <c r="AT112" s="19">
        <f t="shared" si="77"/>
        <v>0</v>
      </c>
      <c r="AU112" s="19">
        <f t="shared" si="77"/>
        <v>0</v>
      </c>
      <c r="AV112" s="19">
        <f t="shared" si="77"/>
        <v>0</v>
      </c>
      <c r="AW112" s="19">
        <f t="shared" si="77"/>
        <v>0</v>
      </c>
      <c r="AX112" s="19">
        <f t="shared" si="77"/>
        <v>0</v>
      </c>
      <c r="AY112" s="19">
        <f t="shared" si="77"/>
        <v>0</v>
      </c>
      <c r="AZ112" s="19">
        <f t="shared" si="77"/>
        <v>0</v>
      </c>
      <c r="BA112" s="19">
        <f t="shared" si="77"/>
        <v>0</v>
      </c>
      <c r="BB112" s="19">
        <f t="shared" si="77"/>
        <v>0</v>
      </c>
      <c r="BC112" s="19">
        <f t="shared" si="77"/>
        <v>0</v>
      </c>
      <c r="BD112" s="19">
        <f t="shared" si="77"/>
        <v>0</v>
      </c>
    </row>
    <row r="113" spans="3:56" ht="15" customHeight="1">
      <c r="C113" s="21"/>
      <c r="E113" s="18"/>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row>
    <row r="114" spans="3:56" ht="15" customHeight="1">
      <c r="C114" s="21"/>
      <c r="E114" s="18"/>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row>
    <row r="115" spans="3:56" ht="15" customHeight="1">
      <c r="C115" s="21">
        <f>SUM(G115:BD115)</f>
        <v>0</v>
      </c>
      <c r="D115" s="11" t="s">
        <v>373</v>
      </c>
      <c r="E115" s="18" t="s">
        <v>333</v>
      </c>
      <c r="G115" s="19">
        <f t="shared" ref="G115:AL115" si="78">G48</f>
        <v>0</v>
      </c>
      <c r="H115" s="19">
        <f t="shared" si="78"/>
        <v>0</v>
      </c>
      <c r="I115" s="19">
        <f t="shared" si="78"/>
        <v>0</v>
      </c>
      <c r="J115" s="19">
        <f t="shared" si="78"/>
        <v>0</v>
      </c>
      <c r="K115" s="19">
        <f t="shared" si="78"/>
        <v>0</v>
      </c>
      <c r="L115" s="19">
        <f t="shared" si="78"/>
        <v>0</v>
      </c>
      <c r="M115" s="19">
        <f t="shared" si="78"/>
        <v>0</v>
      </c>
      <c r="N115" s="19">
        <f t="shared" si="78"/>
        <v>0</v>
      </c>
      <c r="O115" s="19">
        <f t="shared" si="78"/>
        <v>0</v>
      </c>
      <c r="P115" s="19">
        <f t="shared" si="78"/>
        <v>0</v>
      </c>
      <c r="Q115" s="19">
        <f t="shared" si="78"/>
        <v>0</v>
      </c>
      <c r="R115" s="19">
        <f t="shared" si="78"/>
        <v>0</v>
      </c>
      <c r="S115" s="19">
        <f t="shared" si="78"/>
        <v>0</v>
      </c>
      <c r="T115" s="19">
        <f t="shared" si="78"/>
        <v>0</v>
      </c>
      <c r="U115" s="19">
        <f t="shared" si="78"/>
        <v>0</v>
      </c>
      <c r="V115" s="19">
        <f t="shared" si="78"/>
        <v>0</v>
      </c>
      <c r="W115" s="19">
        <f t="shared" si="78"/>
        <v>0</v>
      </c>
      <c r="X115" s="19">
        <f t="shared" si="78"/>
        <v>0</v>
      </c>
      <c r="Y115" s="19">
        <f t="shared" si="78"/>
        <v>0</v>
      </c>
      <c r="Z115" s="19">
        <f t="shared" si="78"/>
        <v>0</v>
      </c>
      <c r="AA115" s="19">
        <f t="shared" si="78"/>
        <v>0</v>
      </c>
      <c r="AB115" s="19">
        <f t="shared" si="78"/>
        <v>0</v>
      </c>
      <c r="AC115" s="19">
        <f t="shared" si="78"/>
        <v>0</v>
      </c>
      <c r="AD115" s="19">
        <f t="shared" si="78"/>
        <v>0</v>
      </c>
      <c r="AE115" s="19">
        <f t="shared" si="78"/>
        <v>0</v>
      </c>
      <c r="AF115" s="19">
        <f t="shared" si="78"/>
        <v>0</v>
      </c>
      <c r="AG115" s="19">
        <f t="shared" si="78"/>
        <v>0</v>
      </c>
      <c r="AH115" s="19">
        <f t="shared" si="78"/>
        <v>0</v>
      </c>
      <c r="AI115" s="19">
        <f t="shared" si="78"/>
        <v>0</v>
      </c>
      <c r="AJ115" s="19">
        <f t="shared" si="78"/>
        <v>0</v>
      </c>
      <c r="AK115" s="19">
        <f t="shared" si="78"/>
        <v>0</v>
      </c>
      <c r="AL115" s="19">
        <f t="shared" si="78"/>
        <v>0</v>
      </c>
      <c r="AM115" s="19">
        <f t="shared" ref="AM115:BD115" si="79">AM48</f>
        <v>0</v>
      </c>
      <c r="AN115" s="19">
        <f t="shared" si="79"/>
        <v>0</v>
      </c>
      <c r="AO115" s="19">
        <f t="shared" si="79"/>
        <v>0</v>
      </c>
      <c r="AP115" s="19">
        <f t="shared" si="79"/>
        <v>0</v>
      </c>
      <c r="AQ115" s="19">
        <f t="shared" si="79"/>
        <v>0</v>
      </c>
      <c r="AR115" s="19">
        <f t="shared" si="79"/>
        <v>0</v>
      </c>
      <c r="AS115" s="19">
        <f t="shared" si="79"/>
        <v>0</v>
      </c>
      <c r="AT115" s="19">
        <f t="shared" si="79"/>
        <v>0</v>
      </c>
      <c r="AU115" s="19">
        <f t="shared" si="79"/>
        <v>0</v>
      </c>
      <c r="AV115" s="19">
        <f t="shared" si="79"/>
        <v>0</v>
      </c>
      <c r="AW115" s="19">
        <f t="shared" si="79"/>
        <v>0</v>
      </c>
      <c r="AX115" s="19">
        <f t="shared" si="79"/>
        <v>0</v>
      </c>
      <c r="AY115" s="19">
        <f t="shared" si="79"/>
        <v>0</v>
      </c>
      <c r="AZ115" s="19">
        <f t="shared" si="79"/>
        <v>0</v>
      </c>
      <c r="BA115" s="19">
        <f t="shared" si="79"/>
        <v>0</v>
      </c>
      <c r="BB115" s="19">
        <f t="shared" si="79"/>
        <v>0</v>
      </c>
      <c r="BC115" s="19">
        <f t="shared" si="79"/>
        <v>0</v>
      </c>
      <c r="BD115" s="19">
        <f t="shared" si="79"/>
        <v>0</v>
      </c>
    </row>
    <row r="116" spans="3:56" ht="15" customHeight="1">
      <c r="C116" s="21">
        <f>SUM(G116:BD116)</f>
        <v>0</v>
      </c>
      <c r="D116" s="11" t="s">
        <v>369</v>
      </c>
      <c r="E116" s="18" t="s">
        <v>333</v>
      </c>
      <c r="G116" s="19">
        <f>G50*Inputs!$E$228</f>
        <v>0</v>
      </c>
      <c r="H116" s="19">
        <f>H50*Inputs!$E$228</f>
        <v>0</v>
      </c>
      <c r="I116" s="19">
        <f>I50*Inputs!$E$228</f>
        <v>0</v>
      </c>
      <c r="J116" s="19">
        <f>J50*Inputs!$E$228</f>
        <v>0</v>
      </c>
      <c r="K116" s="19">
        <f>K50*Inputs!$E$228</f>
        <v>0</v>
      </c>
      <c r="L116" s="19">
        <f>L50*Inputs!$E$228</f>
        <v>0</v>
      </c>
      <c r="M116" s="19">
        <f>M50*Inputs!$E$228</f>
        <v>0</v>
      </c>
      <c r="N116" s="19">
        <f>N50*Inputs!$E$228</f>
        <v>0</v>
      </c>
      <c r="O116" s="19">
        <f>O50*Inputs!$E$228</f>
        <v>0</v>
      </c>
      <c r="P116" s="19">
        <f>P50*Inputs!$E$228</f>
        <v>0</v>
      </c>
      <c r="Q116" s="19">
        <f>Q50*Inputs!$E$228</f>
        <v>0</v>
      </c>
      <c r="R116" s="19">
        <f>R50*Inputs!$E$228</f>
        <v>0</v>
      </c>
      <c r="S116" s="19">
        <f>S50*Inputs!$E$228</f>
        <v>0</v>
      </c>
      <c r="T116" s="19">
        <f>T50*Inputs!$E$228</f>
        <v>0</v>
      </c>
      <c r="U116" s="19">
        <f>U50*Inputs!$E$228</f>
        <v>0</v>
      </c>
      <c r="V116" s="19">
        <f>V50*Inputs!$E$228</f>
        <v>0</v>
      </c>
      <c r="W116" s="19">
        <f>W50*Inputs!$E$228</f>
        <v>0</v>
      </c>
      <c r="X116" s="19">
        <f>X50*Inputs!$E$228</f>
        <v>0</v>
      </c>
      <c r="Y116" s="19">
        <f>Y50*Inputs!$E$228</f>
        <v>0</v>
      </c>
      <c r="Z116" s="19">
        <f>Z50*Inputs!$E$228</f>
        <v>0</v>
      </c>
      <c r="AA116" s="19">
        <f>AA50*Inputs!$E$228</f>
        <v>0</v>
      </c>
      <c r="AB116" s="19">
        <f>AB50*Inputs!$E$228</f>
        <v>0</v>
      </c>
      <c r="AC116" s="19">
        <f>AC50*Inputs!$E$228</f>
        <v>0</v>
      </c>
      <c r="AD116" s="19">
        <f>AD50*Inputs!$E$228</f>
        <v>0</v>
      </c>
      <c r="AE116" s="19">
        <f>AE50*Inputs!$E$228</f>
        <v>0</v>
      </c>
      <c r="AF116" s="19">
        <f>AF50*Inputs!$E$228</f>
        <v>0</v>
      </c>
      <c r="AG116" s="19">
        <f>AG50*Inputs!$E$228</f>
        <v>0</v>
      </c>
      <c r="AH116" s="19">
        <f>AH50*Inputs!$E$228</f>
        <v>0</v>
      </c>
      <c r="AI116" s="19">
        <f>AI50*Inputs!$E$228</f>
        <v>0</v>
      </c>
      <c r="AJ116" s="19">
        <f>AJ50*Inputs!$E$228</f>
        <v>0</v>
      </c>
      <c r="AK116" s="19">
        <f>AK50*Inputs!$E$228</f>
        <v>0</v>
      </c>
      <c r="AL116" s="19">
        <f>AL50*Inputs!$E$228</f>
        <v>0</v>
      </c>
      <c r="AM116" s="19">
        <f>AM50*Inputs!$E$228</f>
        <v>0</v>
      </c>
      <c r="AN116" s="19">
        <f>AN50*Inputs!$E$228</f>
        <v>0</v>
      </c>
      <c r="AO116" s="19">
        <f>AO50*Inputs!$E$228</f>
        <v>0</v>
      </c>
      <c r="AP116" s="19">
        <f>AP50*Inputs!$E$228</f>
        <v>0</v>
      </c>
      <c r="AQ116" s="19">
        <f>AQ50*Inputs!$E$228</f>
        <v>0</v>
      </c>
      <c r="AR116" s="19">
        <f>AR50*Inputs!$E$228</f>
        <v>0</v>
      </c>
      <c r="AS116" s="19">
        <f>AS50*Inputs!$E$228</f>
        <v>0</v>
      </c>
      <c r="AT116" s="19">
        <f>AT50*Inputs!$E$228</f>
        <v>0</v>
      </c>
      <c r="AU116" s="19">
        <f>AU50*Inputs!$E$228</f>
        <v>0</v>
      </c>
      <c r="AV116" s="19">
        <f>AV50*Inputs!$E$228</f>
        <v>0</v>
      </c>
      <c r="AW116" s="19">
        <f>AW50*Inputs!$E$228</f>
        <v>0</v>
      </c>
      <c r="AX116" s="19">
        <f>AX50*Inputs!$E$228</f>
        <v>0</v>
      </c>
      <c r="AY116" s="19">
        <f>AY50*Inputs!$E$228</f>
        <v>0</v>
      </c>
      <c r="AZ116" s="19">
        <f>AZ50*Inputs!$E$228</f>
        <v>0</v>
      </c>
      <c r="BA116" s="19">
        <f>BA50*Inputs!$E$228</f>
        <v>0</v>
      </c>
      <c r="BB116" s="19">
        <f>BB50*Inputs!$E$228</f>
        <v>0</v>
      </c>
      <c r="BC116" s="19">
        <f>BC50*Inputs!$E$228</f>
        <v>0</v>
      </c>
      <c r="BD116" s="19">
        <f>BD50*Inputs!$E$228</f>
        <v>0</v>
      </c>
    </row>
    <row r="117" spans="3:56" ht="15" customHeight="1">
      <c r="C117" s="21">
        <f>SUM(G117:BD117)</f>
        <v>0</v>
      </c>
      <c r="D117" s="11" t="s">
        <v>370</v>
      </c>
      <c r="E117" s="18" t="s">
        <v>333</v>
      </c>
      <c r="G117" s="19">
        <f>IF(G$33=0,0,IF(Inputs!$E$30="gross",G115,G116))</f>
        <v>0</v>
      </c>
      <c r="H117" s="19">
        <f>IF(H$33=0,0,IF(Inputs!$E$30="gross",H115,H116))</f>
        <v>0</v>
      </c>
      <c r="I117" s="19">
        <f>IF(I$33=0,0,IF(Inputs!$E$30="gross",I115,I116))</f>
        <v>0</v>
      </c>
      <c r="J117" s="19">
        <f>IF(J$33=0,0,IF(Inputs!$E$30="gross",J115,J116))</f>
        <v>0</v>
      </c>
      <c r="K117" s="19">
        <f>IF(K$33=0,0,IF(Inputs!$E$30="gross",K115,K116))</f>
        <v>0</v>
      </c>
      <c r="L117" s="19">
        <f>IF(L$33=0,0,IF(Inputs!$E$30="gross",L115,L116))</f>
        <v>0</v>
      </c>
      <c r="M117" s="19">
        <f>IF(M$33=0,0,IF(Inputs!$E$30="gross",M115,M116))</f>
        <v>0</v>
      </c>
      <c r="N117" s="19">
        <f>IF(N$33=0,0,IF(Inputs!$E$30="gross",N115,N116))</f>
        <v>0</v>
      </c>
      <c r="O117" s="19">
        <f>IF(O$33=0,0,IF(Inputs!$E$30="gross",O115,O116))</f>
        <v>0</v>
      </c>
      <c r="P117" s="19">
        <f>IF(P$33=0,0,IF(Inputs!$E$30="gross",P115,P116))</f>
        <v>0</v>
      </c>
      <c r="Q117" s="19">
        <f>IF(Q$33=0,0,IF(Inputs!$E$30="gross",Q115,Q116))</f>
        <v>0</v>
      </c>
      <c r="R117" s="19">
        <f>IF(R$33=0,0,IF(Inputs!$E$30="gross",R115,R116))</f>
        <v>0</v>
      </c>
      <c r="S117" s="19">
        <f>IF(S$33=0,0,IF(Inputs!$E$30="gross",S115,S116))</f>
        <v>0</v>
      </c>
      <c r="T117" s="19">
        <f>IF(T$33=0,0,IF(Inputs!$E$30="gross",T115,T116))</f>
        <v>0</v>
      </c>
      <c r="U117" s="19">
        <f>IF(U$33=0,0,IF(Inputs!$E$30="gross",U115,U116))</f>
        <v>0</v>
      </c>
      <c r="V117" s="19">
        <f>IF(V$33=0,0,IF(Inputs!$E$30="gross",V115,V116))</f>
        <v>0</v>
      </c>
      <c r="W117" s="19">
        <f>IF(W$33=0,0,IF(Inputs!$E$30="gross",W115,W116))</f>
        <v>0</v>
      </c>
      <c r="X117" s="19">
        <f>IF(X$33=0,0,IF(Inputs!$E$30="gross",X115,X116))</f>
        <v>0</v>
      </c>
      <c r="Y117" s="19">
        <f>IF(Y$33=0,0,IF(Inputs!$E$30="gross",Y115,Y116))</f>
        <v>0</v>
      </c>
      <c r="Z117" s="19">
        <f>IF(Z$33=0,0,IF(Inputs!$E$30="gross",Z115,Z116))</f>
        <v>0</v>
      </c>
      <c r="AA117" s="19">
        <f>IF(AA$33=0,0,IF(Inputs!$E$30="gross",AA115,AA116))</f>
        <v>0</v>
      </c>
      <c r="AB117" s="19">
        <f>IF(AB$33=0,0,IF(Inputs!$E$30="gross",AB115,AB116))</f>
        <v>0</v>
      </c>
      <c r="AC117" s="19">
        <f>IF(AC$33=0,0,IF(Inputs!$E$30="gross",AC115,AC116))</f>
        <v>0</v>
      </c>
      <c r="AD117" s="19">
        <f>IF(AD$33=0,0,IF(Inputs!$E$30="gross",AD115,AD116))</f>
        <v>0</v>
      </c>
      <c r="AE117" s="19">
        <f>IF(AE$33=0,0,IF(Inputs!$E$30="gross",AE115,AE116))</f>
        <v>0</v>
      </c>
      <c r="AF117" s="19">
        <f>IF(AF$33=0,0,IF(Inputs!$E$30="gross",AF115,AF116))</f>
        <v>0</v>
      </c>
      <c r="AG117" s="19">
        <f>IF(AG$33=0,0,IF(Inputs!$E$30="gross",AG115,AG116))</f>
        <v>0</v>
      </c>
      <c r="AH117" s="19">
        <f>IF(AH$33=0,0,IF(Inputs!$E$30="gross",AH115,AH116))</f>
        <v>0</v>
      </c>
      <c r="AI117" s="19">
        <f>IF(AI$33=0,0,IF(Inputs!$E$30="gross",AI115,AI116))</f>
        <v>0</v>
      </c>
      <c r="AJ117" s="19">
        <f>IF(AJ$33=0,0,IF(Inputs!$E$30="gross",AJ115,AJ116))</f>
        <v>0</v>
      </c>
      <c r="AK117" s="19">
        <f>IF(AK$33=0,0,IF(Inputs!$E$30="gross",AK115,AK116))</f>
        <v>0</v>
      </c>
      <c r="AL117" s="19">
        <f>IF(AL$33=0,0,IF(Inputs!$E$30="gross",AL115,AL116))</f>
        <v>0</v>
      </c>
      <c r="AM117" s="19">
        <f>IF(AM$33=0,0,IF(Inputs!$E$30="gross",AM115,AM116))</f>
        <v>0</v>
      </c>
      <c r="AN117" s="19">
        <f>IF(AN$33=0,0,IF(Inputs!$E$30="gross",AN115,AN116))</f>
        <v>0</v>
      </c>
      <c r="AO117" s="19">
        <f>IF(AO$33=0,0,IF(Inputs!$E$30="gross",AO115,AO116))</f>
        <v>0</v>
      </c>
      <c r="AP117" s="19">
        <f>IF(AP$33=0,0,IF(Inputs!$E$30="gross",AP115,AP116))</f>
        <v>0</v>
      </c>
      <c r="AQ117" s="19">
        <f>IF(AQ$33=0,0,IF(Inputs!$E$30="gross",AQ115,AQ116))</f>
        <v>0</v>
      </c>
      <c r="AR117" s="19">
        <f>IF(AR$33=0,0,IF(Inputs!$E$30="gross",AR115,AR116))</f>
        <v>0</v>
      </c>
      <c r="AS117" s="19">
        <f>IF(AS$33=0,0,IF(Inputs!$E$30="gross",AS115,AS116))</f>
        <v>0</v>
      </c>
      <c r="AT117" s="19">
        <f>IF(AT$33=0,0,IF(Inputs!$E$30="gross",AT115,AT116))</f>
        <v>0</v>
      </c>
      <c r="AU117" s="19">
        <f>IF(AU$33=0,0,IF(Inputs!$E$30="gross",AU115,AU116))</f>
        <v>0</v>
      </c>
      <c r="AV117" s="19">
        <f>IF(AV$33=0,0,IF(Inputs!$E$30="gross",AV115,AV116))</f>
        <v>0</v>
      </c>
      <c r="AW117" s="19">
        <f>IF(AW$33=0,0,IF(Inputs!$E$30="gross",AW115,AW116))</f>
        <v>0</v>
      </c>
      <c r="AX117" s="19">
        <f>IF(AX$33=0,0,IF(Inputs!$E$30="gross",AX115,AX116))</f>
        <v>0</v>
      </c>
      <c r="AY117" s="19">
        <f>IF(AY$33=0,0,IF(Inputs!$E$30="gross",AY115,AY116))</f>
        <v>0</v>
      </c>
      <c r="AZ117" s="19">
        <f>IF(AZ$33=0,0,IF(Inputs!$E$30="gross",AZ115,AZ116))</f>
        <v>0</v>
      </c>
      <c r="BA117" s="19">
        <f>IF(BA$33=0,0,IF(Inputs!$E$30="gross",BA115,BA116))</f>
        <v>0</v>
      </c>
      <c r="BB117" s="19">
        <f>IF(BB$33=0,0,IF(Inputs!$E$30="gross",BB115,BB116))</f>
        <v>0</v>
      </c>
      <c r="BC117" s="19">
        <f>IF(BC$33=0,0,IF(Inputs!$E$30="gross",BC115,BC116))</f>
        <v>0</v>
      </c>
      <c r="BD117" s="19">
        <f>IF(BD$33=0,0,IF(Inputs!$E$30="gross",BD115,BD116))</f>
        <v>0</v>
      </c>
    </row>
    <row r="118" spans="3:56" ht="15" customHeight="1">
      <c r="C118" s="21"/>
      <c r="D118" s="11" t="s">
        <v>371</v>
      </c>
      <c r="E118" s="18" t="s">
        <v>30</v>
      </c>
      <c r="G118" s="144">
        <f>CHOOSE(Inputs!$D$8,Inputs!$E$26,Inputs!$E$27,Inputs!$E$28,Inputs!$E$29)+Inputs!$E$36+Inputs!$E$37</f>
        <v>6.9999999999999993E-2</v>
      </c>
      <c r="H118" s="144">
        <f>CHOOSE(Inputs!$D$8,Inputs!$E$26,Inputs!$E$27,Inputs!$E$28,Inputs!$E$29)+Inputs!$E$36+Inputs!$E$37</f>
        <v>6.9999999999999993E-2</v>
      </c>
      <c r="I118" s="144">
        <f>CHOOSE(Inputs!$D$8,Inputs!$E$26,Inputs!$E$27,Inputs!$E$28,Inputs!$E$29)+Inputs!$E$36+Inputs!$E$37</f>
        <v>6.9999999999999993E-2</v>
      </c>
      <c r="J118" s="144">
        <f>CHOOSE(Inputs!$D$8,Inputs!$E$26,Inputs!$E$27,Inputs!$E$28,Inputs!$E$29)+Inputs!$E$36+Inputs!$E$37</f>
        <v>6.9999999999999993E-2</v>
      </c>
      <c r="K118" s="144">
        <f>CHOOSE(Inputs!$D$8,Inputs!$E$26,Inputs!$E$27,Inputs!$E$28,Inputs!$E$29)+Inputs!$E$36+Inputs!$E$37</f>
        <v>6.9999999999999993E-2</v>
      </c>
      <c r="L118" s="144">
        <f>CHOOSE(Inputs!$D$8,Inputs!$E$26,Inputs!$E$27,Inputs!$E$28,Inputs!$E$29)+Inputs!$E$36+Inputs!$E$37</f>
        <v>6.9999999999999993E-2</v>
      </c>
      <c r="M118" s="144">
        <f>CHOOSE(Inputs!$D$8,Inputs!$E$26,Inputs!$E$27,Inputs!$E$28,Inputs!$E$29)+Inputs!$E$36+Inputs!$E$37</f>
        <v>6.9999999999999993E-2</v>
      </c>
      <c r="N118" s="144">
        <f>CHOOSE(Inputs!$D$8,Inputs!$E$26,Inputs!$E$27,Inputs!$E$28,Inputs!$E$29)+Inputs!$E$36+Inputs!$E$37</f>
        <v>6.9999999999999993E-2</v>
      </c>
      <c r="O118" s="144">
        <f>CHOOSE(Inputs!$D$8,Inputs!$E$26,Inputs!$E$27,Inputs!$E$28,Inputs!$E$29)+Inputs!$E$36+Inputs!$E$37</f>
        <v>6.9999999999999993E-2</v>
      </c>
      <c r="P118" s="144">
        <f>CHOOSE(Inputs!$D$8,Inputs!$E$26,Inputs!$E$27,Inputs!$E$28,Inputs!$E$29)+Inputs!$E$36+Inputs!$E$37</f>
        <v>6.9999999999999993E-2</v>
      </c>
      <c r="Q118" s="144">
        <f>CHOOSE(Inputs!$D$8,Inputs!$E$26,Inputs!$E$27,Inputs!$E$28,Inputs!$E$29)+Inputs!$E$36+Inputs!$E$37</f>
        <v>6.9999999999999993E-2</v>
      </c>
      <c r="R118" s="144">
        <f>CHOOSE(Inputs!$D$8,Inputs!$E$26,Inputs!$E$27,Inputs!$E$28,Inputs!$E$29)+Inputs!$E$36+Inputs!$E$37</f>
        <v>6.9999999999999993E-2</v>
      </c>
      <c r="S118" s="144">
        <f>CHOOSE(Inputs!$D$8,Inputs!$E$26,Inputs!$E$27,Inputs!$E$28,Inputs!$E$29)+Inputs!$E$36+Inputs!$E$37</f>
        <v>6.9999999999999993E-2</v>
      </c>
      <c r="T118" s="144">
        <f>CHOOSE(Inputs!$D$8,Inputs!$E$26,Inputs!$E$27,Inputs!$E$28,Inputs!$E$29)+Inputs!$E$36+Inputs!$E$37</f>
        <v>6.9999999999999993E-2</v>
      </c>
      <c r="U118" s="144">
        <f>CHOOSE(Inputs!$D$8,Inputs!$E$26,Inputs!$E$27,Inputs!$E$28,Inputs!$E$29)+Inputs!$E$36+Inputs!$E$37</f>
        <v>6.9999999999999993E-2</v>
      </c>
      <c r="V118" s="144">
        <f>CHOOSE(Inputs!$D$8,Inputs!$E$26,Inputs!$E$27,Inputs!$E$28,Inputs!$E$29)+Inputs!$E$36+Inputs!$E$37</f>
        <v>6.9999999999999993E-2</v>
      </c>
      <c r="W118" s="144">
        <f>CHOOSE(Inputs!$D$8,Inputs!$E$26,Inputs!$E$27,Inputs!$E$28,Inputs!$E$29)+Inputs!$E$36+Inputs!$E$37</f>
        <v>6.9999999999999993E-2</v>
      </c>
      <c r="X118" s="144">
        <f>CHOOSE(Inputs!$D$8,Inputs!$E$26,Inputs!$E$27,Inputs!$E$28,Inputs!$E$29)+Inputs!$E$36+Inputs!$E$37</f>
        <v>6.9999999999999993E-2</v>
      </c>
      <c r="Y118" s="144">
        <f>CHOOSE(Inputs!$D$8,Inputs!$E$26,Inputs!$E$27,Inputs!$E$28,Inputs!$E$29)+Inputs!$E$36+Inputs!$E$37</f>
        <v>6.9999999999999993E-2</v>
      </c>
      <c r="Z118" s="144">
        <f>CHOOSE(Inputs!$D$8,Inputs!$E$26,Inputs!$E$27,Inputs!$E$28,Inputs!$E$29)+Inputs!$E$36+Inputs!$E$37</f>
        <v>6.9999999999999993E-2</v>
      </c>
      <c r="AA118" s="144">
        <f>CHOOSE(Inputs!$D$8,Inputs!$E$26,Inputs!$E$27,Inputs!$E$28,Inputs!$E$29)+Inputs!$E$36+Inputs!$E$37</f>
        <v>6.9999999999999993E-2</v>
      </c>
      <c r="AB118" s="144">
        <f>CHOOSE(Inputs!$D$8,Inputs!$E$26,Inputs!$E$27,Inputs!$E$28,Inputs!$E$29)+Inputs!$E$36+Inputs!$E$37</f>
        <v>6.9999999999999993E-2</v>
      </c>
      <c r="AC118" s="144">
        <f>CHOOSE(Inputs!$D$8,Inputs!$E$26,Inputs!$E$27,Inputs!$E$28,Inputs!$E$29)+Inputs!$E$36+Inputs!$E$37</f>
        <v>6.9999999999999993E-2</v>
      </c>
      <c r="AD118" s="144">
        <f>CHOOSE(Inputs!$D$8,Inputs!$E$26,Inputs!$E$27,Inputs!$E$28,Inputs!$E$29)+Inputs!$E$36+Inputs!$E$37</f>
        <v>6.9999999999999993E-2</v>
      </c>
      <c r="AE118" s="144">
        <f>CHOOSE(Inputs!$D$8,Inputs!$E$26,Inputs!$E$27,Inputs!$E$28,Inputs!$E$29)+Inputs!$E$36+Inputs!$E$37</f>
        <v>6.9999999999999993E-2</v>
      </c>
      <c r="AF118" s="144">
        <f>CHOOSE(Inputs!$D$8,Inputs!$E$26,Inputs!$E$27,Inputs!$E$28,Inputs!$E$29)+Inputs!$E$36+Inputs!$E$37</f>
        <v>6.9999999999999993E-2</v>
      </c>
      <c r="AG118" s="144">
        <f>CHOOSE(Inputs!$D$8,Inputs!$E$26,Inputs!$E$27,Inputs!$E$28,Inputs!$E$29)+Inputs!$E$36+Inputs!$E$37</f>
        <v>6.9999999999999993E-2</v>
      </c>
      <c r="AH118" s="144">
        <f>CHOOSE(Inputs!$D$8,Inputs!$E$26,Inputs!$E$27,Inputs!$E$28,Inputs!$E$29)+Inputs!$E$36+Inputs!$E$37</f>
        <v>6.9999999999999993E-2</v>
      </c>
      <c r="AI118" s="144">
        <f>CHOOSE(Inputs!$D$8,Inputs!$E$26,Inputs!$E$27,Inputs!$E$28,Inputs!$E$29)+Inputs!$E$36+Inputs!$E$37</f>
        <v>6.9999999999999993E-2</v>
      </c>
      <c r="AJ118" s="144">
        <f>CHOOSE(Inputs!$D$8,Inputs!$E$26,Inputs!$E$27,Inputs!$E$28,Inputs!$E$29)+Inputs!$E$36+Inputs!$E$37</f>
        <v>6.9999999999999993E-2</v>
      </c>
      <c r="AK118" s="144">
        <f>CHOOSE(Inputs!$D$8,Inputs!$E$26,Inputs!$E$27,Inputs!$E$28,Inputs!$E$29)+Inputs!$E$36+Inputs!$E$37</f>
        <v>6.9999999999999993E-2</v>
      </c>
      <c r="AL118" s="144">
        <f>CHOOSE(Inputs!$D$8,Inputs!$E$26,Inputs!$E$27,Inputs!$E$28,Inputs!$E$29)+Inputs!$E$36+Inputs!$E$37</f>
        <v>6.9999999999999993E-2</v>
      </c>
      <c r="AM118" s="144">
        <f>CHOOSE(Inputs!$D$8,Inputs!$E$26,Inputs!$E$27,Inputs!$E$28,Inputs!$E$29)+Inputs!$E$36+Inputs!$E$37</f>
        <v>6.9999999999999993E-2</v>
      </c>
      <c r="AN118" s="144">
        <f>CHOOSE(Inputs!$D$8,Inputs!$E$26,Inputs!$E$27,Inputs!$E$28,Inputs!$E$29)+Inputs!$E$36+Inputs!$E$37</f>
        <v>6.9999999999999993E-2</v>
      </c>
      <c r="AO118" s="144">
        <f>CHOOSE(Inputs!$D$8,Inputs!$E$26,Inputs!$E$27,Inputs!$E$28,Inputs!$E$29)+Inputs!$E$36+Inputs!$E$37</f>
        <v>6.9999999999999993E-2</v>
      </c>
      <c r="AP118" s="144">
        <f>CHOOSE(Inputs!$D$8,Inputs!$E$26,Inputs!$E$27,Inputs!$E$28,Inputs!$E$29)+Inputs!$E$36+Inputs!$E$37</f>
        <v>6.9999999999999993E-2</v>
      </c>
      <c r="AQ118" s="144">
        <f>CHOOSE(Inputs!$D$8,Inputs!$E$26,Inputs!$E$27,Inputs!$E$28,Inputs!$E$29)+Inputs!$E$36+Inputs!$E$37</f>
        <v>6.9999999999999993E-2</v>
      </c>
      <c r="AR118" s="144">
        <f>CHOOSE(Inputs!$D$8,Inputs!$E$26,Inputs!$E$27,Inputs!$E$28,Inputs!$E$29)+Inputs!$E$36+Inputs!$E$37</f>
        <v>6.9999999999999993E-2</v>
      </c>
      <c r="AS118" s="144">
        <f>CHOOSE(Inputs!$D$8,Inputs!$E$26,Inputs!$E$27,Inputs!$E$28,Inputs!$E$29)+Inputs!$E$36+Inputs!$E$37</f>
        <v>6.9999999999999993E-2</v>
      </c>
      <c r="AT118" s="144">
        <f>CHOOSE(Inputs!$D$8,Inputs!$E$26,Inputs!$E$27,Inputs!$E$28,Inputs!$E$29)+Inputs!$E$36+Inputs!$E$37</f>
        <v>6.9999999999999993E-2</v>
      </c>
      <c r="AU118" s="144">
        <f>CHOOSE(Inputs!$D$8,Inputs!$E$26,Inputs!$E$27,Inputs!$E$28,Inputs!$E$29)+Inputs!$E$36+Inputs!$E$37</f>
        <v>6.9999999999999993E-2</v>
      </c>
      <c r="AV118" s="144">
        <f>CHOOSE(Inputs!$D$8,Inputs!$E$26,Inputs!$E$27,Inputs!$E$28,Inputs!$E$29)+Inputs!$E$36+Inputs!$E$37</f>
        <v>6.9999999999999993E-2</v>
      </c>
      <c r="AW118" s="144">
        <f>CHOOSE(Inputs!$D$8,Inputs!$E$26,Inputs!$E$27,Inputs!$E$28,Inputs!$E$29)+Inputs!$E$36+Inputs!$E$37</f>
        <v>6.9999999999999993E-2</v>
      </c>
      <c r="AX118" s="144">
        <f>CHOOSE(Inputs!$D$8,Inputs!$E$26,Inputs!$E$27,Inputs!$E$28,Inputs!$E$29)+Inputs!$E$36+Inputs!$E$37</f>
        <v>6.9999999999999993E-2</v>
      </c>
      <c r="AY118" s="144">
        <f>CHOOSE(Inputs!$D$8,Inputs!$E$26,Inputs!$E$27,Inputs!$E$28,Inputs!$E$29)+Inputs!$E$36+Inputs!$E$37</f>
        <v>6.9999999999999993E-2</v>
      </c>
      <c r="AZ118" s="144">
        <f>CHOOSE(Inputs!$D$8,Inputs!$E$26,Inputs!$E$27,Inputs!$E$28,Inputs!$E$29)+Inputs!$E$36+Inputs!$E$37</f>
        <v>6.9999999999999993E-2</v>
      </c>
      <c r="BA118" s="144">
        <f>CHOOSE(Inputs!$D$8,Inputs!$E$26,Inputs!$E$27,Inputs!$E$28,Inputs!$E$29)+Inputs!$E$36+Inputs!$E$37</f>
        <v>6.9999999999999993E-2</v>
      </c>
      <c r="BB118" s="144">
        <f>CHOOSE(Inputs!$D$8,Inputs!$E$26,Inputs!$E$27,Inputs!$E$28,Inputs!$E$29)+Inputs!$E$36+Inputs!$E$37</f>
        <v>6.9999999999999993E-2</v>
      </c>
      <c r="BC118" s="144">
        <f>CHOOSE(Inputs!$D$8,Inputs!$E$26,Inputs!$E$27,Inputs!$E$28,Inputs!$E$29)+Inputs!$E$36+Inputs!$E$37</f>
        <v>6.9999999999999993E-2</v>
      </c>
      <c r="BD118" s="144">
        <f>CHOOSE(Inputs!$D$8,Inputs!$E$26,Inputs!$E$27,Inputs!$E$28,Inputs!$E$29)+Inputs!$E$36+Inputs!$E$37</f>
        <v>6.9999999999999993E-2</v>
      </c>
    </row>
    <row r="119" spans="3:56" ht="15" customHeight="1">
      <c r="C119" s="21">
        <f>SUM(G119:BD119)</f>
        <v>0</v>
      </c>
      <c r="D119" s="11" t="s">
        <v>374</v>
      </c>
      <c r="E119" s="18" t="s">
        <v>333</v>
      </c>
      <c r="G119" s="38">
        <f>G117*G118</f>
        <v>0</v>
      </c>
      <c r="H119" s="38">
        <f>H117*H118</f>
        <v>0</v>
      </c>
      <c r="I119" s="38">
        <f>I117*I118</f>
        <v>0</v>
      </c>
      <c r="J119" s="38">
        <f t="shared" ref="J119:BD119" si="80">J117*J118</f>
        <v>0</v>
      </c>
      <c r="K119" s="38">
        <f t="shared" si="80"/>
        <v>0</v>
      </c>
      <c r="L119" s="38">
        <f t="shared" si="80"/>
        <v>0</v>
      </c>
      <c r="M119" s="38">
        <f t="shared" si="80"/>
        <v>0</v>
      </c>
      <c r="N119" s="38">
        <f t="shared" si="80"/>
        <v>0</v>
      </c>
      <c r="O119" s="38">
        <f t="shared" si="80"/>
        <v>0</v>
      </c>
      <c r="P119" s="38">
        <f t="shared" si="80"/>
        <v>0</v>
      </c>
      <c r="Q119" s="38">
        <f t="shared" si="80"/>
        <v>0</v>
      </c>
      <c r="R119" s="38">
        <f t="shared" si="80"/>
        <v>0</v>
      </c>
      <c r="S119" s="38">
        <f t="shared" si="80"/>
        <v>0</v>
      </c>
      <c r="T119" s="38">
        <f t="shared" si="80"/>
        <v>0</v>
      </c>
      <c r="U119" s="38">
        <f t="shared" si="80"/>
        <v>0</v>
      </c>
      <c r="V119" s="38">
        <f t="shared" si="80"/>
        <v>0</v>
      </c>
      <c r="W119" s="38">
        <f t="shared" si="80"/>
        <v>0</v>
      </c>
      <c r="X119" s="38">
        <f t="shared" si="80"/>
        <v>0</v>
      </c>
      <c r="Y119" s="38">
        <f t="shared" si="80"/>
        <v>0</v>
      </c>
      <c r="Z119" s="38">
        <f t="shared" si="80"/>
        <v>0</v>
      </c>
      <c r="AA119" s="38">
        <f t="shared" si="80"/>
        <v>0</v>
      </c>
      <c r="AB119" s="38">
        <f t="shared" si="80"/>
        <v>0</v>
      </c>
      <c r="AC119" s="38">
        <f t="shared" si="80"/>
        <v>0</v>
      </c>
      <c r="AD119" s="38">
        <f t="shared" si="80"/>
        <v>0</v>
      </c>
      <c r="AE119" s="38">
        <f t="shared" si="80"/>
        <v>0</v>
      </c>
      <c r="AF119" s="38">
        <f t="shared" si="80"/>
        <v>0</v>
      </c>
      <c r="AG119" s="38">
        <f t="shared" si="80"/>
        <v>0</v>
      </c>
      <c r="AH119" s="38">
        <f t="shared" si="80"/>
        <v>0</v>
      </c>
      <c r="AI119" s="38">
        <f t="shared" si="80"/>
        <v>0</v>
      </c>
      <c r="AJ119" s="38">
        <f t="shared" si="80"/>
        <v>0</v>
      </c>
      <c r="AK119" s="38">
        <f t="shared" si="80"/>
        <v>0</v>
      </c>
      <c r="AL119" s="38">
        <f t="shared" si="80"/>
        <v>0</v>
      </c>
      <c r="AM119" s="38">
        <f t="shared" si="80"/>
        <v>0</v>
      </c>
      <c r="AN119" s="38">
        <f t="shared" si="80"/>
        <v>0</v>
      </c>
      <c r="AO119" s="38">
        <f t="shared" si="80"/>
        <v>0</v>
      </c>
      <c r="AP119" s="38">
        <f t="shared" si="80"/>
        <v>0</v>
      </c>
      <c r="AQ119" s="38">
        <f t="shared" si="80"/>
        <v>0</v>
      </c>
      <c r="AR119" s="38">
        <f t="shared" si="80"/>
        <v>0</v>
      </c>
      <c r="AS119" s="38">
        <f t="shared" si="80"/>
        <v>0</v>
      </c>
      <c r="AT119" s="38">
        <f t="shared" si="80"/>
        <v>0</v>
      </c>
      <c r="AU119" s="38">
        <f t="shared" si="80"/>
        <v>0</v>
      </c>
      <c r="AV119" s="38">
        <f t="shared" si="80"/>
        <v>0</v>
      </c>
      <c r="AW119" s="38">
        <f t="shared" si="80"/>
        <v>0</v>
      </c>
      <c r="AX119" s="38">
        <f t="shared" si="80"/>
        <v>0</v>
      </c>
      <c r="AY119" s="38">
        <f t="shared" si="80"/>
        <v>0</v>
      </c>
      <c r="AZ119" s="38">
        <f t="shared" si="80"/>
        <v>0</v>
      </c>
      <c r="BA119" s="38">
        <f t="shared" si="80"/>
        <v>0</v>
      </c>
      <c r="BB119" s="38">
        <f t="shared" si="80"/>
        <v>0</v>
      </c>
      <c r="BC119" s="38">
        <f t="shared" si="80"/>
        <v>0</v>
      </c>
      <c r="BD119" s="38">
        <f t="shared" si="80"/>
        <v>0</v>
      </c>
    </row>
    <row r="120" spans="3:56" ht="15" customHeight="1">
      <c r="C120" s="21"/>
      <c r="E120" s="18"/>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row>
    <row r="121" spans="3:56" ht="15" customHeight="1">
      <c r="C121" s="299"/>
      <c r="D121" s="166"/>
      <c r="E121" s="238"/>
      <c r="F121" s="166"/>
      <c r="G121" s="298"/>
      <c r="H121" s="298"/>
      <c r="I121" s="298"/>
      <c r="J121" s="298"/>
      <c r="K121" s="298"/>
      <c r="L121" s="298"/>
      <c r="M121" s="298"/>
      <c r="N121" s="298"/>
      <c r="O121" s="298"/>
      <c r="P121" s="298"/>
      <c r="Q121" s="298"/>
      <c r="R121" s="298"/>
      <c r="S121" s="298"/>
      <c r="T121" s="298"/>
      <c r="U121" s="298"/>
      <c r="V121" s="298"/>
      <c r="W121" s="298"/>
      <c r="X121" s="298"/>
      <c r="Y121" s="298"/>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AZ121" s="298"/>
      <c r="BA121" s="298"/>
      <c r="BB121" s="298"/>
      <c r="BC121" s="298"/>
      <c r="BD121" s="298"/>
    </row>
    <row r="122" spans="3:56" ht="15" customHeight="1">
      <c r="D122" s="9" t="s">
        <v>375</v>
      </c>
    </row>
    <row r="123" spans="3:56" ht="15" customHeight="1">
      <c r="C123" s="21"/>
      <c r="D123" s="11" t="s">
        <v>376</v>
      </c>
      <c r="E123" s="18" t="s">
        <v>333</v>
      </c>
      <c r="G123" s="19">
        <f>G110</f>
        <v>0</v>
      </c>
      <c r="H123" s="19">
        <f t="shared" ref="H123:AL123" si="81">H110</f>
        <v>0</v>
      </c>
      <c r="I123" s="19">
        <f t="shared" si="81"/>
        <v>0</v>
      </c>
      <c r="J123" s="19">
        <f t="shared" si="81"/>
        <v>0</v>
      </c>
      <c r="K123" s="19">
        <f t="shared" si="81"/>
        <v>259.7837184</v>
      </c>
      <c r="L123" s="19">
        <f t="shared" si="81"/>
        <v>618.28524979200006</v>
      </c>
      <c r="M123" s="19">
        <f t="shared" si="81"/>
        <v>630.65095478784008</v>
      </c>
      <c r="N123" s="19">
        <f t="shared" si="81"/>
        <v>643.26397388359669</v>
      </c>
      <c r="O123" s="19">
        <f t="shared" si="81"/>
        <v>656.12925336126864</v>
      </c>
      <c r="P123" s="19">
        <f t="shared" si="81"/>
        <v>669.25183842849401</v>
      </c>
      <c r="Q123" s="19">
        <f t="shared" si="81"/>
        <v>682.636875197064</v>
      </c>
      <c r="R123" s="19">
        <f t="shared" si="81"/>
        <v>696.28961270100513</v>
      </c>
      <c r="S123" s="19">
        <f t="shared" si="81"/>
        <v>710.21540495502541</v>
      </c>
      <c r="T123" s="19">
        <f t="shared" si="81"/>
        <v>724.41971305412585</v>
      </c>
      <c r="U123" s="19">
        <f t="shared" si="81"/>
        <v>738.90810731520844</v>
      </c>
      <c r="V123" s="19">
        <f t="shared" si="81"/>
        <v>753.68626946151232</v>
      </c>
      <c r="W123" s="19">
        <f t="shared" si="81"/>
        <v>768.75999485074271</v>
      </c>
      <c r="X123" s="19">
        <f t="shared" si="81"/>
        <v>784.13519474775762</v>
      </c>
      <c r="Y123" s="19">
        <f t="shared" si="81"/>
        <v>799.81789864271275</v>
      </c>
      <c r="Z123" s="19">
        <f t="shared" si="81"/>
        <v>815.81425661556693</v>
      </c>
      <c r="AA123" s="19">
        <f t="shared" si="81"/>
        <v>832.1305417478784</v>
      </c>
      <c r="AB123" s="19">
        <f t="shared" si="81"/>
        <v>848.77315258283591</v>
      </c>
      <c r="AC123" s="19">
        <f t="shared" si="81"/>
        <v>865.74861563449269</v>
      </c>
      <c r="AD123" s="19">
        <f t="shared" si="81"/>
        <v>883.06358794718233</v>
      </c>
      <c r="AE123" s="19">
        <f t="shared" si="81"/>
        <v>900.72485970612604</v>
      </c>
      <c r="AF123" s="19">
        <f t="shared" si="81"/>
        <v>918.73935690024859</v>
      </c>
      <c r="AG123" s="19">
        <f t="shared" si="81"/>
        <v>937.11414403825358</v>
      </c>
      <c r="AH123" s="19">
        <f t="shared" si="81"/>
        <v>409.65275439386505</v>
      </c>
      <c r="AI123" s="19">
        <f t="shared" si="81"/>
        <v>0</v>
      </c>
      <c r="AJ123" s="19">
        <f t="shared" si="81"/>
        <v>0</v>
      </c>
      <c r="AK123" s="19">
        <f t="shared" si="81"/>
        <v>0</v>
      </c>
      <c r="AL123" s="19">
        <f t="shared" si="81"/>
        <v>0</v>
      </c>
      <c r="AM123" s="19">
        <f t="shared" ref="AM123:BD123" si="82">AM110</f>
        <v>0</v>
      </c>
      <c r="AN123" s="19">
        <f t="shared" si="82"/>
        <v>0</v>
      </c>
      <c r="AO123" s="19">
        <f t="shared" si="82"/>
        <v>0</v>
      </c>
      <c r="AP123" s="19">
        <f t="shared" si="82"/>
        <v>0</v>
      </c>
      <c r="AQ123" s="19">
        <f t="shared" si="82"/>
        <v>0</v>
      </c>
      <c r="AR123" s="19">
        <f t="shared" si="82"/>
        <v>0</v>
      </c>
      <c r="AS123" s="19">
        <f t="shared" si="82"/>
        <v>0</v>
      </c>
      <c r="AT123" s="19">
        <f t="shared" si="82"/>
        <v>0</v>
      </c>
      <c r="AU123" s="19">
        <f t="shared" si="82"/>
        <v>0</v>
      </c>
      <c r="AV123" s="19">
        <f t="shared" si="82"/>
        <v>0</v>
      </c>
      <c r="AW123" s="19">
        <f t="shared" si="82"/>
        <v>0</v>
      </c>
      <c r="AX123" s="19">
        <f t="shared" si="82"/>
        <v>0</v>
      </c>
      <c r="AY123" s="19">
        <f t="shared" si="82"/>
        <v>0</v>
      </c>
      <c r="AZ123" s="19">
        <f t="shared" si="82"/>
        <v>0</v>
      </c>
      <c r="BA123" s="19">
        <f t="shared" si="82"/>
        <v>0</v>
      </c>
      <c r="BB123" s="19">
        <f t="shared" si="82"/>
        <v>0</v>
      </c>
      <c r="BC123" s="19">
        <f t="shared" si="82"/>
        <v>0</v>
      </c>
      <c r="BD123" s="19">
        <f t="shared" si="82"/>
        <v>0</v>
      </c>
    </row>
    <row r="124" spans="3:56" ht="15" customHeight="1">
      <c r="C124" s="21"/>
      <c r="E124" s="18"/>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7"/>
    </row>
    <row r="125" spans="3:56" ht="15" customHeight="1">
      <c r="C125" s="21"/>
      <c r="D125" s="109" t="s">
        <v>377</v>
      </c>
      <c r="E125" s="18" t="s">
        <v>333</v>
      </c>
      <c r="G125" s="38">
        <f>MIN(G123,Inputs!$D$133)</f>
        <v>0</v>
      </c>
      <c r="H125" s="38">
        <f>MIN(H123,Inputs!$D$133)</f>
        <v>0</v>
      </c>
      <c r="I125" s="38">
        <f>MIN(I123,Inputs!$D$133)</f>
        <v>0</v>
      </c>
      <c r="J125" s="38">
        <f>MIN(J123,Inputs!$D$133)</f>
        <v>0</v>
      </c>
      <c r="K125" s="38">
        <f>MIN(K123,Inputs!$D$133)</f>
        <v>0</v>
      </c>
      <c r="L125" s="38">
        <f>MIN(L123,Inputs!$D$133)</f>
        <v>0</v>
      </c>
      <c r="M125" s="38">
        <f>MIN(M123,Inputs!$D$133)</f>
        <v>0</v>
      </c>
      <c r="N125" s="38">
        <f>MIN(N123,Inputs!$D$133)</f>
        <v>0</v>
      </c>
      <c r="O125" s="38">
        <f>MIN(O123,Inputs!$D$133)</f>
        <v>0</v>
      </c>
      <c r="P125" s="38">
        <f>MIN(P123,Inputs!$D$133)</f>
        <v>0</v>
      </c>
      <c r="Q125" s="38">
        <f>MIN(Q123,Inputs!$D$133)</f>
        <v>0</v>
      </c>
      <c r="R125" s="38">
        <f>MIN(R123,Inputs!$D$133)</f>
        <v>0</v>
      </c>
      <c r="S125" s="38">
        <f>MIN(S123,Inputs!$D$133)</f>
        <v>0</v>
      </c>
      <c r="T125" s="38">
        <f>MIN(T123,Inputs!$D$133)</f>
        <v>0</v>
      </c>
      <c r="U125" s="38">
        <f>MIN(U123,Inputs!$D$133)</f>
        <v>0</v>
      </c>
      <c r="V125" s="38">
        <f>MIN(V123,Inputs!$D$133)</f>
        <v>0</v>
      </c>
      <c r="W125" s="38">
        <f>MIN(W123,Inputs!$D$133)</f>
        <v>0</v>
      </c>
      <c r="X125" s="38">
        <f>MIN(X123,Inputs!$D$133)</f>
        <v>0</v>
      </c>
      <c r="Y125" s="38">
        <f>MIN(Y123,Inputs!$D$133)</f>
        <v>0</v>
      </c>
      <c r="Z125" s="38">
        <f>MIN(Z123,Inputs!$D$133)</f>
        <v>0</v>
      </c>
      <c r="AA125" s="38">
        <f>MIN(AA123,Inputs!$D$133)</f>
        <v>0</v>
      </c>
      <c r="AB125" s="38">
        <f>MIN(AB123,Inputs!$D$133)</f>
        <v>0</v>
      </c>
      <c r="AC125" s="38">
        <f>MIN(AC123,Inputs!$D$133)</f>
        <v>0</v>
      </c>
      <c r="AD125" s="38">
        <f>MIN(AD123,Inputs!$D$133)</f>
        <v>0</v>
      </c>
      <c r="AE125" s="38">
        <f>MIN(AE123,Inputs!$D$133)</f>
        <v>0</v>
      </c>
      <c r="AF125" s="38">
        <f>MIN(AF123,Inputs!$D$133)</f>
        <v>0</v>
      </c>
      <c r="AG125" s="38">
        <f>MIN(AG123,Inputs!$D$133)</f>
        <v>0</v>
      </c>
      <c r="AH125" s="38">
        <f>MIN(AH123,Inputs!$D$133)</f>
        <v>0</v>
      </c>
      <c r="AI125" s="38">
        <f>MIN(AI123,Inputs!$D$133)</f>
        <v>0</v>
      </c>
      <c r="AJ125" s="38">
        <f>MIN(AJ123,Inputs!$D$133)</f>
        <v>0</v>
      </c>
      <c r="AK125" s="38">
        <f>MIN(AK123,Inputs!$D$133)</f>
        <v>0</v>
      </c>
      <c r="AL125" s="38">
        <f>MIN(AL123,Inputs!$D$133)</f>
        <v>0</v>
      </c>
      <c r="AM125" s="38">
        <f>MIN(AM123,Inputs!$D$133)</f>
        <v>0</v>
      </c>
      <c r="AN125" s="38">
        <f>MIN(AN123,Inputs!$D$133)</f>
        <v>0</v>
      </c>
      <c r="AO125" s="38">
        <f>MIN(AO123,Inputs!$D$133)</f>
        <v>0</v>
      </c>
      <c r="AP125" s="38">
        <f>MIN(AP123,Inputs!$D$133)</f>
        <v>0</v>
      </c>
      <c r="AQ125" s="38">
        <f>MIN(AQ123,Inputs!$D$133)</f>
        <v>0</v>
      </c>
      <c r="AR125" s="38">
        <f>MIN(AR123,Inputs!$D$133)</f>
        <v>0</v>
      </c>
      <c r="AS125" s="38">
        <f>MIN(AS123,Inputs!$D$133)</f>
        <v>0</v>
      </c>
      <c r="AT125" s="38">
        <f>MIN(AT123,Inputs!$D$133)</f>
        <v>0</v>
      </c>
      <c r="AU125" s="38">
        <f>MIN(AU123,Inputs!$D$133)</f>
        <v>0</v>
      </c>
      <c r="AV125" s="38">
        <f>MIN(AV123,Inputs!$D$133)</f>
        <v>0</v>
      </c>
      <c r="AW125" s="38">
        <f>MIN(AW123,Inputs!$D$133)</f>
        <v>0</v>
      </c>
      <c r="AX125" s="38">
        <f>MIN(AX123,Inputs!$D$133)</f>
        <v>0</v>
      </c>
      <c r="AY125" s="38">
        <f>MIN(AY123,Inputs!$D$133)</f>
        <v>0</v>
      </c>
      <c r="AZ125" s="38">
        <f>MIN(AZ123,Inputs!$D$133)</f>
        <v>0</v>
      </c>
      <c r="BA125" s="38">
        <f>MIN(BA123,Inputs!$D$133)</f>
        <v>0</v>
      </c>
      <c r="BB125" s="38">
        <f>MIN(BB123,Inputs!$D$133)</f>
        <v>0</v>
      </c>
      <c r="BC125" s="38">
        <f>MIN(BC123,Inputs!$D$133)</f>
        <v>0</v>
      </c>
      <c r="BD125" s="38">
        <f>MIN(BD123,Inputs!$D$133)</f>
        <v>0</v>
      </c>
    </row>
    <row r="126" spans="3:56" ht="15" customHeight="1">
      <c r="C126" s="21"/>
      <c r="D126" s="109" t="s">
        <v>378</v>
      </c>
      <c r="E126" s="18" t="s">
        <v>333</v>
      </c>
      <c r="G126" s="38">
        <f>(G$123&gt;Inputs!$D133)*(G$123-Inputs!$D133-G127-G128-G129-G130-G131-G132-G133-G134)</f>
        <v>0</v>
      </c>
      <c r="H126" s="38">
        <f>(H$123&gt;Inputs!$D133)*(H$123-Inputs!$D133-H127-H128-H129-H130-H131-H132-H133-H134)</f>
        <v>0</v>
      </c>
      <c r="I126" s="38">
        <f>(I$123&gt;Inputs!$D133)*(I$123-Inputs!$D133-I127-I128-I129-I130-I131-I132-I133-I134)</f>
        <v>0</v>
      </c>
      <c r="J126" s="38">
        <f>(J$123&gt;Inputs!$D133)*(J$123-Inputs!$D133-J127-J128-J129-J130-J131-J132-J133-J134)</f>
        <v>0</v>
      </c>
      <c r="K126" s="38">
        <f>(K$123&gt;Inputs!$D133)*(K$123-Inputs!$D133-K127-K128-K129-K130-K131-K132-K133-K134)</f>
        <v>0</v>
      </c>
      <c r="L126" s="38">
        <f>(L$123&gt;Inputs!$D133)*(L$123-Inputs!$D133-L127-L128-L129-L130-L131-L132-L133-L134)</f>
        <v>0</v>
      </c>
      <c r="M126" s="38">
        <f>(M$123&gt;Inputs!$D133)*(M$123-Inputs!$D133-M127-M128-M129-M130-M131-M132-M133-M134)</f>
        <v>0</v>
      </c>
      <c r="N126" s="38">
        <f>(N$123&gt;Inputs!$D133)*(N$123-Inputs!$D133-N127-N128-N129-N130-N131-N132-N133-N134)</f>
        <v>0</v>
      </c>
      <c r="O126" s="38">
        <f>(O$123&gt;Inputs!$D133)*(O$123-Inputs!$D133-O127-O128-O129-O130-O131-O132-O133-O134)</f>
        <v>0</v>
      </c>
      <c r="P126" s="38">
        <f>(P$123&gt;Inputs!$D133)*(P$123-Inputs!$D133-P127-P128-P129-P130-P131-P132-P133-P134)</f>
        <v>0</v>
      </c>
      <c r="Q126" s="38">
        <f>(Q$123&gt;Inputs!$D133)*(Q$123-Inputs!$D133-Q127-Q128-Q129-Q130-Q131-Q132-Q133-Q134)</f>
        <v>0</v>
      </c>
      <c r="R126" s="38">
        <f>(R$123&gt;Inputs!$D133)*(R$123-Inputs!$D133-R127-R128-R129-R130-R131-R132-R133-R134)</f>
        <v>0</v>
      </c>
      <c r="S126" s="38">
        <f>(S$123&gt;Inputs!$D133)*(S$123-Inputs!$D133-S127-S128-S129-S130-S131-S132-S133-S134)</f>
        <v>0</v>
      </c>
      <c r="T126" s="38">
        <f>(T$123&gt;Inputs!$D133)*(T$123-Inputs!$D133-T127-T128-T129-T130-T131-T132-T133-T134)</f>
        <v>0</v>
      </c>
      <c r="U126" s="38">
        <f>(U$123&gt;Inputs!$D133)*(U$123-Inputs!$D133-U127-U128-U129-U130-U131-U132-U133-U134)</f>
        <v>0</v>
      </c>
      <c r="V126" s="38">
        <f>(V$123&gt;Inputs!$D133)*(V$123-Inputs!$D133-V127-V128-V129-V130-V131-V132-V133-V134)</f>
        <v>0</v>
      </c>
      <c r="W126" s="38">
        <f>(W$123&gt;Inputs!$D133)*(W$123-Inputs!$D133-W127-W128-W129-W130-W131-W132-W133-W134)</f>
        <v>0</v>
      </c>
      <c r="X126" s="38">
        <f>(X$123&gt;Inputs!$D133)*(X$123-Inputs!$D133-X127-X128-X129-X130-X131-X132-X133-X134)</f>
        <v>0</v>
      </c>
      <c r="Y126" s="38">
        <f>(Y$123&gt;Inputs!$D133)*(Y$123-Inputs!$D133-Y127-Y128-Y129-Y130-Y131-Y132-Y133-Y134)</f>
        <v>0</v>
      </c>
      <c r="Z126" s="38">
        <f>(Z$123&gt;Inputs!$D133)*(Z$123-Inputs!$D133-Z127-Z128-Z129-Z130-Z131-Z132-Z133-Z134)</f>
        <v>0</v>
      </c>
      <c r="AA126" s="38">
        <f>(AA$123&gt;Inputs!$D133)*(AA$123-Inputs!$D133-AA127-AA128-AA129-AA130-AA131-AA132-AA133-AA134)</f>
        <v>0</v>
      </c>
      <c r="AB126" s="38">
        <f>(AB$123&gt;Inputs!$D133)*(AB$123-Inputs!$D133-AB127-AB128-AB129-AB130-AB131-AB132-AB133-AB134)</f>
        <v>0</v>
      </c>
      <c r="AC126" s="38">
        <f>(AC$123&gt;Inputs!$D133)*(AC$123-Inputs!$D133-AC127-AC128-AC129-AC130-AC131-AC132-AC133-AC134)</f>
        <v>0</v>
      </c>
      <c r="AD126" s="38">
        <f>(AD$123&gt;Inputs!$D133)*(AD$123-Inputs!$D133-AD127-AD128-AD129-AD130-AD131-AD132-AD133-AD134)</f>
        <v>0</v>
      </c>
      <c r="AE126" s="38">
        <f>(AE$123&gt;Inputs!$D133)*(AE$123-Inputs!$D133-AE127-AE128-AE129-AE130-AE131-AE132-AE133-AE134)</f>
        <v>0</v>
      </c>
      <c r="AF126" s="38">
        <f>(AF$123&gt;Inputs!$D133)*(AF$123-Inputs!$D133-AF127-AF128-AF129-AF130-AF131-AF132-AF133-AF134)</f>
        <v>0</v>
      </c>
      <c r="AG126" s="38">
        <f>(AG$123&gt;Inputs!$D133)*(AG$123-Inputs!$D133-AG127-AG128-AG129-AG130-AG131-AG132-AG133-AG134)</f>
        <v>0</v>
      </c>
      <c r="AH126" s="38">
        <f>(AH$123&gt;Inputs!$D133)*(AH$123-Inputs!$D133-AH127-AH128-AH129-AH130-AH131-AH132-AH133-AH134)</f>
        <v>0</v>
      </c>
      <c r="AI126" s="38">
        <f>(AI$123&gt;Inputs!$D133)*(AI$123-Inputs!$D133-AI127-AI128-AI129-AI130-AI131-AI132-AI133-AI134)</f>
        <v>0</v>
      </c>
      <c r="AJ126" s="38">
        <f>(AJ$123&gt;Inputs!$D133)*(AJ$123-Inputs!$D133-AJ127-AJ128-AJ129-AJ130-AJ131-AJ132-AJ133-AJ134)</f>
        <v>0</v>
      </c>
      <c r="AK126" s="38">
        <f>(AK$123&gt;Inputs!$D133)*(AK$123-Inputs!$D133-AK127-AK128-AK129-AK130-AK131-AK132-AK133-AK134)</f>
        <v>0</v>
      </c>
      <c r="AL126" s="38">
        <f>(AL$123&gt;Inputs!$D133)*(AL$123-Inputs!$D133-AL127-AL128-AL129-AL130-AL131-AL132-AL133-AL134)</f>
        <v>0</v>
      </c>
      <c r="AM126" s="38">
        <f>(AM$123&gt;Inputs!$D133)*(AM$123-Inputs!$D133-AM127-AM128-AM129-AM130-AM131-AM132-AM133-AM134)</f>
        <v>0</v>
      </c>
      <c r="AN126" s="38">
        <f>(AN$123&gt;Inputs!$D133)*(AN$123-Inputs!$D133-AN127-AN128-AN129-AN130-AN131-AN132-AN133-AN134)</f>
        <v>0</v>
      </c>
      <c r="AO126" s="38">
        <f>(AO$123&gt;Inputs!$D133)*(AO$123-Inputs!$D133-AO127-AO128-AO129-AO130-AO131-AO132-AO133-AO134)</f>
        <v>0</v>
      </c>
      <c r="AP126" s="38">
        <f>(AP$123&gt;Inputs!$D133)*(AP$123-Inputs!$D133-AP127-AP128-AP129-AP130-AP131-AP132-AP133-AP134)</f>
        <v>0</v>
      </c>
      <c r="AQ126" s="38">
        <f>(AQ$123&gt;Inputs!$D133)*(AQ$123-Inputs!$D133-AQ127-AQ128-AQ129-AQ130-AQ131-AQ132-AQ133-AQ134)</f>
        <v>0</v>
      </c>
      <c r="AR126" s="38">
        <f>(AR$123&gt;Inputs!$D133)*(AR$123-Inputs!$D133-AR127-AR128-AR129-AR130-AR131-AR132-AR133-AR134)</f>
        <v>0</v>
      </c>
      <c r="AS126" s="38">
        <f>(AS$123&gt;Inputs!$D133)*(AS$123-Inputs!$D133-AS127-AS128-AS129-AS130-AS131-AS132-AS133-AS134)</f>
        <v>0</v>
      </c>
      <c r="AT126" s="38">
        <f>(AT$123&gt;Inputs!$D133)*(AT$123-Inputs!$D133-AT127-AT128-AT129-AT130-AT131-AT132-AT133-AT134)</f>
        <v>0</v>
      </c>
      <c r="AU126" s="38">
        <f>(AU$123&gt;Inputs!$D133)*(AU$123-Inputs!$D133-AU127-AU128-AU129-AU130-AU131-AU132-AU133-AU134)</f>
        <v>0</v>
      </c>
      <c r="AV126" s="38">
        <f>(AV$123&gt;Inputs!$D133)*(AV$123-Inputs!$D133-AV127-AV128-AV129-AV130-AV131-AV132-AV133-AV134)</f>
        <v>0</v>
      </c>
      <c r="AW126" s="38">
        <f>(AW$123&gt;Inputs!$D133)*(AW$123-Inputs!$D133-AW127-AW128-AW129-AW130-AW131-AW132-AW133-AW134)</f>
        <v>0</v>
      </c>
      <c r="AX126" s="38">
        <f>(AX$123&gt;Inputs!$D133)*(AX$123-Inputs!$D133-AX127-AX128-AX129-AX130-AX131-AX132-AX133-AX134)</f>
        <v>0</v>
      </c>
      <c r="AY126" s="38">
        <f>(AY$123&gt;Inputs!$D133)*(AY$123-Inputs!$D133-AY127-AY128-AY129-AY130-AY131-AY132-AY133-AY134)</f>
        <v>0</v>
      </c>
      <c r="AZ126" s="38">
        <f>(AZ$123&gt;Inputs!$D133)*(AZ$123-Inputs!$D133-AZ127-AZ128-AZ129-AZ130-AZ131-AZ132-AZ133-AZ134)</f>
        <v>0</v>
      </c>
      <c r="BA126" s="38">
        <f>(BA$123&gt;Inputs!$D133)*(BA$123-Inputs!$D133-BA127-BA128-BA129-BA130-BA131-BA132-BA133-BA134)</f>
        <v>0</v>
      </c>
      <c r="BB126" s="38">
        <f>(BB$123&gt;Inputs!$D133)*(BB$123-Inputs!$D133-BB127-BB128-BB129-BB130-BB131-BB132-BB133-BB134)</f>
        <v>0</v>
      </c>
      <c r="BC126" s="38">
        <f>(BC$123&gt;Inputs!$D133)*(BC$123-Inputs!$D133-BC127-BC128-BC129-BC130-BC131-BC132-BC133-BC134)</f>
        <v>0</v>
      </c>
      <c r="BD126" s="38">
        <f>(BD$123&gt;Inputs!$D133)*(BD$123-Inputs!$D133-BD127-BD128-BD129-BD130-BD131-BD132-BD133-BD134)</f>
        <v>0</v>
      </c>
    </row>
    <row r="127" spans="3:56" ht="15" customHeight="1">
      <c r="C127" s="21"/>
      <c r="D127" s="109" t="s">
        <v>379</v>
      </c>
      <c r="E127" s="18" t="s">
        <v>333</v>
      </c>
      <c r="G127" s="38">
        <f>(G$123&gt;Inputs!$D134)*(G$123-Inputs!$D134-G128-G129-G130-G131-G132-G133-G134)</f>
        <v>0</v>
      </c>
      <c r="H127" s="38">
        <f>(H$123&gt;Inputs!$D134)*(H$123-Inputs!$D134-H128-H129-H130-H131-H132-H133-H134)</f>
        <v>0</v>
      </c>
      <c r="I127" s="38">
        <f>(I$123&gt;Inputs!$D134)*(I$123-Inputs!$D134-I128-I129-I130-I131-I132-I133-I134)</f>
        <v>0</v>
      </c>
      <c r="J127" s="38">
        <f>(J$123&gt;Inputs!$D134)*(J$123-Inputs!$D134-J128-J129-J130-J131-J132-J133-J134)</f>
        <v>0</v>
      </c>
      <c r="K127" s="38">
        <f>(K$123&gt;Inputs!$D134)*(K$123-Inputs!$D134-K128-K129-K130-K131-K132-K133-K134)</f>
        <v>0</v>
      </c>
      <c r="L127" s="38">
        <f>(L$123&gt;Inputs!$D134)*(L$123-Inputs!$D134-L128-L129-L130-L131-L132-L133-L134)</f>
        <v>0</v>
      </c>
      <c r="M127" s="38">
        <f>(M$123&gt;Inputs!$D134)*(M$123-Inputs!$D134-M128-M129-M130-M131-M132-M133-M134)</f>
        <v>0</v>
      </c>
      <c r="N127" s="38">
        <f>(N$123&gt;Inputs!$D134)*(N$123-Inputs!$D134-N128-N129-N130-N131-N132-N133-N134)</f>
        <v>0</v>
      </c>
      <c r="O127" s="38">
        <f>(O$123&gt;Inputs!$D134)*(O$123-Inputs!$D134-O128-O129-O130-O131-O132-O133-O134)</f>
        <v>0</v>
      </c>
      <c r="P127" s="38">
        <f>(P$123&gt;Inputs!$D134)*(P$123-Inputs!$D134-P128-P129-P130-P131-P132-P133-P134)</f>
        <v>0</v>
      </c>
      <c r="Q127" s="38">
        <f>(Q$123&gt;Inputs!$D134)*(Q$123-Inputs!$D134-Q128-Q129-Q130-Q131-Q132-Q133-Q134)</f>
        <v>0</v>
      </c>
      <c r="R127" s="38">
        <f>(R$123&gt;Inputs!$D134)*(R$123-Inputs!$D134-R128-R129-R130-R131-R132-R133-R134)</f>
        <v>0</v>
      </c>
      <c r="S127" s="38">
        <f>(S$123&gt;Inputs!$D134)*(S$123-Inputs!$D134-S128-S129-S130-S131-S132-S133-S134)</f>
        <v>0</v>
      </c>
      <c r="T127" s="38">
        <f>(T$123&gt;Inputs!$D134)*(T$123-Inputs!$D134-T128-T129-T130-T131-T132-T133-T134)</f>
        <v>0</v>
      </c>
      <c r="U127" s="38">
        <f>(U$123&gt;Inputs!$D134)*(U$123-Inputs!$D134-U128-U129-U130-U131-U132-U133-U134)</f>
        <v>0</v>
      </c>
      <c r="V127" s="38">
        <f>(V$123&gt;Inputs!$D134)*(V$123-Inputs!$D134-V128-V129-V130-V131-V132-V133-V134)</f>
        <v>0</v>
      </c>
      <c r="W127" s="38">
        <f>(W$123&gt;Inputs!$D134)*(W$123-Inputs!$D134-W128-W129-W130-W131-W132-W133-W134)</f>
        <v>0</v>
      </c>
      <c r="X127" s="38">
        <f>(X$123&gt;Inputs!$D134)*(X$123-Inputs!$D134-X128-X129-X130-X131-X132-X133-X134)</f>
        <v>0</v>
      </c>
      <c r="Y127" s="38">
        <f>(Y$123&gt;Inputs!$D134)*(Y$123-Inputs!$D134-Y128-Y129-Y130-Y131-Y132-Y133-Y134)</f>
        <v>0</v>
      </c>
      <c r="Z127" s="38">
        <f>(Z$123&gt;Inputs!$D134)*(Z$123-Inputs!$D134-Z128-Z129-Z130-Z131-Z132-Z133-Z134)</f>
        <v>0</v>
      </c>
      <c r="AA127" s="38">
        <f>(AA$123&gt;Inputs!$D134)*(AA$123-Inputs!$D134-AA128-AA129-AA130-AA131-AA132-AA133-AA134)</f>
        <v>0</v>
      </c>
      <c r="AB127" s="38">
        <f>(AB$123&gt;Inputs!$D134)*(AB$123-Inputs!$D134-AB128-AB129-AB130-AB131-AB132-AB133-AB134)</f>
        <v>0</v>
      </c>
      <c r="AC127" s="38">
        <f>(AC$123&gt;Inputs!$D134)*(AC$123-Inputs!$D134-AC128-AC129-AC130-AC131-AC132-AC133-AC134)</f>
        <v>0</v>
      </c>
      <c r="AD127" s="38">
        <f>(AD$123&gt;Inputs!$D134)*(AD$123-Inputs!$D134-AD128-AD129-AD130-AD131-AD132-AD133-AD134)</f>
        <v>0</v>
      </c>
      <c r="AE127" s="38">
        <f>(AE$123&gt;Inputs!$D134)*(AE$123-Inputs!$D134-AE128-AE129-AE130-AE131-AE132-AE133-AE134)</f>
        <v>0</v>
      </c>
      <c r="AF127" s="38">
        <f>(AF$123&gt;Inputs!$D134)*(AF$123-Inputs!$D134-AF128-AF129-AF130-AF131-AF132-AF133-AF134)</f>
        <v>0</v>
      </c>
      <c r="AG127" s="38">
        <f>(AG$123&gt;Inputs!$D134)*(AG$123-Inputs!$D134-AG128-AG129-AG130-AG131-AG132-AG133-AG134)</f>
        <v>0</v>
      </c>
      <c r="AH127" s="38">
        <f>(AH$123&gt;Inputs!$D134)*(AH$123-Inputs!$D134-AH128-AH129-AH130-AH131-AH132-AH133-AH134)</f>
        <v>0</v>
      </c>
      <c r="AI127" s="38">
        <f>(AI$123&gt;Inputs!$D134)*(AI$123-Inputs!$D134-AI128-AI129-AI130-AI131-AI132-AI133-AI134)</f>
        <v>0</v>
      </c>
      <c r="AJ127" s="38">
        <f>(AJ$123&gt;Inputs!$D134)*(AJ$123-Inputs!$D134-AJ128-AJ129-AJ130-AJ131-AJ132-AJ133-AJ134)</f>
        <v>0</v>
      </c>
      <c r="AK127" s="38">
        <f>(AK$123&gt;Inputs!$D134)*(AK$123-Inputs!$D134-AK128-AK129-AK130-AK131-AK132-AK133-AK134)</f>
        <v>0</v>
      </c>
      <c r="AL127" s="38">
        <f>(AL$123&gt;Inputs!$D134)*(AL$123-Inputs!$D134-AL128-AL129-AL130-AL131-AL132-AL133-AL134)</f>
        <v>0</v>
      </c>
      <c r="AM127" s="38">
        <f>(AM$123&gt;Inputs!$D134)*(AM$123-Inputs!$D134-AM128-AM129-AM130-AM131-AM132-AM133-AM134)</f>
        <v>0</v>
      </c>
      <c r="AN127" s="38">
        <f>(AN$123&gt;Inputs!$D134)*(AN$123-Inputs!$D134-AN128-AN129-AN130-AN131-AN132-AN133-AN134)</f>
        <v>0</v>
      </c>
      <c r="AO127" s="38">
        <f>(AO$123&gt;Inputs!$D134)*(AO$123-Inputs!$D134-AO128-AO129-AO130-AO131-AO132-AO133-AO134)</f>
        <v>0</v>
      </c>
      <c r="AP127" s="38">
        <f>(AP$123&gt;Inputs!$D134)*(AP$123-Inputs!$D134-AP128-AP129-AP130-AP131-AP132-AP133-AP134)</f>
        <v>0</v>
      </c>
      <c r="AQ127" s="38">
        <f>(AQ$123&gt;Inputs!$D134)*(AQ$123-Inputs!$D134-AQ128-AQ129-AQ130-AQ131-AQ132-AQ133-AQ134)</f>
        <v>0</v>
      </c>
      <c r="AR127" s="38">
        <f>(AR$123&gt;Inputs!$D134)*(AR$123-Inputs!$D134-AR128-AR129-AR130-AR131-AR132-AR133-AR134)</f>
        <v>0</v>
      </c>
      <c r="AS127" s="38">
        <f>(AS$123&gt;Inputs!$D134)*(AS$123-Inputs!$D134-AS128-AS129-AS130-AS131-AS132-AS133-AS134)</f>
        <v>0</v>
      </c>
      <c r="AT127" s="38">
        <f>(AT$123&gt;Inputs!$D134)*(AT$123-Inputs!$D134-AT128-AT129-AT130-AT131-AT132-AT133-AT134)</f>
        <v>0</v>
      </c>
      <c r="AU127" s="38">
        <f>(AU$123&gt;Inputs!$D134)*(AU$123-Inputs!$D134-AU128-AU129-AU130-AU131-AU132-AU133-AU134)</f>
        <v>0</v>
      </c>
      <c r="AV127" s="38">
        <f>(AV$123&gt;Inputs!$D134)*(AV$123-Inputs!$D134-AV128-AV129-AV130-AV131-AV132-AV133-AV134)</f>
        <v>0</v>
      </c>
      <c r="AW127" s="38">
        <f>(AW$123&gt;Inputs!$D134)*(AW$123-Inputs!$D134-AW128-AW129-AW130-AW131-AW132-AW133-AW134)</f>
        <v>0</v>
      </c>
      <c r="AX127" s="38">
        <f>(AX$123&gt;Inputs!$D134)*(AX$123-Inputs!$D134-AX128-AX129-AX130-AX131-AX132-AX133-AX134)</f>
        <v>0</v>
      </c>
      <c r="AY127" s="38">
        <f>(AY$123&gt;Inputs!$D134)*(AY$123-Inputs!$D134-AY128-AY129-AY130-AY131-AY132-AY133-AY134)</f>
        <v>0</v>
      </c>
      <c r="AZ127" s="38">
        <f>(AZ$123&gt;Inputs!$D134)*(AZ$123-Inputs!$D134-AZ128-AZ129-AZ130-AZ131-AZ132-AZ133-AZ134)</f>
        <v>0</v>
      </c>
      <c r="BA127" s="38">
        <f>(BA$123&gt;Inputs!$D134)*(BA$123-Inputs!$D134-BA128-BA129-BA130-BA131-BA132-BA133-BA134)</f>
        <v>0</v>
      </c>
      <c r="BB127" s="38">
        <f>(BB$123&gt;Inputs!$D134)*(BB$123-Inputs!$D134-BB128-BB129-BB130-BB131-BB132-BB133-BB134)</f>
        <v>0</v>
      </c>
      <c r="BC127" s="38">
        <f>(BC$123&gt;Inputs!$D134)*(BC$123-Inputs!$D134-BC128-BC129-BC130-BC131-BC132-BC133-BC134)</f>
        <v>0</v>
      </c>
      <c r="BD127" s="38">
        <f>(BD$123&gt;Inputs!$D134)*(BD$123-Inputs!$D134-BD128-BD129-BD130-BD131-BD132-BD133-BD134)</f>
        <v>0</v>
      </c>
    </row>
    <row r="128" spans="3:56" ht="15" customHeight="1">
      <c r="C128" s="21"/>
      <c r="D128" s="109" t="s">
        <v>380</v>
      </c>
      <c r="E128" s="18" t="s">
        <v>333</v>
      </c>
      <c r="G128" s="38">
        <f>(G$123&gt;Inputs!$D135)*(G$123-Inputs!$D135-G129-G130-G131-G132-G133-G134)</f>
        <v>0</v>
      </c>
      <c r="H128" s="38">
        <f>(H$123&gt;Inputs!$D135)*(H$123-Inputs!$D135-H129-H130-H131-H132-H133-H134)</f>
        <v>0</v>
      </c>
      <c r="I128" s="38">
        <f>(I$123&gt;Inputs!$D135)*(I$123-Inputs!$D135-I129-I130-I131-I132-I133-I134)</f>
        <v>0</v>
      </c>
      <c r="J128" s="38">
        <f>(J$123&gt;Inputs!$D135)*(J$123-Inputs!$D135-J129-J130-J131-J132-J133-J134)</f>
        <v>0</v>
      </c>
      <c r="K128" s="38">
        <f>(K$123&gt;Inputs!$D135)*(K$123-Inputs!$D135-K129-K130-K131-K132-K133-K134)</f>
        <v>0</v>
      </c>
      <c r="L128" s="38">
        <f>(L$123&gt;Inputs!$D135)*(L$123-Inputs!$D135-L129-L130-L131-L132-L133-L134)</f>
        <v>0</v>
      </c>
      <c r="M128" s="38">
        <f>(M$123&gt;Inputs!$D135)*(M$123-Inputs!$D135-M129-M130-M131-M132-M133-M134)</f>
        <v>0</v>
      </c>
      <c r="N128" s="38">
        <f>(N$123&gt;Inputs!$D135)*(N$123-Inputs!$D135-N129-N130-N131-N132-N133-N134)</f>
        <v>0</v>
      </c>
      <c r="O128" s="38">
        <f>(O$123&gt;Inputs!$D135)*(O$123-Inputs!$D135-O129-O130-O131-O132-O133-O134)</f>
        <v>0</v>
      </c>
      <c r="P128" s="38">
        <f>(P$123&gt;Inputs!$D135)*(P$123-Inputs!$D135-P129-P130-P131-P132-P133-P134)</f>
        <v>0</v>
      </c>
      <c r="Q128" s="38">
        <f>(Q$123&gt;Inputs!$D135)*(Q$123-Inputs!$D135-Q129-Q130-Q131-Q132-Q133-Q134)</f>
        <v>0</v>
      </c>
      <c r="R128" s="38">
        <f>(R$123&gt;Inputs!$D135)*(R$123-Inputs!$D135-R129-R130-R131-R132-R133-R134)</f>
        <v>0</v>
      </c>
      <c r="S128" s="38">
        <f>(S$123&gt;Inputs!$D135)*(S$123-Inputs!$D135-S129-S130-S131-S132-S133-S134)</f>
        <v>0</v>
      </c>
      <c r="T128" s="38">
        <f>(T$123&gt;Inputs!$D135)*(T$123-Inputs!$D135-T129-T130-T131-T132-T133-T134)</f>
        <v>0</v>
      </c>
      <c r="U128" s="38">
        <f>(U$123&gt;Inputs!$D135)*(U$123-Inputs!$D135-U129-U130-U131-U132-U133-U134)</f>
        <v>0</v>
      </c>
      <c r="V128" s="38">
        <f>(V$123&gt;Inputs!$D135)*(V$123-Inputs!$D135-V129-V130-V131-V132-V133-V134)</f>
        <v>0</v>
      </c>
      <c r="W128" s="38">
        <f>(W$123&gt;Inputs!$D135)*(W$123-Inputs!$D135-W129-W130-W131-W132-W133-W134)</f>
        <v>0</v>
      </c>
      <c r="X128" s="38">
        <f>(X$123&gt;Inputs!$D135)*(X$123-Inputs!$D135-X129-X130-X131-X132-X133-X134)</f>
        <v>0</v>
      </c>
      <c r="Y128" s="38">
        <f>(Y$123&gt;Inputs!$D135)*(Y$123-Inputs!$D135-Y129-Y130-Y131-Y132-Y133-Y134)</f>
        <v>0</v>
      </c>
      <c r="Z128" s="38">
        <f>(Z$123&gt;Inputs!$D135)*(Z$123-Inputs!$D135-Z129-Z130-Z131-Z132-Z133-Z134)</f>
        <v>0</v>
      </c>
      <c r="AA128" s="38">
        <f>(AA$123&gt;Inputs!$D135)*(AA$123-Inputs!$D135-AA129-AA130-AA131-AA132-AA133-AA134)</f>
        <v>0</v>
      </c>
      <c r="AB128" s="38">
        <f>(AB$123&gt;Inputs!$D135)*(AB$123-Inputs!$D135-AB129-AB130-AB131-AB132-AB133-AB134)</f>
        <v>0</v>
      </c>
      <c r="AC128" s="38">
        <f>(AC$123&gt;Inputs!$D135)*(AC$123-Inputs!$D135-AC129-AC130-AC131-AC132-AC133-AC134)</f>
        <v>0</v>
      </c>
      <c r="AD128" s="38">
        <f>(AD$123&gt;Inputs!$D135)*(AD$123-Inputs!$D135-AD129-AD130-AD131-AD132-AD133-AD134)</f>
        <v>0</v>
      </c>
      <c r="AE128" s="38">
        <f>(AE$123&gt;Inputs!$D135)*(AE$123-Inputs!$D135-AE129-AE130-AE131-AE132-AE133-AE134)</f>
        <v>0</v>
      </c>
      <c r="AF128" s="38">
        <f>(AF$123&gt;Inputs!$D135)*(AF$123-Inputs!$D135-AF129-AF130-AF131-AF132-AF133-AF134)</f>
        <v>0</v>
      </c>
      <c r="AG128" s="38">
        <f>(AG$123&gt;Inputs!$D135)*(AG$123-Inputs!$D135-AG129-AG130-AG131-AG132-AG133-AG134)</f>
        <v>0</v>
      </c>
      <c r="AH128" s="38">
        <f>(AH$123&gt;Inputs!$D135)*(AH$123-Inputs!$D135-AH129-AH130-AH131-AH132-AH133-AH134)</f>
        <v>0</v>
      </c>
      <c r="AI128" s="38">
        <f>(AI$123&gt;Inputs!$D135)*(AI$123-Inputs!$D135-AI129-AI130-AI131-AI132-AI133-AI134)</f>
        <v>0</v>
      </c>
      <c r="AJ128" s="38">
        <f>(AJ$123&gt;Inputs!$D135)*(AJ$123-Inputs!$D135-AJ129-AJ130-AJ131-AJ132-AJ133-AJ134)</f>
        <v>0</v>
      </c>
      <c r="AK128" s="38">
        <f>(AK$123&gt;Inputs!$D135)*(AK$123-Inputs!$D135-AK129-AK130-AK131-AK132-AK133-AK134)</f>
        <v>0</v>
      </c>
      <c r="AL128" s="38">
        <f>(AL$123&gt;Inputs!$D135)*(AL$123-Inputs!$D135-AL129-AL130-AL131-AL132-AL133-AL134)</f>
        <v>0</v>
      </c>
      <c r="AM128" s="38">
        <f>(AM$123&gt;Inputs!$D135)*(AM$123-Inputs!$D135-AM129-AM130-AM131-AM132-AM133-AM134)</f>
        <v>0</v>
      </c>
      <c r="AN128" s="38">
        <f>(AN$123&gt;Inputs!$D135)*(AN$123-Inputs!$D135-AN129-AN130-AN131-AN132-AN133-AN134)</f>
        <v>0</v>
      </c>
      <c r="AO128" s="38">
        <f>(AO$123&gt;Inputs!$D135)*(AO$123-Inputs!$D135-AO129-AO130-AO131-AO132-AO133-AO134)</f>
        <v>0</v>
      </c>
      <c r="AP128" s="38">
        <f>(AP$123&gt;Inputs!$D135)*(AP$123-Inputs!$D135-AP129-AP130-AP131-AP132-AP133-AP134)</f>
        <v>0</v>
      </c>
      <c r="AQ128" s="38">
        <f>(AQ$123&gt;Inputs!$D135)*(AQ$123-Inputs!$D135-AQ129-AQ130-AQ131-AQ132-AQ133-AQ134)</f>
        <v>0</v>
      </c>
      <c r="AR128" s="38">
        <f>(AR$123&gt;Inputs!$D135)*(AR$123-Inputs!$D135-AR129-AR130-AR131-AR132-AR133-AR134)</f>
        <v>0</v>
      </c>
      <c r="AS128" s="38">
        <f>(AS$123&gt;Inputs!$D135)*(AS$123-Inputs!$D135-AS129-AS130-AS131-AS132-AS133-AS134)</f>
        <v>0</v>
      </c>
      <c r="AT128" s="38">
        <f>(AT$123&gt;Inputs!$D135)*(AT$123-Inputs!$D135-AT129-AT130-AT131-AT132-AT133-AT134)</f>
        <v>0</v>
      </c>
      <c r="AU128" s="38">
        <f>(AU$123&gt;Inputs!$D135)*(AU$123-Inputs!$D135-AU129-AU130-AU131-AU132-AU133-AU134)</f>
        <v>0</v>
      </c>
      <c r="AV128" s="38">
        <f>(AV$123&gt;Inputs!$D135)*(AV$123-Inputs!$D135-AV129-AV130-AV131-AV132-AV133-AV134)</f>
        <v>0</v>
      </c>
      <c r="AW128" s="38">
        <f>(AW$123&gt;Inputs!$D135)*(AW$123-Inputs!$D135-AW129-AW130-AW131-AW132-AW133-AW134)</f>
        <v>0</v>
      </c>
      <c r="AX128" s="38">
        <f>(AX$123&gt;Inputs!$D135)*(AX$123-Inputs!$D135-AX129-AX130-AX131-AX132-AX133-AX134)</f>
        <v>0</v>
      </c>
      <c r="AY128" s="38">
        <f>(AY$123&gt;Inputs!$D135)*(AY$123-Inputs!$D135-AY129-AY130-AY131-AY132-AY133-AY134)</f>
        <v>0</v>
      </c>
      <c r="AZ128" s="38">
        <f>(AZ$123&gt;Inputs!$D135)*(AZ$123-Inputs!$D135-AZ129-AZ130-AZ131-AZ132-AZ133-AZ134)</f>
        <v>0</v>
      </c>
      <c r="BA128" s="38">
        <f>(BA$123&gt;Inputs!$D135)*(BA$123-Inputs!$D135-BA129-BA130-BA131-BA132-BA133-BA134)</f>
        <v>0</v>
      </c>
      <c r="BB128" s="38">
        <f>(BB$123&gt;Inputs!$D135)*(BB$123-Inputs!$D135-BB129-BB130-BB131-BB132-BB133-BB134)</f>
        <v>0</v>
      </c>
      <c r="BC128" s="38">
        <f>(BC$123&gt;Inputs!$D135)*(BC$123-Inputs!$D135-BC129-BC130-BC131-BC132-BC133-BC134)</f>
        <v>0</v>
      </c>
      <c r="BD128" s="38">
        <f>(BD$123&gt;Inputs!$D135)*(BD$123-Inputs!$D135-BD129-BD130-BD131-BD132-BD133-BD134)</f>
        <v>0</v>
      </c>
    </row>
    <row r="129" spans="1:56" ht="15" customHeight="1">
      <c r="C129" s="21"/>
      <c r="D129" s="109" t="s">
        <v>381</v>
      </c>
      <c r="E129" s="18" t="s">
        <v>333</v>
      </c>
      <c r="G129" s="38">
        <f>(G$123&gt;Inputs!$D136)*(G$123-Inputs!$D136-G130-G131-G132-G133-G134)</f>
        <v>0</v>
      </c>
      <c r="H129" s="38">
        <f>(H$123&gt;Inputs!$D136)*(H$123-Inputs!$D136-H130-H131-H132-H133-H134)</f>
        <v>0</v>
      </c>
      <c r="I129" s="38">
        <f>(I$123&gt;Inputs!$D136)*(I$123-Inputs!$D136-I130-I131-I132-I133-I134)</f>
        <v>0</v>
      </c>
      <c r="J129" s="38">
        <f>(J$123&gt;Inputs!$D136)*(J$123-Inputs!$D136-J130-J131-J132-J133-J134)</f>
        <v>0</v>
      </c>
      <c r="K129" s="38">
        <f>(K$123&gt;Inputs!$D136)*(K$123-Inputs!$D136-K130-K131-K132-K133-K134)</f>
        <v>0</v>
      </c>
      <c r="L129" s="38">
        <f>(L$123&gt;Inputs!$D136)*(L$123-Inputs!$D136-L130-L131-L132-L133-L134)</f>
        <v>0</v>
      </c>
      <c r="M129" s="38">
        <f>(M$123&gt;Inputs!$D136)*(M$123-Inputs!$D136-M130-M131-M132-M133-M134)</f>
        <v>0</v>
      </c>
      <c r="N129" s="38">
        <f>(N$123&gt;Inputs!$D136)*(N$123-Inputs!$D136-N130-N131-N132-N133-N134)</f>
        <v>0</v>
      </c>
      <c r="O129" s="38">
        <f>(O$123&gt;Inputs!$D136)*(O$123-Inputs!$D136-O130-O131-O132-O133-O134)</f>
        <v>0</v>
      </c>
      <c r="P129" s="38">
        <f>(P$123&gt;Inputs!$D136)*(P$123-Inputs!$D136-P130-P131-P132-P133-P134)</f>
        <v>0</v>
      </c>
      <c r="Q129" s="38">
        <f>(Q$123&gt;Inputs!$D136)*(Q$123-Inputs!$D136-Q130-Q131-Q132-Q133-Q134)</f>
        <v>0</v>
      </c>
      <c r="R129" s="38">
        <f>(R$123&gt;Inputs!$D136)*(R$123-Inputs!$D136-R130-R131-R132-R133-R134)</f>
        <v>0</v>
      </c>
      <c r="S129" s="38">
        <f>(S$123&gt;Inputs!$D136)*(S$123-Inputs!$D136-S130-S131-S132-S133-S134)</f>
        <v>0</v>
      </c>
      <c r="T129" s="38">
        <f>(T$123&gt;Inputs!$D136)*(T$123-Inputs!$D136-T130-T131-T132-T133-T134)</f>
        <v>0</v>
      </c>
      <c r="U129" s="38">
        <f>(U$123&gt;Inputs!$D136)*(U$123-Inputs!$D136-U130-U131-U132-U133-U134)</f>
        <v>0</v>
      </c>
      <c r="V129" s="38">
        <f>(V$123&gt;Inputs!$D136)*(V$123-Inputs!$D136-V130-V131-V132-V133-V134)</f>
        <v>0</v>
      </c>
      <c r="W129" s="38">
        <f>(W$123&gt;Inputs!$D136)*(W$123-Inputs!$D136-W130-W131-W132-W133-W134)</f>
        <v>0</v>
      </c>
      <c r="X129" s="38">
        <f>(X$123&gt;Inputs!$D136)*(X$123-Inputs!$D136-X130-X131-X132-X133-X134)</f>
        <v>0</v>
      </c>
      <c r="Y129" s="38">
        <f>(Y$123&gt;Inputs!$D136)*(Y$123-Inputs!$D136-Y130-Y131-Y132-Y133-Y134)</f>
        <v>0</v>
      </c>
      <c r="Z129" s="38">
        <f>(Z$123&gt;Inputs!$D136)*(Z$123-Inputs!$D136-Z130-Z131-Z132-Z133-Z134)</f>
        <v>0</v>
      </c>
      <c r="AA129" s="38">
        <f>(AA$123&gt;Inputs!$D136)*(AA$123-Inputs!$D136-AA130-AA131-AA132-AA133-AA134)</f>
        <v>0</v>
      </c>
      <c r="AB129" s="38">
        <f>(AB$123&gt;Inputs!$D136)*(AB$123-Inputs!$D136-AB130-AB131-AB132-AB133-AB134)</f>
        <v>0</v>
      </c>
      <c r="AC129" s="38">
        <f>(AC$123&gt;Inputs!$D136)*(AC$123-Inputs!$D136-AC130-AC131-AC132-AC133-AC134)</f>
        <v>0</v>
      </c>
      <c r="AD129" s="38">
        <f>(AD$123&gt;Inputs!$D136)*(AD$123-Inputs!$D136-AD130-AD131-AD132-AD133-AD134)</f>
        <v>0</v>
      </c>
      <c r="AE129" s="38">
        <f>(AE$123&gt;Inputs!$D136)*(AE$123-Inputs!$D136-AE130-AE131-AE132-AE133-AE134)</f>
        <v>0</v>
      </c>
      <c r="AF129" s="38">
        <f>(AF$123&gt;Inputs!$D136)*(AF$123-Inputs!$D136-AF130-AF131-AF132-AF133-AF134)</f>
        <v>0</v>
      </c>
      <c r="AG129" s="38">
        <f>(AG$123&gt;Inputs!$D136)*(AG$123-Inputs!$D136-AG130-AG131-AG132-AG133-AG134)</f>
        <v>0</v>
      </c>
      <c r="AH129" s="38">
        <f>(AH$123&gt;Inputs!$D136)*(AH$123-Inputs!$D136-AH130-AH131-AH132-AH133-AH134)</f>
        <v>0</v>
      </c>
      <c r="AI129" s="38">
        <f>(AI$123&gt;Inputs!$D136)*(AI$123-Inputs!$D136-AI130-AI131-AI132-AI133-AI134)</f>
        <v>0</v>
      </c>
      <c r="AJ129" s="38">
        <f>(AJ$123&gt;Inputs!$D136)*(AJ$123-Inputs!$D136-AJ130-AJ131-AJ132-AJ133-AJ134)</f>
        <v>0</v>
      </c>
      <c r="AK129" s="38">
        <f>(AK$123&gt;Inputs!$D136)*(AK$123-Inputs!$D136-AK130-AK131-AK132-AK133-AK134)</f>
        <v>0</v>
      </c>
      <c r="AL129" s="38">
        <f>(AL$123&gt;Inputs!$D136)*(AL$123-Inputs!$D136-AL130-AL131-AL132-AL133-AL134)</f>
        <v>0</v>
      </c>
      <c r="AM129" s="38">
        <f>(AM$123&gt;Inputs!$D136)*(AM$123-Inputs!$D136-AM130-AM131-AM132-AM133-AM134)</f>
        <v>0</v>
      </c>
      <c r="AN129" s="38">
        <f>(AN$123&gt;Inputs!$D136)*(AN$123-Inputs!$D136-AN130-AN131-AN132-AN133-AN134)</f>
        <v>0</v>
      </c>
      <c r="AO129" s="38">
        <f>(AO$123&gt;Inputs!$D136)*(AO$123-Inputs!$D136-AO130-AO131-AO132-AO133-AO134)</f>
        <v>0</v>
      </c>
      <c r="AP129" s="38">
        <f>(AP$123&gt;Inputs!$D136)*(AP$123-Inputs!$D136-AP130-AP131-AP132-AP133-AP134)</f>
        <v>0</v>
      </c>
      <c r="AQ129" s="38">
        <f>(AQ$123&gt;Inputs!$D136)*(AQ$123-Inputs!$D136-AQ130-AQ131-AQ132-AQ133-AQ134)</f>
        <v>0</v>
      </c>
      <c r="AR129" s="38">
        <f>(AR$123&gt;Inputs!$D136)*(AR$123-Inputs!$D136-AR130-AR131-AR132-AR133-AR134)</f>
        <v>0</v>
      </c>
      <c r="AS129" s="38">
        <f>(AS$123&gt;Inputs!$D136)*(AS$123-Inputs!$D136-AS130-AS131-AS132-AS133-AS134)</f>
        <v>0</v>
      </c>
      <c r="AT129" s="38">
        <f>(AT$123&gt;Inputs!$D136)*(AT$123-Inputs!$D136-AT130-AT131-AT132-AT133-AT134)</f>
        <v>0</v>
      </c>
      <c r="AU129" s="38">
        <f>(AU$123&gt;Inputs!$D136)*(AU$123-Inputs!$D136-AU130-AU131-AU132-AU133-AU134)</f>
        <v>0</v>
      </c>
      <c r="AV129" s="38">
        <f>(AV$123&gt;Inputs!$D136)*(AV$123-Inputs!$D136-AV130-AV131-AV132-AV133-AV134)</f>
        <v>0</v>
      </c>
      <c r="AW129" s="38">
        <f>(AW$123&gt;Inputs!$D136)*(AW$123-Inputs!$D136-AW130-AW131-AW132-AW133-AW134)</f>
        <v>0</v>
      </c>
      <c r="AX129" s="38">
        <f>(AX$123&gt;Inputs!$D136)*(AX$123-Inputs!$D136-AX130-AX131-AX132-AX133-AX134)</f>
        <v>0</v>
      </c>
      <c r="AY129" s="38">
        <f>(AY$123&gt;Inputs!$D136)*(AY$123-Inputs!$D136-AY130-AY131-AY132-AY133-AY134)</f>
        <v>0</v>
      </c>
      <c r="AZ129" s="38">
        <f>(AZ$123&gt;Inputs!$D136)*(AZ$123-Inputs!$D136-AZ130-AZ131-AZ132-AZ133-AZ134)</f>
        <v>0</v>
      </c>
      <c r="BA129" s="38">
        <f>(BA$123&gt;Inputs!$D136)*(BA$123-Inputs!$D136-BA130-BA131-BA132-BA133-BA134)</f>
        <v>0</v>
      </c>
      <c r="BB129" s="38">
        <f>(BB$123&gt;Inputs!$D136)*(BB$123-Inputs!$D136-BB130-BB131-BB132-BB133-BB134)</f>
        <v>0</v>
      </c>
      <c r="BC129" s="38">
        <f>(BC$123&gt;Inputs!$D136)*(BC$123-Inputs!$D136-BC130-BC131-BC132-BC133-BC134)</f>
        <v>0</v>
      </c>
      <c r="BD129" s="38">
        <f>(BD$123&gt;Inputs!$D136)*(BD$123-Inputs!$D136-BD130-BD131-BD132-BD133-BD134)</f>
        <v>0</v>
      </c>
    </row>
    <row r="130" spans="1:56" ht="15" customHeight="1">
      <c r="C130" s="21"/>
      <c r="D130" s="109" t="s">
        <v>382</v>
      </c>
      <c r="E130" s="18" t="s">
        <v>333</v>
      </c>
      <c r="G130" s="38">
        <f>(G$123&gt;Inputs!$D137)*(G$123-Inputs!$D137-G131-G132-G133-G134)</f>
        <v>0</v>
      </c>
      <c r="H130" s="38">
        <f>(H$123&gt;Inputs!$D137)*(H$123-Inputs!$D137-H131-H132-H133-H134)</f>
        <v>0</v>
      </c>
      <c r="I130" s="38">
        <f>(I$123&gt;Inputs!$D137)*(I$123-Inputs!$D137-I131-I132-I133-I134)</f>
        <v>0</v>
      </c>
      <c r="J130" s="38">
        <f>(J$123&gt;Inputs!$D137)*(J$123-Inputs!$D137-J131-J132-J133-J134)</f>
        <v>0</v>
      </c>
      <c r="K130" s="38">
        <f>(K$123&gt;Inputs!$D137)*(K$123-Inputs!$D137-K131-K132-K133-K134)</f>
        <v>0</v>
      </c>
      <c r="L130" s="38">
        <f>(L$123&gt;Inputs!$D137)*(L$123-Inputs!$D137-L131-L132-L133-L134)</f>
        <v>0</v>
      </c>
      <c r="M130" s="38">
        <f>(M$123&gt;Inputs!$D137)*(M$123-Inputs!$D137-M131-M132-M133-M134)</f>
        <v>0</v>
      </c>
      <c r="N130" s="38">
        <f>(N$123&gt;Inputs!$D137)*(N$123-Inputs!$D137-N131-N132-N133-N134)</f>
        <v>0</v>
      </c>
      <c r="O130" s="38">
        <f>(O$123&gt;Inputs!$D137)*(O$123-Inputs!$D137-O131-O132-O133-O134)</f>
        <v>0</v>
      </c>
      <c r="P130" s="38">
        <f>(P$123&gt;Inputs!$D137)*(P$123-Inputs!$D137-P131-P132-P133-P134)</f>
        <v>0</v>
      </c>
      <c r="Q130" s="38">
        <f>(Q$123&gt;Inputs!$D137)*(Q$123-Inputs!$D137-Q131-Q132-Q133-Q134)</f>
        <v>0</v>
      </c>
      <c r="R130" s="38">
        <f>(R$123&gt;Inputs!$D137)*(R$123-Inputs!$D137-R131-R132-R133-R134)</f>
        <v>0</v>
      </c>
      <c r="S130" s="38">
        <f>(S$123&gt;Inputs!$D137)*(S$123-Inputs!$D137-S131-S132-S133-S134)</f>
        <v>0</v>
      </c>
      <c r="T130" s="38">
        <f>(T$123&gt;Inputs!$D137)*(T$123-Inputs!$D137-T131-T132-T133-T134)</f>
        <v>0</v>
      </c>
      <c r="U130" s="38">
        <f>(U$123&gt;Inputs!$D137)*(U$123-Inputs!$D137-U131-U132-U133-U134)</f>
        <v>0</v>
      </c>
      <c r="V130" s="38">
        <f>(V$123&gt;Inputs!$D137)*(V$123-Inputs!$D137-V131-V132-V133-V134)</f>
        <v>0</v>
      </c>
      <c r="W130" s="38">
        <f>(W$123&gt;Inputs!$D137)*(W$123-Inputs!$D137-W131-W132-W133-W134)</f>
        <v>0</v>
      </c>
      <c r="X130" s="38">
        <f>(X$123&gt;Inputs!$D137)*(X$123-Inputs!$D137-X131-X132-X133-X134)</f>
        <v>0</v>
      </c>
      <c r="Y130" s="38">
        <f>(Y$123&gt;Inputs!$D137)*(Y$123-Inputs!$D137-Y131-Y132-Y133-Y134)</f>
        <v>0</v>
      </c>
      <c r="Z130" s="38">
        <f>(Z$123&gt;Inputs!$D137)*(Z$123-Inputs!$D137-Z131-Z132-Z133-Z134)</f>
        <v>0</v>
      </c>
      <c r="AA130" s="38">
        <f>(AA$123&gt;Inputs!$D137)*(AA$123-Inputs!$D137-AA131-AA132-AA133-AA134)</f>
        <v>0</v>
      </c>
      <c r="AB130" s="38">
        <f>(AB$123&gt;Inputs!$D137)*(AB$123-Inputs!$D137-AB131-AB132-AB133-AB134)</f>
        <v>0</v>
      </c>
      <c r="AC130" s="38">
        <f>(AC$123&gt;Inputs!$D137)*(AC$123-Inputs!$D137-AC131-AC132-AC133-AC134)</f>
        <v>0</v>
      </c>
      <c r="AD130" s="38">
        <f>(AD$123&gt;Inputs!$D137)*(AD$123-Inputs!$D137-AD131-AD132-AD133-AD134)</f>
        <v>0</v>
      </c>
      <c r="AE130" s="38">
        <f>(AE$123&gt;Inputs!$D137)*(AE$123-Inputs!$D137-AE131-AE132-AE133-AE134)</f>
        <v>0</v>
      </c>
      <c r="AF130" s="38">
        <f>(AF$123&gt;Inputs!$D137)*(AF$123-Inputs!$D137-AF131-AF132-AF133-AF134)</f>
        <v>0</v>
      </c>
      <c r="AG130" s="38">
        <f>(AG$123&gt;Inputs!$D137)*(AG$123-Inputs!$D137-AG131-AG132-AG133-AG134)</f>
        <v>0</v>
      </c>
      <c r="AH130" s="38">
        <f>(AH$123&gt;Inputs!$D137)*(AH$123-Inputs!$D137-AH131-AH132-AH133-AH134)</f>
        <v>0</v>
      </c>
      <c r="AI130" s="38">
        <f>(AI$123&gt;Inputs!$D137)*(AI$123-Inputs!$D137-AI131-AI132-AI133-AI134)</f>
        <v>0</v>
      </c>
      <c r="AJ130" s="38">
        <f>(AJ$123&gt;Inputs!$D137)*(AJ$123-Inputs!$D137-AJ131-AJ132-AJ133-AJ134)</f>
        <v>0</v>
      </c>
      <c r="AK130" s="38">
        <f>(AK$123&gt;Inputs!$D137)*(AK$123-Inputs!$D137-AK131-AK132-AK133-AK134)</f>
        <v>0</v>
      </c>
      <c r="AL130" s="38">
        <f>(AL$123&gt;Inputs!$D137)*(AL$123-Inputs!$D137-AL131-AL132-AL133-AL134)</f>
        <v>0</v>
      </c>
      <c r="AM130" s="38">
        <f>(AM$123&gt;Inputs!$D137)*(AM$123-Inputs!$D137-AM131-AM132-AM133-AM134)</f>
        <v>0</v>
      </c>
      <c r="AN130" s="38">
        <f>(AN$123&gt;Inputs!$D137)*(AN$123-Inputs!$D137-AN131-AN132-AN133-AN134)</f>
        <v>0</v>
      </c>
      <c r="AO130" s="38">
        <f>(AO$123&gt;Inputs!$D137)*(AO$123-Inputs!$D137-AO131-AO132-AO133-AO134)</f>
        <v>0</v>
      </c>
      <c r="AP130" s="38">
        <f>(AP$123&gt;Inputs!$D137)*(AP$123-Inputs!$D137-AP131-AP132-AP133-AP134)</f>
        <v>0</v>
      </c>
      <c r="AQ130" s="38">
        <f>(AQ$123&gt;Inputs!$D137)*(AQ$123-Inputs!$D137-AQ131-AQ132-AQ133-AQ134)</f>
        <v>0</v>
      </c>
      <c r="AR130" s="38">
        <f>(AR$123&gt;Inputs!$D137)*(AR$123-Inputs!$D137-AR131-AR132-AR133-AR134)</f>
        <v>0</v>
      </c>
      <c r="AS130" s="38">
        <f>(AS$123&gt;Inputs!$D137)*(AS$123-Inputs!$D137-AS131-AS132-AS133-AS134)</f>
        <v>0</v>
      </c>
      <c r="AT130" s="38">
        <f>(AT$123&gt;Inputs!$D137)*(AT$123-Inputs!$D137-AT131-AT132-AT133-AT134)</f>
        <v>0</v>
      </c>
      <c r="AU130" s="38">
        <f>(AU$123&gt;Inputs!$D137)*(AU$123-Inputs!$D137-AU131-AU132-AU133-AU134)</f>
        <v>0</v>
      </c>
      <c r="AV130" s="38">
        <f>(AV$123&gt;Inputs!$D137)*(AV$123-Inputs!$D137-AV131-AV132-AV133-AV134)</f>
        <v>0</v>
      </c>
      <c r="AW130" s="38">
        <f>(AW$123&gt;Inputs!$D137)*(AW$123-Inputs!$D137-AW131-AW132-AW133-AW134)</f>
        <v>0</v>
      </c>
      <c r="AX130" s="38">
        <f>(AX$123&gt;Inputs!$D137)*(AX$123-Inputs!$D137-AX131-AX132-AX133-AX134)</f>
        <v>0</v>
      </c>
      <c r="AY130" s="38">
        <f>(AY$123&gt;Inputs!$D137)*(AY$123-Inputs!$D137-AY131-AY132-AY133-AY134)</f>
        <v>0</v>
      </c>
      <c r="AZ130" s="38">
        <f>(AZ$123&gt;Inputs!$D137)*(AZ$123-Inputs!$D137-AZ131-AZ132-AZ133-AZ134)</f>
        <v>0</v>
      </c>
      <c r="BA130" s="38">
        <f>(BA$123&gt;Inputs!$D137)*(BA$123-Inputs!$D137-BA131-BA132-BA133-BA134)</f>
        <v>0</v>
      </c>
      <c r="BB130" s="38">
        <f>(BB$123&gt;Inputs!$D137)*(BB$123-Inputs!$D137-BB131-BB132-BB133-BB134)</f>
        <v>0</v>
      </c>
      <c r="BC130" s="38">
        <f>(BC$123&gt;Inputs!$D137)*(BC$123-Inputs!$D137-BC131-BC132-BC133-BC134)</f>
        <v>0</v>
      </c>
      <c r="BD130" s="38">
        <f>(BD$123&gt;Inputs!$D137)*(BD$123-Inputs!$D137-BD131-BD132-BD133-BD134)</f>
        <v>0</v>
      </c>
    </row>
    <row r="131" spans="1:56" ht="15" customHeight="1">
      <c r="C131" s="21"/>
      <c r="D131" s="109" t="s">
        <v>383</v>
      </c>
      <c r="E131" s="18" t="s">
        <v>333</v>
      </c>
      <c r="G131" s="38">
        <f>(G$123&gt;Inputs!$D138)*(G$123-Inputs!$D138-G132-G133-G134)</f>
        <v>0</v>
      </c>
      <c r="H131" s="38">
        <f>(H$123&gt;Inputs!$D138)*(H$123-Inputs!$D138-H132-H133-H134)</f>
        <v>0</v>
      </c>
      <c r="I131" s="38">
        <f>(I$123&gt;Inputs!$D138)*(I$123-Inputs!$D138-I132-I133-I134)</f>
        <v>0</v>
      </c>
      <c r="J131" s="38">
        <f>(J$123&gt;Inputs!$D138)*(J$123-Inputs!$D138-J132-J133-J134)</f>
        <v>0</v>
      </c>
      <c r="K131" s="38">
        <f>(K$123&gt;Inputs!$D138)*(K$123-Inputs!$D138-K132-K133-K134)</f>
        <v>0</v>
      </c>
      <c r="L131" s="38">
        <f>(L$123&gt;Inputs!$D138)*(L$123-Inputs!$D138-L132-L133-L134)</f>
        <v>0</v>
      </c>
      <c r="M131" s="38">
        <f>(M$123&gt;Inputs!$D138)*(M$123-Inputs!$D138-M132-M133-M134)</f>
        <v>0</v>
      </c>
      <c r="N131" s="38">
        <f>(N$123&gt;Inputs!$D138)*(N$123-Inputs!$D138-N132-N133-N134)</f>
        <v>0</v>
      </c>
      <c r="O131" s="38">
        <f>(O$123&gt;Inputs!$D138)*(O$123-Inputs!$D138-O132-O133-O134)</f>
        <v>0</v>
      </c>
      <c r="P131" s="38">
        <f>(P$123&gt;Inputs!$D138)*(P$123-Inputs!$D138-P132-P133-P134)</f>
        <v>0</v>
      </c>
      <c r="Q131" s="38">
        <f>(Q$123&gt;Inputs!$D138)*(Q$123-Inputs!$D138-Q132-Q133-Q134)</f>
        <v>0</v>
      </c>
      <c r="R131" s="38">
        <f>(R$123&gt;Inputs!$D138)*(R$123-Inputs!$D138-R132-R133-R134)</f>
        <v>0</v>
      </c>
      <c r="S131" s="38">
        <f>(S$123&gt;Inputs!$D138)*(S$123-Inputs!$D138-S132-S133-S134)</f>
        <v>0</v>
      </c>
      <c r="T131" s="38">
        <f>(T$123&gt;Inputs!$D138)*(T$123-Inputs!$D138-T132-T133-T134)</f>
        <v>0</v>
      </c>
      <c r="U131" s="38">
        <f>(U$123&gt;Inputs!$D138)*(U$123-Inputs!$D138-U132-U133-U134)</f>
        <v>0</v>
      </c>
      <c r="V131" s="38">
        <f>(V$123&gt;Inputs!$D138)*(V$123-Inputs!$D138-V132-V133-V134)</f>
        <v>0</v>
      </c>
      <c r="W131" s="38">
        <f>(W$123&gt;Inputs!$D138)*(W$123-Inputs!$D138-W132-W133-W134)</f>
        <v>0</v>
      </c>
      <c r="X131" s="38">
        <f>(X$123&gt;Inputs!$D138)*(X$123-Inputs!$D138-X132-X133-X134)</f>
        <v>0</v>
      </c>
      <c r="Y131" s="38">
        <f>(Y$123&gt;Inputs!$D138)*(Y$123-Inputs!$D138-Y132-Y133-Y134)</f>
        <v>0</v>
      </c>
      <c r="Z131" s="38">
        <f>(Z$123&gt;Inputs!$D138)*(Z$123-Inputs!$D138-Z132-Z133-Z134)</f>
        <v>0</v>
      </c>
      <c r="AA131" s="38">
        <f>(AA$123&gt;Inputs!$D138)*(AA$123-Inputs!$D138-AA132-AA133-AA134)</f>
        <v>0</v>
      </c>
      <c r="AB131" s="38">
        <f>(AB$123&gt;Inputs!$D138)*(AB$123-Inputs!$D138-AB132-AB133-AB134)</f>
        <v>0</v>
      </c>
      <c r="AC131" s="38">
        <f>(AC$123&gt;Inputs!$D138)*(AC$123-Inputs!$D138-AC132-AC133-AC134)</f>
        <v>0</v>
      </c>
      <c r="AD131" s="38">
        <f>(AD$123&gt;Inputs!$D138)*(AD$123-Inputs!$D138-AD132-AD133-AD134)</f>
        <v>0</v>
      </c>
      <c r="AE131" s="38">
        <f>(AE$123&gt;Inputs!$D138)*(AE$123-Inputs!$D138-AE132-AE133-AE134)</f>
        <v>0</v>
      </c>
      <c r="AF131" s="38">
        <f>(AF$123&gt;Inputs!$D138)*(AF$123-Inputs!$D138-AF132-AF133-AF134)</f>
        <v>0</v>
      </c>
      <c r="AG131" s="38">
        <f>(AG$123&gt;Inputs!$D138)*(AG$123-Inputs!$D138-AG132-AG133-AG134)</f>
        <v>0</v>
      </c>
      <c r="AH131" s="38">
        <f>(AH$123&gt;Inputs!$D138)*(AH$123-Inputs!$D138-AH132-AH133-AH134)</f>
        <v>0</v>
      </c>
      <c r="AI131" s="38">
        <f>(AI$123&gt;Inputs!$D138)*(AI$123-Inputs!$D138-AI132-AI133-AI134)</f>
        <v>0</v>
      </c>
      <c r="AJ131" s="38">
        <f>(AJ$123&gt;Inputs!$D138)*(AJ$123-Inputs!$D138-AJ132-AJ133-AJ134)</f>
        <v>0</v>
      </c>
      <c r="AK131" s="38">
        <f>(AK$123&gt;Inputs!$D138)*(AK$123-Inputs!$D138-AK132-AK133-AK134)</f>
        <v>0</v>
      </c>
      <c r="AL131" s="38">
        <f>(AL$123&gt;Inputs!$D138)*(AL$123-Inputs!$D138-AL132-AL133-AL134)</f>
        <v>0</v>
      </c>
      <c r="AM131" s="38">
        <f>(AM$123&gt;Inputs!$D138)*(AM$123-Inputs!$D138-AM132-AM133-AM134)</f>
        <v>0</v>
      </c>
      <c r="AN131" s="38">
        <f>(AN$123&gt;Inputs!$D138)*(AN$123-Inputs!$D138-AN132-AN133-AN134)</f>
        <v>0</v>
      </c>
      <c r="AO131" s="38">
        <f>(AO$123&gt;Inputs!$D138)*(AO$123-Inputs!$D138-AO132-AO133-AO134)</f>
        <v>0</v>
      </c>
      <c r="AP131" s="38">
        <f>(AP$123&gt;Inputs!$D138)*(AP$123-Inputs!$D138-AP132-AP133-AP134)</f>
        <v>0</v>
      </c>
      <c r="AQ131" s="38">
        <f>(AQ$123&gt;Inputs!$D138)*(AQ$123-Inputs!$D138-AQ132-AQ133-AQ134)</f>
        <v>0</v>
      </c>
      <c r="AR131" s="38">
        <f>(AR$123&gt;Inputs!$D138)*(AR$123-Inputs!$D138-AR132-AR133-AR134)</f>
        <v>0</v>
      </c>
      <c r="AS131" s="38">
        <f>(AS$123&gt;Inputs!$D138)*(AS$123-Inputs!$D138-AS132-AS133-AS134)</f>
        <v>0</v>
      </c>
      <c r="AT131" s="38">
        <f>(AT$123&gt;Inputs!$D138)*(AT$123-Inputs!$D138-AT132-AT133-AT134)</f>
        <v>0</v>
      </c>
      <c r="AU131" s="38">
        <f>(AU$123&gt;Inputs!$D138)*(AU$123-Inputs!$D138-AU132-AU133-AU134)</f>
        <v>0</v>
      </c>
      <c r="AV131" s="38">
        <f>(AV$123&gt;Inputs!$D138)*(AV$123-Inputs!$D138-AV132-AV133-AV134)</f>
        <v>0</v>
      </c>
      <c r="AW131" s="38">
        <f>(AW$123&gt;Inputs!$D138)*(AW$123-Inputs!$D138-AW132-AW133-AW134)</f>
        <v>0</v>
      </c>
      <c r="AX131" s="38">
        <f>(AX$123&gt;Inputs!$D138)*(AX$123-Inputs!$D138-AX132-AX133-AX134)</f>
        <v>0</v>
      </c>
      <c r="AY131" s="38">
        <f>(AY$123&gt;Inputs!$D138)*(AY$123-Inputs!$D138-AY132-AY133-AY134)</f>
        <v>0</v>
      </c>
      <c r="AZ131" s="38">
        <f>(AZ$123&gt;Inputs!$D138)*(AZ$123-Inputs!$D138-AZ132-AZ133-AZ134)</f>
        <v>0</v>
      </c>
      <c r="BA131" s="38">
        <f>(BA$123&gt;Inputs!$D138)*(BA$123-Inputs!$D138-BA132-BA133-BA134)</f>
        <v>0</v>
      </c>
      <c r="BB131" s="38">
        <f>(BB$123&gt;Inputs!$D138)*(BB$123-Inputs!$D138-BB132-BB133-BB134)</f>
        <v>0</v>
      </c>
      <c r="BC131" s="38">
        <f>(BC$123&gt;Inputs!$D138)*(BC$123-Inputs!$D138-BC132-BC133-BC134)</f>
        <v>0</v>
      </c>
      <c r="BD131" s="38">
        <f>(BD$123&gt;Inputs!$D138)*(BD$123-Inputs!$D138-BD132-BD133-BD134)</f>
        <v>0</v>
      </c>
    </row>
    <row r="132" spans="1:56" ht="15" customHeight="1">
      <c r="C132" s="21"/>
      <c r="D132" s="109" t="s">
        <v>384</v>
      </c>
      <c r="E132" s="18" t="s">
        <v>333</v>
      </c>
      <c r="G132" s="38">
        <f>(G$123&gt;Inputs!$D139)*(G$123-Inputs!$D139-G133-G134)</f>
        <v>0</v>
      </c>
      <c r="H132" s="38">
        <f>(H$123&gt;Inputs!$D139)*(H$123-Inputs!$D139-H133-H134)</f>
        <v>0</v>
      </c>
      <c r="I132" s="38">
        <f>(I$123&gt;Inputs!$D139)*(I$123-Inputs!$D139-I133-I134)</f>
        <v>0</v>
      </c>
      <c r="J132" s="38">
        <f>(J$123&gt;Inputs!$D139)*(J$123-Inputs!$D139-J133-J134)</f>
        <v>0</v>
      </c>
      <c r="K132" s="38">
        <f>(K$123&gt;Inputs!$D139)*(K$123-Inputs!$D139-K133-K134)</f>
        <v>0</v>
      </c>
      <c r="L132" s="38">
        <f>(L$123&gt;Inputs!$D139)*(L$123-Inputs!$D139-L133-L134)</f>
        <v>0</v>
      </c>
      <c r="M132" s="38">
        <f>(M$123&gt;Inputs!$D139)*(M$123-Inputs!$D139-M133-M134)</f>
        <v>0</v>
      </c>
      <c r="N132" s="38">
        <f>(N$123&gt;Inputs!$D139)*(N$123-Inputs!$D139-N133-N134)</f>
        <v>0</v>
      </c>
      <c r="O132" s="38">
        <f>(O$123&gt;Inputs!$D139)*(O$123-Inputs!$D139-O133-O134)</f>
        <v>0</v>
      </c>
      <c r="P132" s="38">
        <f>(P$123&gt;Inputs!$D139)*(P$123-Inputs!$D139-P133-P134)</f>
        <v>0</v>
      </c>
      <c r="Q132" s="38">
        <f>(Q$123&gt;Inputs!$D139)*(Q$123-Inputs!$D139-Q133-Q134)</f>
        <v>0</v>
      </c>
      <c r="R132" s="38">
        <f>(R$123&gt;Inputs!$D139)*(R$123-Inputs!$D139-R133-R134)</f>
        <v>0</v>
      </c>
      <c r="S132" s="38">
        <f>(S$123&gt;Inputs!$D139)*(S$123-Inputs!$D139-S133-S134)</f>
        <v>0</v>
      </c>
      <c r="T132" s="38">
        <f>(T$123&gt;Inputs!$D139)*(T$123-Inputs!$D139-T133-T134)</f>
        <v>0</v>
      </c>
      <c r="U132" s="38">
        <f>(U$123&gt;Inputs!$D139)*(U$123-Inputs!$D139-U133-U134)</f>
        <v>0</v>
      </c>
      <c r="V132" s="38">
        <f>(V$123&gt;Inputs!$D139)*(V$123-Inputs!$D139-V133-V134)</f>
        <v>0</v>
      </c>
      <c r="W132" s="38">
        <f>(W$123&gt;Inputs!$D139)*(W$123-Inputs!$D139-W133-W134)</f>
        <v>0</v>
      </c>
      <c r="X132" s="38">
        <f>(X$123&gt;Inputs!$D139)*(X$123-Inputs!$D139-X133-X134)</f>
        <v>0</v>
      </c>
      <c r="Y132" s="38">
        <f>(Y$123&gt;Inputs!$D139)*(Y$123-Inputs!$D139-Y133-Y134)</f>
        <v>0</v>
      </c>
      <c r="Z132" s="38">
        <f>(Z$123&gt;Inputs!$D139)*(Z$123-Inputs!$D139-Z133-Z134)</f>
        <v>0</v>
      </c>
      <c r="AA132" s="38">
        <f>(AA$123&gt;Inputs!$D139)*(AA$123-Inputs!$D139-AA133-AA134)</f>
        <v>0</v>
      </c>
      <c r="AB132" s="38">
        <f>(AB$123&gt;Inputs!$D139)*(AB$123-Inputs!$D139-AB133-AB134)</f>
        <v>0</v>
      </c>
      <c r="AC132" s="38">
        <f>(AC$123&gt;Inputs!$D139)*(AC$123-Inputs!$D139-AC133-AC134)</f>
        <v>0</v>
      </c>
      <c r="AD132" s="38">
        <f>(AD$123&gt;Inputs!$D139)*(AD$123-Inputs!$D139-AD133-AD134)</f>
        <v>0</v>
      </c>
      <c r="AE132" s="38">
        <f>(AE$123&gt;Inputs!$D139)*(AE$123-Inputs!$D139-AE133-AE134)</f>
        <v>0</v>
      </c>
      <c r="AF132" s="38">
        <f>(AF$123&gt;Inputs!$D139)*(AF$123-Inputs!$D139-AF133-AF134)</f>
        <v>0</v>
      </c>
      <c r="AG132" s="38">
        <f>(AG$123&gt;Inputs!$D139)*(AG$123-Inputs!$D139-AG133-AG134)</f>
        <v>0</v>
      </c>
      <c r="AH132" s="38">
        <f>(AH$123&gt;Inputs!$D139)*(AH$123-Inputs!$D139-AH133-AH134)</f>
        <v>0</v>
      </c>
      <c r="AI132" s="38">
        <f>(AI$123&gt;Inputs!$D139)*(AI$123-Inputs!$D139-AI133-AI134)</f>
        <v>0</v>
      </c>
      <c r="AJ132" s="38">
        <f>(AJ$123&gt;Inputs!$D139)*(AJ$123-Inputs!$D139-AJ133-AJ134)</f>
        <v>0</v>
      </c>
      <c r="AK132" s="38">
        <f>(AK$123&gt;Inputs!$D139)*(AK$123-Inputs!$D139-AK133-AK134)</f>
        <v>0</v>
      </c>
      <c r="AL132" s="38">
        <f>(AL$123&gt;Inputs!$D139)*(AL$123-Inputs!$D139-AL133-AL134)</f>
        <v>0</v>
      </c>
      <c r="AM132" s="38">
        <f>(AM$123&gt;Inputs!$D139)*(AM$123-Inputs!$D139-AM133-AM134)</f>
        <v>0</v>
      </c>
      <c r="AN132" s="38">
        <f>(AN$123&gt;Inputs!$D139)*(AN$123-Inputs!$D139-AN133-AN134)</f>
        <v>0</v>
      </c>
      <c r="AO132" s="38">
        <f>(AO$123&gt;Inputs!$D139)*(AO$123-Inputs!$D139-AO133-AO134)</f>
        <v>0</v>
      </c>
      <c r="AP132" s="38">
        <f>(AP$123&gt;Inputs!$D139)*(AP$123-Inputs!$D139-AP133-AP134)</f>
        <v>0</v>
      </c>
      <c r="AQ132" s="38">
        <f>(AQ$123&gt;Inputs!$D139)*(AQ$123-Inputs!$D139-AQ133-AQ134)</f>
        <v>0</v>
      </c>
      <c r="AR132" s="38">
        <f>(AR$123&gt;Inputs!$D139)*(AR$123-Inputs!$D139-AR133-AR134)</f>
        <v>0</v>
      </c>
      <c r="AS132" s="38">
        <f>(AS$123&gt;Inputs!$D139)*(AS$123-Inputs!$D139-AS133-AS134)</f>
        <v>0</v>
      </c>
      <c r="AT132" s="38">
        <f>(AT$123&gt;Inputs!$D139)*(AT$123-Inputs!$D139-AT133-AT134)</f>
        <v>0</v>
      </c>
      <c r="AU132" s="38">
        <f>(AU$123&gt;Inputs!$D139)*(AU$123-Inputs!$D139-AU133-AU134)</f>
        <v>0</v>
      </c>
      <c r="AV132" s="38">
        <f>(AV$123&gt;Inputs!$D139)*(AV$123-Inputs!$D139-AV133-AV134)</f>
        <v>0</v>
      </c>
      <c r="AW132" s="38">
        <f>(AW$123&gt;Inputs!$D139)*(AW$123-Inputs!$D139-AW133-AW134)</f>
        <v>0</v>
      </c>
      <c r="AX132" s="38">
        <f>(AX$123&gt;Inputs!$D139)*(AX$123-Inputs!$D139-AX133-AX134)</f>
        <v>0</v>
      </c>
      <c r="AY132" s="38">
        <f>(AY$123&gt;Inputs!$D139)*(AY$123-Inputs!$D139-AY133-AY134)</f>
        <v>0</v>
      </c>
      <c r="AZ132" s="38">
        <f>(AZ$123&gt;Inputs!$D139)*(AZ$123-Inputs!$D139-AZ133-AZ134)</f>
        <v>0</v>
      </c>
      <c r="BA132" s="38">
        <f>(BA$123&gt;Inputs!$D139)*(BA$123-Inputs!$D139-BA133-BA134)</f>
        <v>0</v>
      </c>
      <c r="BB132" s="38">
        <f>(BB$123&gt;Inputs!$D139)*(BB$123-Inputs!$D139-BB133-BB134)</f>
        <v>0</v>
      </c>
      <c r="BC132" s="38">
        <f>(BC$123&gt;Inputs!$D139)*(BC$123-Inputs!$D139-BC133-BC134)</f>
        <v>0</v>
      </c>
      <c r="BD132" s="38">
        <f>(BD$123&gt;Inputs!$D139)*(BD$123-Inputs!$D139-BD133-BD134)</f>
        <v>0</v>
      </c>
    </row>
    <row r="133" spans="1:56" ht="15" customHeight="1">
      <c r="C133" s="21"/>
      <c r="D133" s="109" t="s">
        <v>385</v>
      </c>
      <c r="E133" s="18" t="s">
        <v>333</v>
      </c>
      <c r="G133" s="38">
        <f>(G$123&gt;Inputs!$D140)*(G$123-Inputs!$D140-G134)</f>
        <v>0</v>
      </c>
      <c r="H133" s="38">
        <f>(H$123&gt;Inputs!$D140)*(H$123-Inputs!$D140-H134)</f>
        <v>0</v>
      </c>
      <c r="I133" s="38">
        <f>(I$123&gt;Inputs!$D140)*(I$123-Inputs!$D140-I134)</f>
        <v>0</v>
      </c>
      <c r="J133" s="38">
        <f>(J$123&gt;Inputs!$D140)*(J$123-Inputs!$D140-J134)</f>
        <v>0</v>
      </c>
      <c r="K133" s="38">
        <f>(K$123&gt;Inputs!$D140)*(K$123-Inputs!$D140-K134)</f>
        <v>0</v>
      </c>
      <c r="L133" s="38">
        <f>(L$123&gt;Inputs!$D140)*(L$123-Inputs!$D140-L134)</f>
        <v>0</v>
      </c>
      <c r="M133" s="38">
        <f>(M$123&gt;Inputs!$D140)*(M$123-Inputs!$D140-M134)</f>
        <v>0</v>
      </c>
      <c r="N133" s="38">
        <f>(N$123&gt;Inputs!$D140)*(N$123-Inputs!$D140-N134)</f>
        <v>0</v>
      </c>
      <c r="O133" s="38">
        <f>(O$123&gt;Inputs!$D140)*(O$123-Inputs!$D140-O134)</f>
        <v>0</v>
      </c>
      <c r="P133" s="38">
        <f>(P$123&gt;Inputs!$D140)*(P$123-Inputs!$D140-P134)</f>
        <v>0</v>
      </c>
      <c r="Q133" s="38">
        <f>(Q$123&gt;Inputs!$D140)*(Q$123-Inputs!$D140-Q134)</f>
        <v>0</v>
      </c>
      <c r="R133" s="38">
        <f>(R$123&gt;Inputs!$D140)*(R$123-Inputs!$D140-R134)</f>
        <v>0</v>
      </c>
      <c r="S133" s="38">
        <f>(S$123&gt;Inputs!$D140)*(S$123-Inputs!$D140-S134)</f>
        <v>0</v>
      </c>
      <c r="T133" s="38">
        <f>(T$123&gt;Inputs!$D140)*(T$123-Inputs!$D140-T134)</f>
        <v>0</v>
      </c>
      <c r="U133" s="38">
        <f>(U$123&gt;Inputs!$D140)*(U$123-Inputs!$D140-U134)</f>
        <v>0</v>
      </c>
      <c r="V133" s="38">
        <f>(V$123&gt;Inputs!$D140)*(V$123-Inputs!$D140-V134)</f>
        <v>0</v>
      </c>
      <c r="W133" s="38">
        <f>(W$123&gt;Inputs!$D140)*(W$123-Inputs!$D140-W134)</f>
        <v>0</v>
      </c>
      <c r="X133" s="38">
        <f>(X$123&gt;Inputs!$D140)*(X$123-Inputs!$D140-X134)</f>
        <v>0</v>
      </c>
      <c r="Y133" s="38">
        <f>(Y$123&gt;Inputs!$D140)*(Y$123-Inputs!$D140-Y134)</f>
        <v>0</v>
      </c>
      <c r="Z133" s="38">
        <f>(Z$123&gt;Inputs!$D140)*(Z$123-Inputs!$D140-Z134)</f>
        <v>0</v>
      </c>
      <c r="AA133" s="38">
        <f>(AA$123&gt;Inputs!$D140)*(AA$123-Inputs!$D140-AA134)</f>
        <v>0</v>
      </c>
      <c r="AB133" s="38">
        <f>(AB$123&gt;Inputs!$D140)*(AB$123-Inputs!$D140-AB134)</f>
        <v>0</v>
      </c>
      <c r="AC133" s="38">
        <f>(AC$123&gt;Inputs!$D140)*(AC$123-Inputs!$D140-AC134)</f>
        <v>0</v>
      </c>
      <c r="AD133" s="38">
        <f>(AD$123&gt;Inputs!$D140)*(AD$123-Inputs!$D140-AD134)</f>
        <v>0</v>
      </c>
      <c r="AE133" s="38">
        <f>(AE$123&gt;Inputs!$D140)*(AE$123-Inputs!$D140-AE134)</f>
        <v>0</v>
      </c>
      <c r="AF133" s="38">
        <f>(AF$123&gt;Inputs!$D140)*(AF$123-Inputs!$D140-AF134)</f>
        <v>0</v>
      </c>
      <c r="AG133" s="38">
        <f>(AG$123&gt;Inputs!$D140)*(AG$123-Inputs!$D140-AG134)</f>
        <v>0</v>
      </c>
      <c r="AH133" s="38">
        <f>(AH$123&gt;Inputs!$D140)*(AH$123-Inputs!$D140-AH134)</f>
        <v>0</v>
      </c>
      <c r="AI133" s="38">
        <f>(AI$123&gt;Inputs!$D140)*(AI$123-Inputs!$D140-AI134)</f>
        <v>0</v>
      </c>
      <c r="AJ133" s="38">
        <f>(AJ$123&gt;Inputs!$D140)*(AJ$123-Inputs!$D140-AJ134)</f>
        <v>0</v>
      </c>
      <c r="AK133" s="38">
        <f>(AK$123&gt;Inputs!$D140)*(AK$123-Inputs!$D140-AK134)</f>
        <v>0</v>
      </c>
      <c r="AL133" s="38">
        <f>(AL$123&gt;Inputs!$D140)*(AL$123-Inputs!$D140-AL134)</f>
        <v>0</v>
      </c>
      <c r="AM133" s="38">
        <f>(AM$123&gt;Inputs!$D140)*(AM$123-Inputs!$D140-AM134)</f>
        <v>0</v>
      </c>
      <c r="AN133" s="38">
        <f>(AN$123&gt;Inputs!$D140)*(AN$123-Inputs!$D140-AN134)</f>
        <v>0</v>
      </c>
      <c r="AO133" s="38">
        <f>(AO$123&gt;Inputs!$D140)*(AO$123-Inputs!$D140-AO134)</f>
        <v>0</v>
      </c>
      <c r="AP133" s="38">
        <f>(AP$123&gt;Inputs!$D140)*(AP$123-Inputs!$D140-AP134)</f>
        <v>0</v>
      </c>
      <c r="AQ133" s="38">
        <f>(AQ$123&gt;Inputs!$D140)*(AQ$123-Inputs!$D140-AQ134)</f>
        <v>0</v>
      </c>
      <c r="AR133" s="38">
        <f>(AR$123&gt;Inputs!$D140)*(AR$123-Inputs!$D140-AR134)</f>
        <v>0</v>
      </c>
      <c r="AS133" s="38">
        <f>(AS$123&gt;Inputs!$D140)*(AS$123-Inputs!$D140-AS134)</f>
        <v>0</v>
      </c>
      <c r="AT133" s="38">
        <f>(AT$123&gt;Inputs!$D140)*(AT$123-Inputs!$D140-AT134)</f>
        <v>0</v>
      </c>
      <c r="AU133" s="38">
        <f>(AU$123&gt;Inputs!$D140)*(AU$123-Inputs!$D140-AU134)</f>
        <v>0</v>
      </c>
      <c r="AV133" s="38">
        <f>(AV$123&gt;Inputs!$D140)*(AV$123-Inputs!$D140-AV134)</f>
        <v>0</v>
      </c>
      <c r="AW133" s="38">
        <f>(AW$123&gt;Inputs!$D140)*(AW$123-Inputs!$D140-AW134)</f>
        <v>0</v>
      </c>
      <c r="AX133" s="38">
        <f>(AX$123&gt;Inputs!$D140)*(AX$123-Inputs!$D140-AX134)</f>
        <v>0</v>
      </c>
      <c r="AY133" s="38">
        <f>(AY$123&gt;Inputs!$D140)*(AY$123-Inputs!$D140-AY134)</f>
        <v>0</v>
      </c>
      <c r="AZ133" s="38">
        <f>(AZ$123&gt;Inputs!$D140)*(AZ$123-Inputs!$D140-AZ134)</f>
        <v>0</v>
      </c>
      <c r="BA133" s="38">
        <f>(BA$123&gt;Inputs!$D140)*(BA$123-Inputs!$D140-BA134)</f>
        <v>0</v>
      </c>
      <c r="BB133" s="38">
        <f>(BB$123&gt;Inputs!$D140)*(BB$123-Inputs!$D140-BB134)</f>
        <v>0</v>
      </c>
      <c r="BC133" s="38">
        <f>(BC$123&gt;Inputs!$D140)*(BC$123-Inputs!$D140-BC134)</f>
        <v>0</v>
      </c>
      <c r="BD133" s="38">
        <f>(BD$123&gt;Inputs!$D140)*(BD$123-Inputs!$D140-BD134)</f>
        <v>0</v>
      </c>
    </row>
    <row r="134" spans="1:56" ht="15" customHeight="1">
      <c r="C134" s="21"/>
      <c r="D134" s="109" t="s">
        <v>386</v>
      </c>
      <c r="E134" s="18" t="s">
        <v>333</v>
      </c>
      <c r="G134" s="38">
        <f>(G$123&gt;Inputs!$D141)*(G$123-Inputs!$D141)</f>
        <v>0</v>
      </c>
      <c r="H134" s="38">
        <f>(H$123&gt;Inputs!$D141)*(H$123-Inputs!$D141)</f>
        <v>0</v>
      </c>
      <c r="I134" s="38">
        <f>(I$123&gt;Inputs!$D141)*(I$123-Inputs!$D141)</f>
        <v>0</v>
      </c>
      <c r="J134" s="38">
        <f>(J$123&gt;Inputs!$D141)*(J$123-Inputs!$D141)</f>
        <v>0</v>
      </c>
      <c r="K134" s="38">
        <f>(K$123&gt;Inputs!$D141)*(K$123-Inputs!$D141)</f>
        <v>259.7837184</v>
      </c>
      <c r="L134" s="38">
        <f>(L$123&gt;Inputs!$D141)*(L$123-Inputs!$D141)</f>
        <v>618.28524979200006</v>
      </c>
      <c r="M134" s="38">
        <f>(M$123&gt;Inputs!$D141)*(M$123-Inputs!$D141)</f>
        <v>630.65095478784008</v>
      </c>
      <c r="N134" s="38">
        <f>(N$123&gt;Inputs!$D141)*(N$123-Inputs!$D141)</f>
        <v>643.26397388359669</v>
      </c>
      <c r="O134" s="38">
        <f>(O$123&gt;Inputs!$D141)*(O$123-Inputs!$D141)</f>
        <v>656.12925336126864</v>
      </c>
      <c r="P134" s="38">
        <f>(P$123&gt;Inputs!$D141)*(P$123-Inputs!$D141)</f>
        <v>669.25183842849401</v>
      </c>
      <c r="Q134" s="38">
        <f>(Q$123&gt;Inputs!$D141)*(Q$123-Inputs!$D141)</f>
        <v>682.636875197064</v>
      </c>
      <c r="R134" s="38">
        <f>(R$123&gt;Inputs!$D141)*(R$123-Inputs!$D141)</f>
        <v>696.28961270100513</v>
      </c>
      <c r="S134" s="38">
        <f>(S$123&gt;Inputs!$D141)*(S$123-Inputs!$D141)</f>
        <v>710.21540495502541</v>
      </c>
      <c r="T134" s="38">
        <f>(T$123&gt;Inputs!$D141)*(T$123-Inputs!$D141)</f>
        <v>724.41971305412585</v>
      </c>
      <c r="U134" s="38">
        <f>(U$123&gt;Inputs!$D141)*(U$123-Inputs!$D141)</f>
        <v>738.90810731520844</v>
      </c>
      <c r="V134" s="38">
        <f>(V$123&gt;Inputs!$D141)*(V$123-Inputs!$D141)</f>
        <v>753.68626946151232</v>
      </c>
      <c r="W134" s="38">
        <f>(W$123&gt;Inputs!$D141)*(W$123-Inputs!$D141)</f>
        <v>768.75999485074271</v>
      </c>
      <c r="X134" s="38">
        <f>(X$123&gt;Inputs!$D141)*(X$123-Inputs!$D141)</f>
        <v>784.13519474775762</v>
      </c>
      <c r="Y134" s="38">
        <f>(Y$123&gt;Inputs!$D141)*(Y$123-Inputs!$D141)</f>
        <v>799.81789864271275</v>
      </c>
      <c r="Z134" s="38">
        <f>(Z$123&gt;Inputs!$D141)*(Z$123-Inputs!$D141)</f>
        <v>815.81425661556693</v>
      </c>
      <c r="AA134" s="38">
        <f>(AA$123&gt;Inputs!$D141)*(AA$123-Inputs!$D141)</f>
        <v>832.1305417478784</v>
      </c>
      <c r="AB134" s="38">
        <f>(AB$123&gt;Inputs!$D141)*(AB$123-Inputs!$D141)</f>
        <v>848.77315258283591</v>
      </c>
      <c r="AC134" s="38">
        <f>(AC$123&gt;Inputs!$D141)*(AC$123-Inputs!$D141)</f>
        <v>865.74861563449269</v>
      </c>
      <c r="AD134" s="38">
        <f>(AD$123&gt;Inputs!$D141)*(AD$123-Inputs!$D141)</f>
        <v>883.06358794718233</v>
      </c>
      <c r="AE134" s="38">
        <f>(AE$123&gt;Inputs!$D141)*(AE$123-Inputs!$D141)</f>
        <v>900.72485970612604</v>
      </c>
      <c r="AF134" s="38">
        <f>(AF$123&gt;Inputs!$D141)*(AF$123-Inputs!$D141)</f>
        <v>918.73935690024859</v>
      </c>
      <c r="AG134" s="38">
        <f>(AG$123&gt;Inputs!$D141)*(AG$123-Inputs!$D141)</f>
        <v>937.11414403825358</v>
      </c>
      <c r="AH134" s="38">
        <f>(AH$123&gt;Inputs!$D141)*(AH$123-Inputs!$D141)</f>
        <v>409.65275439386505</v>
      </c>
      <c r="AI134" s="38">
        <f>(AI$123&gt;Inputs!$D141)*(AI$123-Inputs!$D141)</f>
        <v>0</v>
      </c>
      <c r="AJ134" s="38">
        <f>(AJ$123&gt;Inputs!$D141)*(AJ$123-Inputs!$D141)</f>
        <v>0</v>
      </c>
      <c r="AK134" s="38">
        <f>(AK$123&gt;Inputs!$D141)*(AK$123-Inputs!$D141)</f>
        <v>0</v>
      </c>
      <c r="AL134" s="38">
        <f>(AL$123&gt;Inputs!$D141)*(AL$123-Inputs!$D141)</f>
        <v>0</v>
      </c>
      <c r="AM134" s="38">
        <f>(AM$123&gt;Inputs!$D141)*(AM$123-Inputs!$D141)</f>
        <v>0</v>
      </c>
      <c r="AN134" s="38">
        <f>(AN$123&gt;Inputs!$D141)*(AN$123-Inputs!$D141)</f>
        <v>0</v>
      </c>
      <c r="AO134" s="38">
        <f>(AO$123&gt;Inputs!$D141)*(AO$123-Inputs!$D141)</f>
        <v>0</v>
      </c>
      <c r="AP134" s="38">
        <f>(AP$123&gt;Inputs!$D141)*(AP$123-Inputs!$D141)</f>
        <v>0</v>
      </c>
      <c r="AQ134" s="38">
        <f>(AQ$123&gt;Inputs!$D141)*(AQ$123-Inputs!$D141)</f>
        <v>0</v>
      </c>
      <c r="AR134" s="38">
        <f>(AR$123&gt;Inputs!$D141)*(AR$123-Inputs!$D141)</f>
        <v>0</v>
      </c>
      <c r="AS134" s="38">
        <f>(AS$123&gt;Inputs!$D141)*(AS$123-Inputs!$D141)</f>
        <v>0</v>
      </c>
      <c r="AT134" s="38">
        <f>(AT$123&gt;Inputs!$D141)*(AT$123-Inputs!$D141)</f>
        <v>0</v>
      </c>
      <c r="AU134" s="38">
        <f>(AU$123&gt;Inputs!$D141)*(AU$123-Inputs!$D141)</f>
        <v>0</v>
      </c>
      <c r="AV134" s="38">
        <f>(AV$123&gt;Inputs!$D141)*(AV$123-Inputs!$D141)</f>
        <v>0</v>
      </c>
      <c r="AW134" s="38">
        <f>(AW$123&gt;Inputs!$D141)*(AW$123-Inputs!$D141)</f>
        <v>0</v>
      </c>
      <c r="AX134" s="38">
        <f>(AX$123&gt;Inputs!$D141)*(AX$123-Inputs!$D141)</f>
        <v>0</v>
      </c>
      <c r="AY134" s="38">
        <f>(AY$123&gt;Inputs!$D141)*(AY$123-Inputs!$D141)</f>
        <v>0</v>
      </c>
      <c r="AZ134" s="38">
        <f>(AZ$123&gt;Inputs!$D141)*(AZ$123-Inputs!$D141)</f>
        <v>0</v>
      </c>
      <c r="BA134" s="38">
        <f>(BA$123&gt;Inputs!$D141)*(BA$123-Inputs!$D141)</f>
        <v>0</v>
      </c>
      <c r="BB134" s="38">
        <f>(BB$123&gt;Inputs!$D141)*(BB$123-Inputs!$D141)</f>
        <v>0</v>
      </c>
      <c r="BC134" s="38">
        <f>(BC$123&gt;Inputs!$D141)*(BC$123-Inputs!$D141)</f>
        <v>0</v>
      </c>
      <c r="BD134" s="38">
        <f>(BD$123&gt;Inputs!$D141)*(BD$123-Inputs!$D141)</f>
        <v>0</v>
      </c>
    </row>
    <row r="135" spans="1:56" ht="15" customHeight="1">
      <c r="C135" s="21"/>
      <c r="D135" s="109"/>
      <c r="E135" s="1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row>
    <row r="136" spans="1:56" ht="15" customHeight="1">
      <c r="A136" s="26" t="b">
        <f>SUM(G136:BD136)=SUM(G123:BD123)</f>
        <v>1</v>
      </c>
      <c r="C136" s="21"/>
      <c r="D136" s="109" t="s">
        <v>387</v>
      </c>
      <c r="E136" s="18" t="s">
        <v>333</v>
      </c>
      <c r="G136" s="38">
        <f t="shared" ref="G136:AL136" si="83">SUM(G125:G134)</f>
        <v>0</v>
      </c>
      <c r="H136" s="38">
        <f t="shared" si="83"/>
        <v>0</v>
      </c>
      <c r="I136" s="38">
        <f t="shared" si="83"/>
        <v>0</v>
      </c>
      <c r="J136" s="38">
        <f t="shared" si="83"/>
        <v>0</v>
      </c>
      <c r="K136" s="38">
        <f t="shared" si="83"/>
        <v>259.7837184</v>
      </c>
      <c r="L136" s="38">
        <f t="shared" si="83"/>
        <v>618.28524979200006</v>
      </c>
      <c r="M136" s="38">
        <f t="shared" si="83"/>
        <v>630.65095478784008</v>
      </c>
      <c r="N136" s="38">
        <f t="shared" si="83"/>
        <v>643.26397388359669</v>
      </c>
      <c r="O136" s="38">
        <f t="shared" si="83"/>
        <v>656.12925336126864</v>
      </c>
      <c r="P136" s="38">
        <f t="shared" si="83"/>
        <v>669.25183842849401</v>
      </c>
      <c r="Q136" s="38">
        <f t="shared" si="83"/>
        <v>682.636875197064</v>
      </c>
      <c r="R136" s="38">
        <f t="shared" si="83"/>
        <v>696.28961270100513</v>
      </c>
      <c r="S136" s="38">
        <f t="shared" si="83"/>
        <v>710.21540495502541</v>
      </c>
      <c r="T136" s="38">
        <f t="shared" si="83"/>
        <v>724.41971305412585</v>
      </c>
      <c r="U136" s="38">
        <f t="shared" si="83"/>
        <v>738.90810731520844</v>
      </c>
      <c r="V136" s="38">
        <f t="shared" si="83"/>
        <v>753.68626946151232</v>
      </c>
      <c r="W136" s="38">
        <f t="shared" si="83"/>
        <v>768.75999485074271</v>
      </c>
      <c r="X136" s="38">
        <f t="shared" si="83"/>
        <v>784.13519474775762</v>
      </c>
      <c r="Y136" s="38">
        <f t="shared" si="83"/>
        <v>799.81789864271275</v>
      </c>
      <c r="Z136" s="38">
        <f t="shared" si="83"/>
        <v>815.81425661556693</v>
      </c>
      <c r="AA136" s="38">
        <f t="shared" si="83"/>
        <v>832.1305417478784</v>
      </c>
      <c r="AB136" s="38">
        <f t="shared" si="83"/>
        <v>848.77315258283591</v>
      </c>
      <c r="AC136" s="38">
        <f t="shared" si="83"/>
        <v>865.74861563449269</v>
      </c>
      <c r="AD136" s="38">
        <f t="shared" si="83"/>
        <v>883.06358794718233</v>
      </c>
      <c r="AE136" s="38">
        <f t="shared" si="83"/>
        <v>900.72485970612604</v>
      </c>
      <c r="AF136" s="38">
        <f t="shared" si="83"/>
        <v>918.73935690024859</v>
      </c>
      <c r="AG136" s="38">
        <f t="shared" si="83"/>
        <v>937.11414403825358</v>
      </c>
      <c r="AH136" s="38">
        <f t="shared" si="83"/>
        <v>409.65275439386505</v>
      </c>
      <c r="AI136" s="38">
        <f t="shared" si="83"/>
        <v>0</v>
      </c>
      <c r="AJ136" s="38">
        <f t="shared" si="83"/>
        <v>0</v>
      </c>
      <c r="AK136" s="38">
        <f t="shared" si="83"/>
        <v>0</v>
      </c>
      <c r="AL136" s="38">
        <f t="shared" si="83"/>
        <v>0</v>
      </c>
      <c r="AM136" s="38">
        <f t="shared" ref="AM136:BD136" si="84">SUM(AM125:AM134)</f>
        <v>0</v>
      </c>
      <c r="AN136" s="38">
        <f t="shared" si="84"/>
        <v>0</v>
      </c>
      <c r="AO136" s="38">
        <f t="shared" si="84"/>
        <v>0</v>
      </c>
      <c r="AP136" s="38">
        <f t="shared" si="84"/>
        <v>0</v>
      </c>
      <c r="AQ136" s="38">
        <f t="shared" si="84"/>
        <v>0</v>
      </c>
      <c r="AR136" s="38">
        <f t="shared" si="84"/>
        <v>0</v>
      </c>
      <c r="AS136" s="38">
        <f t="shared" si="84"/>
        <v>0</v>
      </c>
      <c r="AT136" s="38">
        <f t="shared" si="84"/>
        <v>0</v>
      </c>
      <c r="AU136" s="38">
        <f t="shared" si="84"/>
        <v>0</v>
      </c>
      <c r="AV136" s="38">
        <f t="shared" si="84"/>
        <v>0</v>
      </c>
      <c r="AW136" s="38">
        <f t="shared" si="84"/>
        <v>0</v>
      </c>
      <c r="AX136" s="38">
        <f t="shared" si="84"/>
        <v>0</v>
      </c>
      <c r="AY136" s="38">
        <f t="shared" si="84"/>
        <v>0</v>
      </c>
      <c r="AZ136" s="38">
        <f t="shared" si="84"/>
        <v>0</v>
      </c>
      <c r="BA136" s="38">
        <f t="shared" si="84"/>
        <v>0</v>
      </c>
      <c r="BB136" s="38">
        <f t="shared" si="84"/>
        <v>0</v>
      </c>
      <c r="BC136" s="38">
        <f t="shared" si="84"/>
        <v>0</v>
      </c>
      <c r="BD136" s="38">
        <f t="shared" si="84"/>
        <v>0</v>
      </c>
    </row>
    <row r="137" spans="1:56" ht="15" customHeight="1">
      <c r="C137" s="21"/>
      <c r="D137" s="109"/>
      <c r="E137" s="1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row>
    <row r="138" spans="1:56" ht="15" customHeight="1">
      <c r="C138" s="21"/>
      <c r="D138" s="109" t="s">
        <v>388</v>
      </c>
      <c r="E138" s="18" t="s">
        <v>30</v>
      </c>
      <c r="G138" s="66">
        <f>SUMPRODUCT(G125:G134,Inputs!$E$133:$E$142)/IF(Model!G123&gt;0,Model!G123,1)</f>
        <v>0</v>
      </c>
      <c r="H138" s="66">
        <f>SUMPRODUCT(H125:H134,Inputs!$E$133:$E$142)/IF(Model!H123&gt;0,Model!H123,1)</f>
        <v>0</v>
      </c>
      <c r="I138" s="66">
        <f>SUMPRODUCT(I125:I134,Inputs!$E$133:$E$142)/IF(Model!I123&gt;0,Model!I123,1)</f>
        <v>0</v>
      </c>
      <c r="J138" s="66">
        <f>SUMPRODUCT(J125:J134,Inputs!$E$133:$E$142)/IF(Model!J123&gt;0,Model!J123,1)</f>
        <v>0</v>
      </c>
      <c r="K138" s="66">
        <f>SUMPRODUCT(K125:K134,Inputs!$E$133:$E$142)/IF(Model!K123&gt;0,Model!K123,1)</f>
        <v>0</v>
      </c>
      <c r="L138" s="66">
        <f>SUMPRODUCT(L125:L134,Inputs!$E$133:$E$142)/IF(Model!L123&gt;0,Model!L123,1)</f>
        <v>0</v>
      </c>
      <c r="M138" s="66">
        <f>SUMPRODUCT(M125:M134,Inputs!$E$133:$E$142)/IF(Model!M123&gt;0,Model!M123,1)</f>
        <v>0</v>
      </c>
      <c r="N138" s="66">
        <f>SUMPRODUCT(N125:N134,Inputs!$E$133:$E$142)/IF(Model!N123&gt;0,Model!N123,1)</f>
        <v>0</v>
      </c>
      <c r="O138" s="66">
        <f>SUMPRODUCT(O125:O134,Inputs!$E$133:$E$142)/IF(Model!O123&gt;0,Model!O123,1)</f>
        <v>0</v>
      </c>
      <c r="P138" s="66">
        <f>SUMPRODUCT(P125:P134,Inputs!$E$133:$E$142)/IF(Model!P123&gt;0,Model!P123,1)</f>
        <v>0</v>
      </c>
      <c r="Q138" s="66">
        <f>SUMPRODUCT(Q125:Q134,Inputs!$E$133:$E$142)/IF(Model!Q123&gt;0,Model!Q123,1)</f>
        <v>0</v>
      </c>
      <c r="R138" s="66">
        <f>SUMPRODUCT(R125:R134,Inputs!$E$133:$E$142)/IF(Model!R123&gt;0,Model!R123,1)</f>
        <v>0</v>
      </c>
      <c r="S138" s="66">
        <f>SUMPRODUCT(S125:S134,Inputs!$E$133:$E$142)/IF(Model!S123&gt;0,Model!S123,1)</f>
        <v>0</v>
      </c>
      <c r="T138" s="66">
        <f>SUMPRODUCT(T125:T134,Inputs!$E$133:$E$142)/IF(Model!T123&gt;0,Model!T123,1)</f>
        <v>0</v>
      </c>
      <c r="U138" s="66">
        <f>SUMPRODUCT(U125:U134,Inputs!$E$133:$E$142)/IF(Model!U123&gt;0,Model!U123,1)</f>
        <v>0</v>
      </c>
      <c r="V138" s="66">
        <f>SUMPRODUCT(V125:V134,Inputs!$E$133:$E$142)/IF(Model!V123&gt;0,Model!V123,1)</f>
        <v>0</v>
      </c>
      <c r="W138" s="66">
        <f>SUMPRODUCT(W125:W134,Inputs!$E$133:$E$142)/IF(Model!W123&gt;0,Model!W123,1)</f>
        <v>0</v>
      </c>
      <c r="X138" s="66">
        <f>SUMPRODUCT(X125:X134,Inputs!$E$133:$E$142)/IF(Model!X123&gt;0,Model!X123,1)</f>
        <v>0</v>
      </c>
      <c r="Y138" s="66">
        <f>SUMPRODUCT(Y125:Y134,Inputs!$E$133:$E$142)/IF(Model!Y123&gt;0,Model!Y123,1)</f>
        <v>0</v>
      </c>
      <c r="Z138" s="66">
        <f>SUMPRODUCT(Z125:Z134,Inputs!$E$133:$E$142)/IF(Model!Z123&gt;0,Model!Z123,1)</f>
        <v>0</v>
      </c>
      <c r="AA138" s="66">
        <f>SUMPRODUCT(AA125:AA134,Inputs!$E$133:$E$142)/IF(Model!AA123&gt;0,Model!AA123,1)</f>
        <v>0</v>
      </c>
      <c r="AB138" s="66">
        <f>SUMPRODUCT(AB125:AB134,Inputs!$E$133:$E$142)/IF(Model!AB123&gt;0,Model!AB123,1)</f>
        <v>0</v>
      </c>
      <c r="AC138" s="66">
        <f>SUMPRODUCT(AC125:AC134,Inputs!$E$133:$E$142)/IF(Model!AC123&gt;0,Model!AC123,1)</f>
        <v>0</v>
      </c>
      <c r="AD138" s="66">
        <f>SUMPRODUCT(AD125:AD134,Inputs!$E$133:$E$142)/IF(Model!AD123&gt;0,Model!AD123,1)</f>
        <v>0</v>
      </c>
      <c r="AE138" s="66">
        <f>SUMPRODUCT(AE125:AE134,Inputs!$E$133:$E$142)/IF(Model!AE123&gt;0,Model!AE123,1)</f>
        <v>0</v>
      </c>
      <c r="AF138" s="66">
        <f>SUMPRODUCT(AF125:AF134,Inputs!$E$133:$E$142)/IF(Model!AF123&gt;0,Model!AF123,1)</f>
        <v>0</v>
      </c>
      <c r="AG138" s="66">
        <f>SUMPRODUCT(AG125:AG134,Inputs!$E$133:$E$142)/IF(Model!AG123&gt;0,Model!AG123,1)</f>
        <v>0</v>
      </c>
      <c r="AH138" s="66">
        <f>SUMPRODUCT(AH125:AH134,Inputs!$E$133:$E$142)/IF(Model!AH123&gt;0,Model!AH123,1)</f>
        <v>0</v>
      </c>
      <c r="AI138" s="66">
        <f>SUMPRODUCT(AI125:AI134,Inputs!$E$133:$E$142)/IF(Model!AI123&gt;0,Model!AI123,1)</f>
        <v>0</v>
      </c>
      <c r="AJ138" s="66">
        <f>SUMPRODUCT(AJ125:AJ134,Inputs!$E$133:$E$142)/IF(Model!AJ123&gt;0,Model!AJ123,1)</f>
        <v>0</v>
      </c>
      <c r="AK138" s="66">
        <f>SUMPRODUCT(AK125:AK134,Inputs!$E$133:$E$142)/IF(Model!AK123&gt;0,Model!AK123,1)</f>
        <v>0</v>
      </c>
      <c r="AL138" s="66">
        <f>SUMPRODUCT(AL125:AL134,Inputs!$E$133:$E$142)/IF(Model!AL123&gt;0,Model!AL123,1)</f>
        <v>0</v>
      </c>
      <c r="AM138" s="66">
        <f>SUMPRODUCT(AM125:AM134,Inputs!$E$133:$E$142)/IF(Model!AM123&gt;0,Model!AM123,1)</f>
        <v>0</v>
      </c>
      <c r="AN138" s="66">
        <f>SUMPRODUCT(AN125:AN134,Inputs!$E$133:$E$142)/IF(Model!AN123&gt;0,Model!AN123,1)</f>
        <v>0</v>
      </c>
      <c r="AO138" s="66">
        <f>SUMPRODUCT(AO125:AO134,Inputs!$E$133:$E$142)/IF(Model!AO123&gt;0,Model!AO123,1)</f>
        <v>0</v>
      </c>
      <c r="AP138" s="66">
        <f>SUMPRODUCT(AP125:AP134,Inputs!$E$133:$E$142)/IF(Model!AP123&gt;0,Model!AP123,1)</f>
        <v>0</v>
      </c>
      <c r="AQ138" s="66">
        <f>SUMPRODUCT(AQ125:AQ134,Inputs!$E$133:$E$142)/IF(Model!AQ123&gt;0,Model!AQ123,1)</f>
        <v>0</v>
      </c>
      <c r="AR138" s="66">
        <f>SUMPRODUCT(AR125:AR134,Inputs!$E$133:$E$142)/IF(Model!AR123&gt;0,Model!AR123,1)</f>
        <v>0</v>
      </c>
      <c r="AS138" s="66">
        <f>SUMPRODUCT(AS125:AS134,Inputs!$E$133:$E$142)/IF(Model!AS123&gt;0,Model!AS123,1)</f>
        <v>0</v>
      </c>
      <c r="AT138" s="66">
        <f>SUMPRODUCT(AT125:AT134,Inputs!$E$133:$E$142)/IF(Model!AT123&gt;0,Model!AT123,1)</f>
        <v>0</v>
      </c>
      <c r="AU138" s="66">
        <f>SUMPRODUCT(AU125:AU134,Inputs!$E$133:$E$142)/IF(Model!AU123&gt;0,Model!AU123,1)</f>
        <v>0</v>
      </c>
      <c r="AV138" s="66">
        <f>SUMPRODUCT(AV125:AV134,Inputs!$E$133:$E$142)/IF(Model!AV123&gt;0,Model!AV123,1)</f>
        <v>0</v>
      </c>
      <c r="AW138" s="66">
        <f>SUMPRODUCT(AW125:AW134,Inputs!$E$133:$E$142)/IF(Model!AW123&gt;0,Model!AW123,1)</f>
        <v>0</v>
      </c>
      <c r="AX138" s="66">
        <f>SUMPRODUCT(AX125:AX134,Inputs!$E$133:$E$142)/IF(Model!AX123&gt;0,Model!AX123,1)</f>
        <v>0</v>
      </c>
      <c r="AY138" s="66">
        <f>SUMPRODUCT(AY125:AY134,Inputs!$E$133:$E$142)/IF(Model!AY123&gt;0,Model!AY123,1)</f>
        <v>0</v>
      </c>
      <c r="AZ138" s="66">
        <f>SUMPRODUCT(AZ125:AZ134,Inputs!$E$133:$E$142)/IF(Model!AZ123&gt;0,Model!AZ123,1)</f>
        <v>0</v>
      </c>
      <c r="BA138" s="66">
        <f>SUMPRODUCT(BA125:BA134,Inputs!$E$133:$E$142)/IF(Model!BA123&gt;0,Model!BA123,1)</f>
        <v>0</v>
      </c>
      <c r="BB138" s="66">
        <f>SUMPRODUCT(BB125:BB134,Inputs!$E$133:$E$142)/IF(Model!BB123&gt;0,Model!BB123,1)</f>
        <v>0</v>
      </c>
      <c r="BC138" s="66">
        <f>SUMPRODUCT(BC125:BC134,Inputs!$E$133:$E$142)/IF(Model!BC123&gt;0,Model!BC123,1)</f>
        <v>0</v>
      </c>
      <c r="BD138" s="66">
        <f>SUMPRODUCT(BD125:BD134,Inputs!$E$133:$E$142)/IF(Model!BD123&gt;0,Model!BD123,1)</f>
        <v>0</v>
      </c>
    </row>
    <row r="139" spans="1:56" ht="15" customHeight="1">
      <c r="C139" s="21">
        <f>SUM(G139:BD139)</f>
        <v>0</v>
      </c>
      <c r="D139" s="11" t="s">
        <v>389</v>
      </c>
      <c r="E139" s="18" t="s">
        <v>333</v>
      </c>
      <c r="G139" s="145">
        <f t="shared" ref="G139:AL139" si="85">G138*G123</f>
        <v>0</v>
      </c>
      <c r="H139" s="145">
        <f t="shared" si="85"/>
        <v>0</v>
      </c>
      <c r="I139" s="145">
        <f t="shared" si="85"/>
        <v>0</v>
      </c>
      <c r="J139" s="145">
        <f t="shared" si="85"/>
        <v>0</v>
      </c>
      <c r="K139" s="145">
        <f t="shared" si="85"/>
        <v>0</v>
      </c>
      <c r="L139" s="145">
        <f t="shared" si="85"/>
        <v>0</v>
      </c>
      <c r="M139" s="145">
        <f t="shared" si="85"/>
        <v>0</v>
      </c>
      <c r="N139" s="145">
        <f t="shared" si="85"/>
        <v>0</v>
      </c>
      <c r="O139" s="145">
        <f t="shared" si="85"/>
        <v>0</v>
      </c>
      <c r="P139" s="145">
        <f t="shared" si="85"/>
        <v>0</v>
      </c>
      <c r="Q139" s="145">
        <f t="shared" si="85"/>
        <v>0</v>
      </c>
      <c r="R139" s="145">
        <f t="shared" si="85"/>
        <v>0</v>
      </c>
      <c r="S139" s="145">
        <f t="shared" si="85"/>
        <v>0</v>
      </c>
      <c r="T139" s="145">
        <f t="shared" si="85"/>
        <v>0</v>
      </c>
      <c r="U139" s="145">
        <f t="shared" si="85"/>
        <v>0</v>
      </c>
      <c r="V139" s="145">
        <f t="shared" si="85"/>
        <v>0</v>
      </c>
      <c r="W139" s="145">
        <f t="shared" si="85"/>
        <v>0</v>
      </c>
      <c r="X139" s="145">
        <f t="shared" si="85"/>
        <v>0</v>
      </c>
      <c r="Y139" s="145">
        <f t="shared" si="85"/>
        <v>0</v>
      </c>
      <c r="Z139" s="145">
        <f t="shared" si="85"/>
        <v>0</v>
      </c>
      <c r="AA139" s="145">
        <f t="shared" si="85"/>
        <v>0</v>
      </c>
      <c r="AB139" s="145">
        <f t="shared" si="85"/>
        <v>0</v>
      </c>
      <c r="AC139" s="145">
        <f t="shared" si="85"/>
        <v>0</v>
      </c>
      <c r="AD139" s="145">
        <f t="shared" si="85"/>
        <v>0</v>
      </c>
      <c r="AE139" s="145">
        <f t="shared" si="85"/>
        <v>0</v>
      </c>
      <c r="AF139" s="145">
        <f t="shared" si="85"/>
        <v>0</v>
      </c>
      <c r="AG139" s="145">
        <f t="shared" si="85"/>
        <v>0</v>
      </c>
      <c r="AH139" s="145">
        <f t="shared" si="85"/>
        <v>0</v>
      </c>
      <c r="AI139" s="145">
        <f t="shared" si="85"/>
        <v>0</v>
      </c>
      <c r="AJ139" s="145">
        <f t="shared" si="85"/>
        <v>0</v>
      </c>
      <c r="AK139" s="145">
        <f t="shared" si="85"/>
        <v>0</v>
      </c>
      <c r="AL139" s="145">
        <f t="shared" si="85"/>
        <v>0</v>
      </c>
      <c r="AM139" s="145">
        <f t="shared" ref="AM139:BD139" si="86">AM138*AM123</f>
        <v>0</v>
      </c>
      <c r="AN139" s="145">
        <f t="shared" si="86"/>
        <v>0</v>
      </c>
      <c r="AO139" s="145">
        <f t="shared" si="86"/>
        <v>0</v>
      </c>
      <c r="AP139" s="145">
        <f t="shared" si="86"/>
        <v>0</v>
      </c>
      <c r="AQ139" s="145">
        <f t="shared" si="86"/>
        <v>0</v>
      </c>
      <c r="AR139" s="145">
        <f t="shared" si="86"/>
        <v>0</v>
      </c>
      <c r="AS139" s="145">
        <f t="shared" si="86"/>
        <v>0</v>
      </c>
      <c r="AT139" s="145">
        <f t="shared" si="86"/>
        <v>0</v>
      </c>
      <c r="AU139" s="145">
        <f t="shared" si="86"/>
        <v>0</v>
      </c>
      <c r="AV139" s="145">
        <f t="shared" si="86"/>
        <v>0</v>
      </c>
      <c r="AW139" s="145">
        <f t="shared" si="86"/>
        <v>0</v>
      </c>
      <c r="AX139" s="145">
        <f t="shared" si="86"/>
        <v>0</v>
      </c>
      <c r="AY139" s="145">
        <f t="shared" si="86"/>
        <v>0</v>
      </c>
      <c r="AZ139" s="145">
        <f t="shared" si="86"/>
        <v>0</v>
      </c>
      <c r="BA139" s="145">
        <f t="shared" si="86"/>
        <v>0</v>
      </c>
      <c r="BB139" s="145">
        <f t="shared" si="86"/>
        <v>0</v>
      </c>
      <c r="BC139" s="145">
        <f t="shared" si="86"/>
        <v>0</v>
      </c>
      <c r="BD139" s="145">
        <f t="shared" si="86"/>
        <v>0</v>
      </c>
    </row>
    <row r="140" spans="1:56" ht="15" customHeight="1">
      <c r="C140" s="21"/>
      <c r="E140" s="18"/>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row>
    <row r="141" spans="1:56" ht="15" customHeight="1">
      <c r="C141" s="299"/>
      <c r="D141" s="166"/>
      <c r="E141" s="238"/>
      <c r="F141" s="166"/>
      <c r="G141" s="298"/>
      <c r="H141" s="298"/>
      <c r="I141" s="298"/>
      <c r="J141" s="298"/>
      <c r="K141" s="298"/>
      <c r="L141" s="298"/>
      <c r="M141" s="298"/>
      <c r="N141" s="298"/>
      <c r="O141" s="298"/>
      <c r="P141" s="298"/>
      <c r="Q141" s="298"/>
      <c r="R141" s="298"/>
      <c r="S141" s="298"/>
      <c r="T141" s="298"/>
      <c r="U141" s="298"/>
      <c r="V141" s="298"/>
      <c r="W141" s="298"/>
      <c r="X141" s="298"/>
      <c r="Y141" s="298"/>
      <c r="Z141" s="298"/>
      <c r="AA141" s="298"/>
      <c r="AB141" s="298"/>
      <c r="AC141" s="298"/>
      <c r="AD141" s="298"/>
      <c r="AE141" s="298"/>
      <c r="AF141" s="298"/>
      <c r="AG141" s="298"/>
      <c r="AH141" s="298"/>
      <c r="AI141" s="298"/>
      <c r="AJ141" s="298"/>
      <c r="AK141" s="298"/>
      <c r="AL141" s="298"/>
      <c r="AM141" s="298"/>
      <c r="AN141" s="298"/>
      <c r="AO141" s="298"/>
      <c r="AP141" s="298"/>
      <c r="AQ141" s="298"/>
      <c r="AR141" s="298"/>
      <c r="AS141" s="298"/>
      <c r="AT141" s="298"/>
      <c r="AU141" s="298"/>
      <c r="AV141" s="298"/>
      <c r="AW141" s="298"/>
      <c r="AX141" s="298"/>
      <c r="AY141" s="298"/>
      <c r="AZ141" s="298"/>
      <c r="BA141" s="298"/>
      <c r="BB141" s="298"/>
      <c r="BC141" s="298"/>
      <c r="BD141" s="298"/>
    </row>
    <row r="142" spans="1:56" ht="15" customHeight="1">
      <c r="D142" s="9" t="s">
        <v>390</v>
      </c>
    </row>
    <row r="143" spans="1:56" ht="15" customHeight="1">
      <c r="D143" s="11" t="s">
        <v>391</v>
      </c>
      <c r="E143" s="18"/>
      <c r="G143" s="113">
        <f t="shared" ref="G143:AL143" si="87">G110</f>
        <v>0</v>
      </c>
      <c r="H143" s="113">
        <f t="shared" si="87"/>
        <v>0</v>
      </c>
      <c r="I143" s="113">
        <f t="shared" si="87"/>
        <v>0</v>
      </c>
      <c r="J143" s="113">
        <f t="shared" si="87"/>
        <v>0</v>
      </c>
      <c r="K143" s="113">
        <f t="shared" si="87"/>
        <v>259.7837184</v>
      </c>
      <c r="L143" s="113">
        <f t="shared" si="87"/>
        <v>618.28524979200006</v>
      </c>
      <c r="M143" s="113">
        <f t="shared" si="87"/>
        <v>630.65095478784008</v>
      </c>
      <c r="N143" s="113">
        <f t="shared" si="87"/>
        <v>643.26397388359669</v>
      </c>
      <c r="O143" s="113">
        <f t="shared" si="87"/>
        <v>656.12925336126864</v>
      </c>
      <c r="P143" s="113">
        <f t="shared" si="87"/>
        <v>669.25183842849401</v>
      </c>
      <c r="Q143" s="113">
        <f t="shared" si="87"/>
        <v>682.636875197064</v>
      </c>
      <c r="R143" s="113">
        <f t="shared" si="87"/>
        <v>696.28961270100513</v>
      </c>
      <c r="S143" s="113">
        <f t="shared" si="87"/>
        <v>710.21540495502541</v>
      </c>
      <c r="T143" s="113">
        <f t="shared" si="87"/>
        <v>724.41971305412585</v>
      </c>
      <c r="U143" s="113">
        <f t="shared" si="87"/>
        <v>738.90810731520844</v>
      </c>
      <c r="V143" s="113">
        <f t="shared" si="87"/>
        <v>753.68626946151232</v>
      </c>
      <c r="W143" s="113">
        <f t="shared" si="87"/>
        <v>768.75999485074271</v>
      </c>
      <c r="X143" s="113">
        <f t="shared" si="87"/>
        <v>784.13519474775762</v>
      </c>
      <c r="Y143" s="113">
        <f t="shared" si="87"/>
        <v>799.81789864271275</v>
      </c>
      <c r="Z143" s="113">
        <f t="shared" si="87"/>
        <v>815.81425661556693</v>
      </c>
      <c r="AA143" s="113">
        <f t="shared" si="87"/>
        <v>832.1305417478784</v>
      </c>
      <c r="AB143" s="113">
        <f t="shared" si="87"/>
        <v>848.77315258283591</v>
      </c>
      <c r="AC143" s="113">
        <f t="shared" si="87"/>
        <v>865.74861563449269</v>
      </c>
      <c r="AD143" s="113">
        <f t="shared" si="87"/>
        <v>883.06358794718233</v>
      </c>
      <c r="AE143" s="113">
        <f t="shared" si="87"/>
        <v>900.72485970612604</v>
      </c>
      <c r="AF143" s="113">
        <f t="shared" si="87"/>
        <v>918.73935690024859</v>
      </c>
      <c r="AG143" s="113">
        <f t="shared" si="87"/>
        <v>937.11414403825358</v>
      </c>
      <c r="AH143" s="113">
        <f t="shared" si="87"/>
        <v>409.65275439386505</v>
      </c>
      <c r="AI143" s="113">
        <f t="shared" si="87"/>
        <v>0</v>
      </c>
      <c r="AJ143" s="113">
        <f t="shared" si="87"/>
        <v>0</v>
      </c>
      <c r="AK143" s="113">
        <f t="shared" si="87"/>
        <v>0</v>
      </c>
      <c r="AL143" s="113">
        <f t="shared" si="87"/>
        <v>0</v>
      </c>
      <c r="AM143" s="113">
        <f t="shared" ref="AM143:BD143" si="88">AM110</f>
        <v>0</v>
      </c>
      <c r="AN143" s="113">
        <f t="shared" si="88"/>
        <v>0</v>
      </c>
      <c r="AO143" s="113">
        <f t="shared" si="88"/>
        <v>0</v>
      </c>
      <c r="AP143" s="113">
        <f t="shared" si="88"/>
        <v>0</v>
      </c>
      <c r="AQ143" s="113">
        <f t="shared" si="88"/>
        <v>0</v>
      </c>
      <c r="AR143" s="113">
        <f t="shared" si="88"/>
        <v>0</v>
      </c>
      <c r="AS143" s="113">
        <f t="shared" si="88"/>
        <v>0</v>
      </c>
      <c r="AT143" s="113">
        <f t="shared" si="88"/>
        <v>0</v>
      </c>
      <c r="AU143" s="113">
        <f t="shared" si="88"/>
        <v>0</v>
      </c>
      <c r="AV143" s="113">
        <f t="shared" si="88"/>
        <v>0</v>
      </c>
      <c r="AW143" s="113">
        <f t="shared" si="88"/>
        <v>0</v>
      </c>
      <c r="AX143" s="113">
        <f t="shared" si="88"/>
        <v>0</v>
      </c>
      <c r="AY143" s="113">
        <f t="shared" si="88"/>
        <v>0</v>
      </c>
      <c r="AZ143" s="113">
        <f t="shared" si="88"/>
        <v>0</v>
      </c>
      <c r="BA143" s="113">
        <f t="shared" si="88"/>
        <v>0</v>
      </c>
      <c r="BB143" s="113">
        <f t="shared" si="88"/>
        <v>0</v>
      </c>
      <c r="BC143" s="113">
        <f t="shared" si="88"/>
        <v>0</v>
      </c>
      <c r="BD143" s="113">
        <f t="shared" si="88"/>
        <v>0</v>
      </c>
    </row>
    <row r="144" spans="1:56" ht="15" customHeight="1">
      <c r="D144" s="22"/>
      <c r="E144" s="18"/>
    </row>
    <row r="145" spans="3:56" ht="15" customHeight="1">
      <c r="D145" s="109" t="s">
        <v>392</v>
      </c>
      <c r="E145" s="18" t="s">
        <v>30</v>
      </c>
      <c r="G145" s="7" t="str">
        <f>IF(IF(Inputs!$E$207 = 2, Inputs!F$210, Inputs!F$211) &lt; Inputs!$D148, Inputs!$E147, "")</f>
        <v/>
      </c>
      <c r="H145" s="7" t="str">
        <f>IF(IF(Inputs!$E$207 = 2, Inputs!G$210, Inputs!G$211) &lt; Inputs!$D148, Inputs!$E147, "")</f>
        <v/>
      </c>
      <c r="I145" s="7" t="str">
        <f>IF(IF(Inputs!$E$207 = 2, Inputs!H$210, Inputs!H$211) &lt; Inputs!$D148, Inputs!$E147, "")</f>
        <v/>
      </c>
      <c r="J145" s="7" t="str">
        <f>IF(IF(Inputs!$E$207 = 2, Inputs!I$210, Inputs!I$211) &lt; Inputs!$D148, Inputs!$E147, "")</f>
        <v/>
      </c>
      <c r="K145" s="7" t="str">
        <f>IF(IF(Inputs!$E$207 = 2, Inputs!J$210, Inputs!J$211) &lt; Inputs!$D148, Inputs!$E147, "")</f>
        <v/>
      </c>
      <c r="L145" s="7" t="str">
        <f>IF(IF(Inputs!$E$207 = 2, Inputs!K$210, Inputs!K$211) &lt; Inputs!$D148, Inputs!$E147, "")</f>
        <v/>
      </c>
      <c r="M145" s="7" t="str">
        <f>IF(IF(Inputs!$E$207 = 2, Inputs!L$210, Inputs!L$211) &lt; Inputs!$D148, Inputs!$E147, "")</f>
        <v/>
      </c>
      <c r="N145" s="7" t="str">
        <f>IF(IF(Inputs!$E$207 = 2, Inputs!M$210, Inputs!M$211) &lt; Inputs!$D148, Inputs!$E147, "")</f>
        <v/>
      </c>
      <c r="O145" s="7" t="str">
        <f>IF(IF(Inputs!$E$207 = 2, Inputs!N$210, Inputs!N$211) &lt; Inputs!$D148, Inputs!$E147, "")</f>
        <v/>
      </c>
      <c r="P145" s="7" t="str">
        <f>IF(IF(Inputs!$E$207 = 2, Inputs!O$210, Inputs!O$211) &lt; Inputs!$D148, Inputs!$E147, "")</f>
        <v/>
      </c>
      <c r="Q145" s="7" t="str">
        <f>IF(IF(Inputs!$E$207 = 2, Inputs!P$210, Inputs!P$211) &lt; Inputs!$D148, Inputs!$E147, "")</f>
        <v/>
      </c>
      <c r="R145" s="7" t="str">
        <f>IF(IF(Inputs!$E$207 = 2, Inputs!Q$210, Inputs!Q$211) &lt; Inputs!$D148, Inputs!$E147, "")</f>
        <v/>
      </c>
      <c r="S145" s="7" t="str">
        <f>IF(IF(Inputs!$E$207 = 2, Inputs!R$210, Inputs!R$211) &lt; Inputs!$D148, Inputs!$E147, "")</f>
        <v/>
      </c>
      <c r="T145" s="7" t="str">
        <f>IF(IF(Inputs!$E$207 = 2, Inputs!S$210, Inputs!S$211) &lt; Inputs!$D148, Inputs!$E147, "")</f>
        <v/>
      </c>
      <c r="U145" s="7" t="str">
        <f>IF(IF(Inputs!$E$207 = 2, Inputs!T$210, Inputs!T$211) &lt; Inputs!$D148, Inputs!$E147, "")</f>
        <v/>
      </c>
      <c r="V145" s="7" t="str">
        <f>IF(IF(Inputs!$E$207 = 2, Inputs!U$210, Inputs!U$211) &lt; Inputs!$D148, Inputs!$E147, "")</f>
        <v/>
      </c>
      <c r="W145" s="7" t="str">
        <f>IF(IF(Inputs!$E$207 = 2, Inputs!V$210, Inputs!V$211) &lt; Inputs!$D148, Inputs!$E147, "")</f>
        <v/>
      </c>
      <c r="X145" s="7" t="str">
        <f>IF(IF(Inputs!$E$207 = 2, Inputs!W$210, Inputs!W$211) &lt; Inputs!$D148, Inputs!$E147, "")</f>
        <v/>
      </c>
      <c r="Y145" s="7" t="str">
        <f>IF(IF(Inputs!$E$207 = 2, Inputs!X$210, Inputs!X$211) &lt; Inputs!$D148, Inputs!$E147, "")</f>
        <v/>
      </c>
      <c r="Z145" s="7" t="str">
        <f>IF(IF(Inputs!$E$207 = 2, Inputs!Y$210, Inputs!Y$211) &lt; Inputs!$D148, Inputs!$E147, "")</f>
        <v/>
      </c>
      <c r="AA145" s="7" t="str">
        <f>IF(IF(Inputs!$E$207 = 2, Inputs!Z$210, Inputs!Z$211) &lt; Inputs!$D148, Inputs!$E147, "")</f>
        <v/>
      </c>
      <c r="AB145" s="7" t="str">
        <f>IF(IF(Inputs!$E$207 = 2, Inputs!AA$210, Inputs!AA$211) &lt; Inputs!$D148, Inputs!$E147, "")</f>
        <v/>
      </c>
      <c r="AC145" s="7" t="str">
        <f>IF(IF(Inputs!$E$207 = 2, Inputs!AB$210, Inputs!AB$211) &lt; Inputs!$D148, Inputs!$E147, "")</f>
        <v/>
      </c>
      <c r="AD145" s="7" t="str">
        <f>IF(IF(Inputs!$E$207 = 2, Inputs!AC$210, Inputs!AC$211) &lt; Inputs!$D148, Inputs!$E147, "")</f>
        <v/>
      </c>
      <c r="AE145" s="7" t="str">
        <f>IF(IF(Inputs!$E$207 = 2, Inputs!AD$210, Inputs!AD$211) &lt; Inputs!$D148, Inputs!$E147, "")</f>
        <v/>
      </c>
      <c r="AF145" s="7" t="str">
        <f>IF(IF(Inputs!$E$207 = 2, Inputs!AE$210, Inputs!AE$211) &lt; Inputs!$D148, Inputs!$E147, "")</f>
        <v/>
      </c>
      <c r="AG145" s="7" t="str">
        <f>IF(IF(Inputs!$E$207 = 2, Inputs!AF$210, Inputs!AF$211) &lt; Inputs!$D148, Inputs!$E147, "")</f>
        <v/>
      </c>
      <c r="AH145" s="7" t="str">
        <f>IF(IF(Inputs!$E$207 = 2, Inputs!AG$210, Inputs!AG$211) &lt; Inputs!$D148, Inputs!$E147, "")</f>
        <v/>
      </c>
      <c r="AI145" s="7" t="str">
        <f>IF(IF(Inputs!$E$207 = 2, Inputs!AH$210, Inputs!AH$211) &lt; Inputs!$D148, Inputs!$E147, "")</f>
        <v/>
      </c>
      <c r="AJ145" s="7" t="str">
        <f>IF(IF(Inputs!$E$207 = 2, Inputs!AI$210, Inputs!AI$211) &lt; Inputs!$D148, Inputs!$E147, "")</f>
        <v/>
      </c>
      <c r="AK145" s="7" t="str">
        <f>IF(IF(Inputs!$E$207 = 2, Inputs!AJ$210, Inputs!AJ$211) &lt; Inputs!$D148, Inputs!$E147, "")</f>
        <v/>
      </c>
      <c r="AL145" s="7" t="str">
        <f>IF(IF(Inputs!$E$207 = 2, Inputs!AK$210, Inputs!AK$211) &lt; Inputs!$D148, Inputs!$E147, "")</f>
        <v/>
      </c>
      <c r="AM145" s="7" t="str">
        <f>IF(IF(Inputs!$E$207 = 2, Inputs!AL$210, Inputs!AL$211) &lt; Inputs!$D148, Inputs!$E147, "")</f>
        <v/>
      </c>
      <c r="AN145" s="7" t="str">
        <f>IF(IF(Inputs!$E$207 = 2, Inputs!AM$210, Inputs!AM$211) &lt; Inputs!$D148, Inputs!$E147, "")</f>
        <v/>
      </c>
      <c r="AO145" s="7" t="str">
        <f>IF(IF(Inputs!$E$207 = 2, Inputs!AN$210, Inputs!AN$211) &lt; Inputs!$D148, Inputs!$E147, "")</f>
        <v/>
      </c>
      <c r="AP145" s="7" t="str">
        <f>IF(IF(Inputs!$E$207 = 2, Inputs!AO$210, Inputs!AO$211) &lt; Inputs!$D148, Inputs!$E147, "")</f>
        <v/>
      </c>
      <c r="AQ145" s="7" t="str">
        <f>IF(IF(Inputs!$E$207 = 2, Inputs!AP$210, Inputs!AP$211) &lt; Inputs!$D148, Inputs!$E147, "")</f>
        <v/>
      </c>
      <c r="AR145" s="7" t="str">
        <f>IF(IF(Inputs!$E$207 = 2, Inputs!AQ$210, Inputs!AQ$211) &lt; Inputs!$D148, Inputs!$E147, "")</f>
        <v/>
      </c>
      <c r="AS145" s="7" t="str">
        <f>IF(IF(Inputs!$E$207 = 2, Inputs!AR$210, Inputs!AR$211) &lt; Inputs!$D148, Inputs!$E147, "")</f>
        <v/>
      </c>
      <c r="AT145" s="7" t="str">
        <f>IF(IF(Inputs!$E$207 = 2, Inputs!AS$210, Inputs!AS$211) &lt; Inputs!$D148, Inputs!$E147, "")</f>
        <v/>
      </c>
      <c r="AU145" s="7" t="str">
        <f>IF(IF(Inputs!$E$207 = 2, Inputs!AT$210, Inputs!AT$211) &lt; Inputs!$D148, Inputs!$E147, "")</f>
        <v/>
      </c>
      <c r="AV145" s="7" t="str">
        <f>IF(IF(Inputs!$E$207 = 2, Inputs!AU$210, Inputs!AU$211) &lt; Inputs!$D148, Inputs!$E147, "")</f>
        <v/>
      </c>
      <c r="AW145" s="7" t="str">
        <f>IF(IF(Inputs!$E$207 = 2, Inputs!AV$210, Inputs!AV$211) &lt; Inputs!$D148, Inputs!$E147, "")</f>
        <v/>
      </c>
      <c r="AX145" s="7" t="str">
        <f>IF(IF(Inputs!$E$207 = 2, Inputs!AW$210, Inputs!AW$211) &lt; Inputs!$D148, Inputs!$E147, "")</f>
        <v/>
      </c>
      <c r="AY145" s="7" t="str">
        <f>IF(IF(Inputs!$E$207 = 2, Inputs!AX$210, Inputs!AX$211) &lt; Inputs!$D148, Inputs!$E147, "")</f>
        <v/>
      </c>
      <c r="AZ145" s="7" t="str">
        <f>IF(IF(Inputs!$E$207 = 2, Inputs!AY$210, Inputs!AY$211) &lt; Inputs!$D148, Inputs!$E147, "")</f>
        <v/>
      </c>
      <c r="BA145" s="7" t="str">
        <f>IF(IF(Inputs!$E$207 = 2, Inputs!AZ$210, Inputs!AZ$211) &lt; Inputs!$D148, Inputs!$E147, "")</f>
        <v/>
      </c>
      <c r="BB145" s="7" t="str">
        <f>IF(IF(Inputs!$E$207 = 2, Inputs!BA$210, Inputs!BA$211) &lt; Inputs!$D148, Inputs!$E147, "")</f>
        <v/>
      </c>
      <c r="BC145" s="7" t="str">
        <f>IF(IF(Inputs!$E$207 = 2, Inputs!BB$210, Inputs!BB$211) &lt; Inputs!$D148, Inputs!$E147, "")</f>
        <v/>
      </c>
      <c r="BD145" s="7" t="str">
        <f>IF(IF(Inputs!$E$207 = 2, Inputs!BC$210, Inputs!BC$211) &lt; Inputs!$D148, Inputs!$E147, "")</f>
        <v/>
      </c>
    </row>
    <row r="146" spans="3:56" ht="15" customHeight="1">
      <c r="D146" s="109" t="s">
        <v>393</v>
      </c>
      <c r="E146" s="18" t="s">
        <v>30</v>
      </c>
      <c r="G146" s="7" t="str">
        <f>IF(IF(Inputs!$E$207 = 2, Inputs!F$210, Inputs!F$211) &gt;= Inputs!$D148, IF(IF(Inputs!$E$207 = 2, Inputs!F$210, Inputs!F$211) &lt; Inputs!$D149, Inputs!$E148, ""), "")</f>
        <v/>
      </c>
      <c r="H146" s="7" t="str">
        <f>IF(IF(Inputs!$E$207 = 2, Inputs!G$210, Inputs!G$211) &gt;= Inputs!$D148, IF(IF(Inputs!$E$207 = 2, Inputs!G$210, Inputs!G$211) &lt; Inputs!$D149, Inputs!$E148, ""), "")</f>
        <v/>
      </c>
      <c r="I146" s="7" t="str">
        <f>IF(IF(Inputs!$E$207 = 2, Inputs!H$210, Inputs!H$211) &gt;= Inputs!$D148, IF(IF(Inputs!$E$207 = 2, Inputs!H$210, Inputs!H$211) &lt; Inputs!$D149, Inputs!$E148, ""), "")</f>
        <v/>
      </c>
      <c r="J146" s="7" t="str">
        <f>IF(IF(Inputs!$E$207 = 2, Inputs!I$210, Inputs!I$211) &gt;= Inputs!$D148, IF(IF(Inputs!$E$207 = 2, Inputs!I$210, Inputs!I$211) &lt; Inputs!$D149, Inputs!$E148, ""), "")</f>
        <v/>
      </c>
      <c r="K146" s="7" t="str">
        <f>IF(IF(Inputs!$E$207 = 2, Inputs!J$210, Inputs!J$211) &gt;= Inputs!$D148, IF(IF(Inputs!$E$207 = 2, Inputs!J$210, Inputs!J$211) &lt; Inputs!$D149, Inputs!$E148, ""), "")</f>
        <v/>
      </c>
      <c r="L146" s="7" t="str">
        <f>IF(IF(Inputs!$E$207 = 2, Inputs!K$210, Inputs!K$211) &gt;= Inputs!$D148, IF(IF(Inputs!$E$207 = 2, Inputs!K$210, Inputs!K$211) &lt; Inputs!$D149, Inputs!$E148, ""), "")</f>
        <v/>
      </c>
      <c r="M146" s="7" t="str">
        <f>IF(IF(Inputs!$E$207 = 2, Inputs!L$210, Inputs!L$211) &gt;= Inputs!$D148, IF(IF(Inputs!$E$207 = 2, Inputs!L$210, Inputs!L$211) &lt; Inputs!$D149, Inputs!$E148, ""), "")</f>
        <v/>
      </c>
      <c r="N146" s="7" t="str">
        <f>IF(IF(Inputs!$E$207 = 2, Inputs!M$210, Inputs!M$211) &gt;= Inputs!$D148, IF(IF(Inputs!$E$207 = 2, Inputs!M$210, Inputs!M$211) &lt; Inputs!$D149, Inputs!$E148, ""), "")</f>
        <v/>
      </c>
      <c r="O146" s="7" t="str">
        <f>IF(IF(Inputs!$E$207 = 2, Inputs!N$210, Inputs!N$211) &gt;= Inputs!$D148, IF(IF(Inputs!$E$207 = 2, Inputs!N$210, Inputs!N$211) &lt; Inputs!$D149, Inputs!$E148, ""), "")</f>
        <v/>
      </c>
      <c r="P146" s="7" t="str">
        <f>IF(IF(Inputs!$E$207 = 2, Inputs!O$210, Inputs!O$211) &gt;= Inputs!$D148, IF(IF(Inputs!$E$207 = 2, Inputs!O$210, Inputs!O$211) &lt; Inputs!$D149, Inputs!$E148, ""), "")</f>
        <v/>
      </c>
      <c r="Q146" s="7" t="str">
        <f>IF(IF(Inputs!$E$207 = 2, Inputs!P$210, Inputs!P$211) &gt;= Inputs!$D148, IF(IF(Inputs!$E$207 = 2, Inputs!P$210, Inputs!P$211) &lt; Inputs!$D149, Inputs!$E148, ""), "")</f>
        <v/>
      </c>
      <c r="R146" s="7" t="str">
        <f>IF(IF(Inputs!$E$207 = 2, Inputs!Q$210, Inputs!Q$211) &gt;= Inputs!$D148, IF(IF(Inputs!$E$207 = 2, Inputs!Q$210, Inputs!Q$211) &lt; Inputs!$D149, Inputs!$E148, ""), "")</f>
        <v/>
      </c>
      <c r="S146" s="7" t="str">
        <f>IF(IF(Inputs!$E$207 = 2, Inputs!R$210, Inputs!R$211) &gt;= Inputs!$D148, IF(IF(Inputs!$E$207 = 2, Inputs!R$210, Inputs!R$211) &lt; Inputs!$D149, Inputs!$E148, ""), "")</f>
        <v/>
      </c>
      <c r="T146" s="7" t="str">
        <f>IF(IF(Inputs!$E$207 = 2, Inputs!S$210, Inputs!S$211) &gt;= Inputs!$D148, IF(IF(Inputs!$E$207 = 2, Inputs!S$210, Inputs!S$211) &lt; Inputs!$D149, Inputs!$E148, ""), "")</f>
        <v/>
      </c>
      <c r="U146" s="7" t="str">
        <f>IF(IF(Inputs!$E$207 = 2, Inputs!T$210, Inputs!T$211) &gt;= Inputs!$D148, IF(IF(Inputs!$E$207 = 2, Inputs!T$210, Inputs!T$211) &lt; Inputs!$D149, Inputs!$E148, ""), "")</f>
        <v/>
      </c>
      <c r="V146" s="7" t="str">
        <f>IF(IF(Inputs!$E$207 = 2, Inputs!U$210, Inputs!U$211) &gt;= Inputs!$D148, IF(IF(Inputs!$E$207 = 2, Inputs!U$210, Inputs!U$211) &lt; Inputs!$D149, Inputs!$E148, ""), "")</f>
        <v/>
      </c>
      <c r="W146" s="7" t="str">
        <f>IF(IF(Inputs!$E$207 = 2, Inputs!V$210, Inputs!V$211) &gt;= Inputs!$D148, IF(IF(Inputs!$E$207 = 2, Inputs!V$210, Inputs!V$211) &lt; Inputs!$D149, Inputs!$E148, ""), "")</f>
        <v/>
      </c>
      <c r="X146" s="7" t="str">
        <f>IF(IF(Inputs!$E$207 = 2, Inputs!W$210, Inputs!W$211) &gt;= Inputs!$D148, IF(IF(Inputs!$E$207 = 2, Inputs!W$210, Inputs!W$211) &lt; Inputs!$D149, Inputs!$E148, ""), "")</f>
        <v/>
      </c>
      <c r="Y146" s="7" t="str">
        <f>IF(IF(Inputs!$E$207 = 2, Inputs!X$210, Inputs!X$211) &gt;= Inputs!$D148, IF(IF(Inputs!$E$207 = 2, Inputs!X$210, Inputs!X$211) &lt; Inputs!$D149, Inputs!$E148, ""), "")</f>
        <v/>
      </c>
      <c r="Z146" s="7" t="str">
        <f>IF(IF(Inputs!$E$207 = 2, Inputs!Y$210, Inputs!Y$211) &gt;= Inputs!$D148, IF(IF(Inputs!$E$207 = 2, Inputs!Y$210, Inputs!Y$211) &lt; Inputs!$D149, Inputs!$E148, ""), "")</f>
        <v/>
      </c>
      <c r="AA146" s="7" t="str">
        <f>IF(IF(Inputs!$E$207 = 2, Inputs!Z$210, Inputs!Z$211) &gt;= Inputs!$D148, IF(IF(Inputs!$E$207 = 2, Inputs!Z$210, Inputs!Z$211) &lt; Inputs!$D149, Inputs!$E148, ""), "")</f>
        <v/>
      </c>
      <c r="AB146" s="7" t="str">
        <f>IF(IF(Inputs!$E$207 = 2, Inputs!AA$210, Inputs!AA$211) &gt;= Inputs!$D148, IF(IF(Inputs!$E$207 = 2, Inputs!AA$210, Inputs!AA$211) &lt; Inputs!$D149, Inputs!$E148, ""), "")</f>
        <v/>
      </c>
      <c r="AC146" s="7" t="str">
        <f>IF(IF(Inputs!$E$207 = 2, Inputs!AB$210, Inputs!AB$211) &gt;= Inputs!$D148, IF(IF(Inputs!$E$207 = 2, Inputs!AB$210, Inputs!AB$211) &lt; Inputs!$D149, Inputs!$E148, ""), "")</f>
        <v/>
      </c>
      <c r="AD146" s="7" t="str">
        <f>IF(IF(Inputs!$E$207 = 2, Inputs!AC$210, Inputs!AC$211) &gt;= Inputs!$D148, IF(IF(Inputs!$E$207 = 2, Inputs!AC$210, Inputs!AC$211) &lt; Inputs!$D149, Inputs!$E148, ""), "")</f>
        <v/>
      </c>
      <c r="AE146" s="7" t="str">
        <f>IF(IF(Inputs!$E$207 = 2, Inputs!AD$210, Inputs!AD$211) &gt;= Inputs!$D148, IF(IF(Inputs!$E$207 = 2, Inputs!AD$210, Inputs!AD$211) &lt; Inputs!$D149, Inputs!$E148, ""), "")</f>
        <v/>
      </c>
      <c r="AF146" s="7" t="str">
        <f>IF(IF(Inputs!$E$207 = 2, Inputs!AE$210, Inputs!AE$211) &gt;= Inputs!$D148, IF(IF(Inputs!$E$207 = 2, Inputs!AE$210, Inputs!AE$211) &lt; Inputs!$D149, Inputs!$E148, ""), "")</f>
        <v/>
      </c>
      <c r="AG146" s="7" t="str">
        <f>IF(IF(Inputs!$E$207 = 2, Inputs!AF$210, Inputs!AF$211) &gt;= Inputs!$D148, IF(IF(Inputs!$E$207 = 2, Inputs!AF$210, Inputs!AF$211) &lt; Inputs!$D149, Inputs!$E148, ""), "")</f>
        <v/>
      </c>
      <c r="AH146" s="7" t="str">
        <f>IF(IF(Inputs!$E$207 = 2, Inputs!AG$210, Inputs!AG$211) &gt;= Inputs!$D148, IF(IF(Inputs!$E$207 = 2, Inputs!AG$210, Inputs!AG$211) &lt; Inputs!$D149, Inputs!$E148, ""), "")</f>
        <v/>
      </c>
      <c r="AI146" s="7" t="str">
        <f>IF(IF(Inputs!$E$207 = 2, Inputs!AH$210, Inputs!AH$211) &gt;= Inputs!$D148, IF(IF(Inputs!$E$207 = 2, Inputs!AH$210, Inputs!AH$211) &lt; Inputs!$D149, Inputs!$E148, ""), "")</f>
        <v/>
      </c>
      <c r="AJ146" s="7" t="str">
        <f>IF(IF(Inputs!$E$207 = 2, Inputs!AI$210, Inputs!AI$211) &gt;= Inputs!$D148, IF(IF(Inputs!$E$207 = 2, Inputs!AI$210, Inputs!AI$211) &lt; Inputs!$D149, Inputs!$E148, ""), "")</f>
        <v/>
      </c>
      <c r="AK146" s="7" t="str">
        <f>IF(IF(Inputs!$E$207 = 2, Inputs!AJ$210, Inputs!AJ$211) &gt;= Inputs!$D148, IF(IF(Inputs!$E$207 = 2, Inputs!AJ$210, Inputs!AJ$211) &lt; Inputs!$D149, Inputs!$E148, ""), "")</f>
        <v/>
      </c>
      <c r="AL146" s="7" t="str">
        <f>IF(IF(Inputs!$E$207 = 2, Inputs!AK$210, Inputs!AK$211) &gt;= Inputs!$D148, IF(IF(Inputs!$E$207 = 2, Inputs!AK$210, Inputs!AK$211) &lt; Inputs!$D149, Inputs!$E148, ""), "")</f>
        <v/>
      </c>
      <c r="AM146" s="7" t="str">
        <f>IF(IF(Inputs!$E$207 = 2, Inputs!AL$210, Inputs!AL$211) &gt;= Inputs!$D148, IF(IF(Inputs!$E$207 = 2, Inputs!AL$210, Inputs!AL$211) &lt; Inputs!$D149, Inputs!$E148, ""), "")</f>
        <v/>
      </c>
      <c r="AN146" s="7" t="str">
        <f>IF(IF(Inputs!$E$207 = 2, Inputs!AM$210, Inputs!AM$211) &gt;= Inputs!$D148, IF(IF(Inputs!$E$207 = 2, Inputs!AM$210, Inputs!AM$211) &lt; Inputs!$D149, Inputs!$E148, ""), "")</f>
        <v/>
      </c>
      <c r="AO146" s="7" t="str">
        <f>IF(IF(Inputs!$E$207 = 2, Inputs!AN$210, Inputs!AN$211) &gt;= Inputs!$D148, IF(IF(Inputs!$E$207 = 2, Inputs!AN$210, Inputs!AN$211) &lt; Inputs!$D149, Inputs!$E148, ""), "")</f>
        <v/>
      </c>
      <c r="AP146" s="7" t="str">
        <f>IF(IF(Inputs!$E$207 = 2, Inputs!AO$210, Inputs!AO$211) &gt;= Inputs!$D148, IF(IF(Inputs!$E$207 = 2, Inputs!AO$210, Inputs!AO$211) &lt; Inputs!$D149, Inputs!$E148, ""), "")</f>
        <v/>
      </c>
      <c r="AQ146" s="7" t="str">
        <f>IF(IF(Inputs!$E$207 = 2, Inputs!AP$210, Inputs!AP$211) &gt;= Inputs!$D148, IF(IF(Inputs!$E$207 = 2, Inputs!AP$210, Inputs!AP$211) &lt; Inputs!$D149, Inputs!$E148, ""), "")</f>
        <v/>
      </c>
      <c r="AR146" s="7" t="str">
        <f>IF(IF(Inputs!$E$207 = 2, Inputs!AQ$210, Inputs!AQ$211) &gt;= Inputs!$D148, IF(IF(Inputs!$E$207 = 2, Inputs!AQ$210, Inputs!AQ$211) &lt; Inputs!$D149, Inputs!$E148, ""), "")</f>
        <v/>
      </c>
      <c r="AS146" s="7" t="str">
        <f>IF(IF(Inputs!$E$207 = 2, Inputs!AR$210, Inputs!AR$211) &gt;= Inputs!$D148, IF(IF(Inputs!$E$207 = 2, Inputs!AR$210, Inputs!AR$211) &lt; Inputs!$D149, Inputs!$E148, ""), "")</f>
        <v/>
      </c>
      <c r="AT146" s="7" t="str">
        <f>IF(IF(Inputs!$E$207 = 2, Inputs!AS$210, Inputs!AS$211) &gt;= Inputs!$D148, IF(IF(Inputs!$E$207 = 2, Inputs!AS$210, Inputs!AS$211) &lt; Inputs!$D149, Inputs!$E148, ""), "")</f>
        <v/>
      </c>
      <c r="AU146" s="7" t="str">
        <f>IF(IF(Inputs!$E$207 = 2, Inputs!AT$210, Inputs!AT$211) &gt;= Inputs!$D148, IF(IF(Inputs!$E$207 = 2, Inputs!AT$210, Inputs!AT$211) &lt; Inputs!$D149, Inputs!$E148, ""), "")</f>
        <v/>
      </c>
      <c r="AV146" s="7" t="str">
        <f>IF(IF(Inputs!$E$207 = 2, Inputs!AU$210, Inputs!AU$211) &gt;= Inputs!$D148, IF(IF(Inputs!$E$207 = 2, Inputs!AU$210, Inputs!AU$211) &lt; Inputs!$D149, Inputs!$E148, ""), "")</f>
        <v/>
      </c>
      <c r="AW146" s="7" t="str">
        <f>IF(IF(Inputs!$E$207 = 2, Inputs!AV$210, Inputs!AV$211) &gt;= Inputs!$D148, IF(IF(Inputs!$E$207 = 2, Inputs!AV$210, Inputs!AV$211) &lt; Inputs!$D149, Inputs!$E148, ""), "")</f>
        <v/>
      </c>
      <c r="AX146" s="7" t="str">
        <f>IF(IF(Inputs!$E$207 = 2, Inputs!AW$210, Inputs!AW$211) &gt;= Inputs!$D148, IF(IF(Inputs!$E$207 = 2, Inputs!AW$210, Inputs!AW$211) &lt; Inputs!$D149, Inputs!$E148, ""), "")</f>
        <v/>
      </c>
      <c r="AY146" s="7" t="str">
        <f>IF(IF(Inputs!$E$207 = 2, Inputs!AX$210, Inputs!AX$211) &gt;= Inputs!$D148, IF(IF(Inputs!$E$207 = 2, Inputs!AX$210, Inputs!AX$211) &lt; Inputs!$D149, Inputs!$E148, ""), "")</f>
        <v/>
      </c>
      <c r="AZ146" s="7" t="str">
        <f>IF(IF(Inputs!$E$207 = 2, Inputs!AY$210, Inputs!AY$211) &gt;= Inputs!$D148, IF(IF(Inputs!$E$207 = 2, Inputs!AY$210, Inputs!AY$211) &lt; Inputs!$D149, Inputs!$E148, ""), "")</f>
        <v/>
      </c>
      <c r="BA146" s="7" t="str">
        <f>IF(IF(Inputs!$E$207 = 2, Inputs!AZ$210, Inputs!AZ$211) &gt;= Inputs!$D148, IF(IF(Inputs!$E$207 = 2, Inputs!AZ$210, Inputs!AZ$211) &lt; Inputs!$D149, Inputs!$E148, ""), "")</f>
        <v/>
      </c>
      <c r="BB146" s="7" t="str">
        <f>IF(IF(Inputs!$E$207 = 2, Inputs!BA$210, Inputs!BA$211) &gt;= Inputs!$D148, IF(IF(Inputs!$E$207 = 2, Inputs!BA$210, Inputs!BA$211) &lt; Inputs!$D149, Inputs!$E148, ""), "")</f>
        <v/>
      </c>
      <c r="BC146" s="7" t="str">
        <f>IF(IF(Inputs!$E$207 = 2, Inputs!BB$210, Inputs!BB$211) &gt;= Inputs!$D148, IF(IF(Inputs!$E$207 = 2, Inputs!BB$210, Inputs!BB$211) &lt; Inputs!$D149, Inputs!$E148, ""), "")</f>
        <v/>
      </c>
      <c r="BD146" s="7" t="str">
        <f>IF(IF(Inputs!$E$207 = 2, Inputs!BC$210, Inputs!BC$211) &gt;= Inputs!$D148, IF(IF(Inputs!$E$207 = 2, Inputs!BC$210, Inputs!BC$211) &lt; Inputs!$D149, Inputs!$E148, ""), "")</f>
        <v/>
      </c>
    </row>
    <row r="147" spans="3:56" ht="15" customHeight="1">
      <c r="D147" s="109" t="s">
        <v>394</v>
      </c>
      <c r="E147" s="18" t="s">
        <v>30</v>
      </c>
      <c r="G147" s="7" t="str">
        <f>IF(IF(Inputs!$E$207 = 2, Inputs!F$210, Inputs!F$211) &gt;= Inputs!$D149, IF(IF(Inputs!$E$207 = 2, Inputs!F$210, Inputs!F$211) &lt; Inputs!$D150, Inputs!$E149, ""), "")</f>
        <v/>
      </c>
      <c r="H147" s="7" t="str">
        <f>IF(IF(Inputs!$E$207 = 2, Inputs!G$210, Inputs!G$211) &gt;= Inputs!$D149, IF(IF(Inputs!$E$207 = 2, Inputs!G$210, Inputs!G$211) &lt; Inputs!$D150, Inputs!$E149, ""), "")</f>
        <v/>
      </c>
      <c r="I147" s="7" t="str">
        <f>IF(IF(Inputs!$E$207 = 2, Inputs!H$210, Inputs!H$211) &gt;= Inputs!$D149, IF(IF(Inputs!$E$207 = 2, Inputs!H$210, Inputs!H$211) &lt; Inputs!$D150, Inputs!$E149, ""), "")</f>
        <v/>
      </c>
      <c r="J147" s="7" t="str">
        <f>IF(IF(Inputs!$E$207 = 2, Inputs!I$210, Inputs!I$211) &gt;= Inputs!$D149, IF(IF(Inputs!$E$207 = 2, Inputs!I$210, Inputs!I$211) &lt; Inputs!$D150, Inputs!$E149, ""), "")</f>
        <v/>
      </c>
      <c r="K147" s="7" t="str">
        <f>IF(IF(Inputs!$E$207 = 2, Inputs!J$210, Inputs!J$211) &gt;= Inputs!$D149, IF(IF(Inputs!$E$207 = 2, Inputs!J$210, Inputs!J$211) &lt; Inputs!$D150, Inputs!$E149, ""), "")</f>
        <v/>
      </c>
      <c r="L147" s="7" t="str">
        <f>IF(IF(Inputs!$E$207 = 2, Inputs!K$210, Inputs!K$211) &gt;= Inputs!$D149, IF(IF(Inputs!$E$207 = 2, Inputs!K$210, Inputs!K$211) &lt; Inputs!$D150, Inputs!$E149, ""), "")</f>
        <v/>
      </c>
      <c r="M147" s="7" t="str">
        <f>IF(IF(Inputs!$E$207 = 2, Inputs!L$210, Inputs!L$211) &gt;= Inputs!$D149, IF(IF(Inputs!$E$207 = 2, Inputs!L$210, Inputs!L$211) &lt; Inputs!$D150, Inputs!$E149, ""), "")</f>
        <v/>
      </c>
      <c r="N147" s="7" t="str">
        <f>IF(IF(Inputs!$E$207 = 2, Inputs!M$210, Inputs!M$211) &gt;= Inputs!$D149, IF(IF(Inputs!$E$207 = 2, Inputs!M$210, Inputs!M$211) &lt; Inputs!$D150, Inputs!$E149, ""), "")</f>
        <v/>
      </c>
      <c r="O147" s="7" t="str">
        <f>IF(IF(Inputs!$E$207 = 2, Inputs!N$210, Inputs!N$211) &gt;= Inputs!$D149, IF(IF(Inputs!$E$207 = 2, Inputs!N$210, Inputs!N$211) &lt; Inputs!$D150, Inputs!$E149, ""), "")</f>
        <v/>
      </c>
      <c r="P147" s="7" t="str">
        <f>IF(IF(Inputs!$E$207 = 2, Inputs!O$210, Inputs!O$211) &gt;= Inputs!$D149, IF(IF(Inputs!$E$207 = 2, Inputs!O$210, Inputs!O$211) &lt; Inputs!$D150, Inputs!$E149, ""), "")</f>
        <v/>
      </c>
      <c r="Q147" s="7" t="str">
        <f>IF(IF(Inputs!$E$207 = 2, Inputs!P$210, Inputs!P$211) &gt;= Inputs!$D149, IF(IF(Inputs!$E$207 = 2, Inputs!P$210, Inputs!P$211) &lt; Inputs!$D150, Inputs!$E149, ""), "")</f>
        <v/>
      </c>
      <c r="R147" s="7" t="str">
        <f>IF(IF(Inputs!$E$207 = 2, Inputs!Q$210, Inputs!Q$211) &gt;= Inputs!$D149, IF(IF(Inputs!$E$207 = 2, Inputs!Q$210, Inputs!Q$211) &lt; Inputs!$D150, Inputs!$E149, ""), "")</f>
        <v/>
      </c>
      <c r="S147" s="7" t="str">
        <f>IF(IF(Inputs!$E$207 = 2, Inputs!R$210, Inputs!R$211) &gt;= Inputs!$D149, IF(IF(Inputs!$E$207 = 2, Inputs!R$210, Inputs!R$211) &lt; Inputs!$D150, Inputs!$E149, ""), "")</f>
        <v/>
      </c>
      <c r="T147" s="7" t="str">
        <f>IF(IF(Inputs!$E$207 = 2, Inputs!S$210, Inputs!S$211) &gt;= Inputs!$D149, IF(IF(Inputs!$E$207 = 2, Inputs!S$210, Inputs!S$211) &lt; Inputs!$D150, Inputs!$E149, ""), "")</f>
        <v/>
      </c>
      <c r="U147" s="7" t="str">
        <f>IF(IF(Inputs!$E$207 = 2, Inputs!T$210, Inputs!T$211) &gt;= Inputs!$D149, IF(IF(Inputs!$E$207 = 2, Inputs!T$210, Inputs!T$211) &lt; Inputs!$D150, Inputs!$E149, ""), "")</f>
        <v/>
      </c>
      <c r="V147" s="7" t="str">
        <f>IF(IF(Inputs!$E$207 = 2, Inputs!U$210, Inputs!U$211) &gt;= Inputs!$D149, IF(IF(Inputs!$E$207 = 2, Inputs!U$210, Inputs!U$211) &lt; Inputs!$D150, Inputs!$E149, ""), "")</f>
        <v/>
      </c>
      <c r="W147" s="7" t="str">
        <f>IF(IF(Inputs!$E$207 = 2, Inputs!V$210, Inputs!V$211) &gt;= Inputs!$D149, IF(IF(Inputs!$E$207 = 2, Inputs!V$210, Inputs!V$211) &lt; Inputs!$D150, Inputs!$E149, ""), "")</f>
        <v/>
      </c>
      <c r="X147" s="7" t="str">
        <f>IF(IF(Inputs!$E$207 = 2, Inputs!W$210, Inputs!W$211) &gt;= Inputs!$D149, IF(IF(Inputs!$E$207 = 2, Inputs!W$210, Inputs!W$211) &lt; Inputs!$D150, Inputs!$E149, ""), "")</f>
        <v/>
      </c>
      <c r="Y147" s="7" t="str">
        <f>IF(IF(Inputs!$E$207 = 2, Inputs!X$210, Inputs!X$211) &gt;= Inputs!$D149, IF(IF(Inputs!$E$207 = 2, Inputs!X$210, Inputs!X$211) &lt; Inputs!$D150, Inputs!$E149, ""), "")</f>
        <v/>
      </c>
      <c r="Z147" s="7" t="str">
        <f>IF(IF(Inputs!$E$207 = 2, Inputs!Y$210, Inputs!Y$211) &gt;= Inputs!$D149, IF(IF(Inputs!$E$207 = 2, Inputs!Y$210, Inputs!Y$211) &lt; Inputs!$D150, Inputs!$E149, ""), "")</f>
        <v/>
      </c>
      <c r="AA147" s="7" t="str">
        <f>IF(IF(Inputs!$E$207 = 2, Inputs!Z$210, Inputs!Z$211) &gt;= Inputs!$D149, IF(IF(Inputs!$E$207 = 2, Inputs!Z$210, Inputs!Z$211) &lt; Inputs!$D150, Inputs!$E149, ""), "")</f>
        <v/>
      </c>
      <c r="AB147" s="7" t="str">
        <f>IF(IF(Inputs!$E$207 = 2, Inputs!AA$210, Inputs!AA$211) &gt;= Inputs!$D149, IF(IF(Inputs!$E$207 = 2, Inputs!AA$210, Inputs!AA$211) &lt; Inputs!$D150, Inputs!$E149, ""), "")</f>
        <v/>
      </c>
      <c r="AC147" s="7" t="str">
        <f>IF(IF(Inputs!$E$207 = 2, Inputs!AB$210, Inputs!AB$211) &gt;= Inputs!$D149, IF(IF(Inputs!$E$207 = 2, Inputs!AB$210, Inputs!AB$211) &lt; Inputs!$D150, Inputs!$E149, ""), "")</f>
        <v/>
      </c>
      <c r="AD147" s="7" t="str">
        <f>IF(IF(Inputs!$E$207 = 2, Inputs!AC$210, Inputs!AC$211) &gt;= Inputs!$D149, IF(IF(Inputs!$E$207 = 2, Inputs!AC$210, Inputs!AC$211) &lt; Inputs!$D150, Inputs!$E149, ""), "")</f>
        <v/>
      </c>
      <c r="AE147" s="7" t="str">
        <f>IF(IF(Inputs!$E$207 = 2, Inputs!AD$210, Inputs!AD$211) &gt;= Inputs!$D149, IF(IF(Inputs!$E$207 = 2, Inputs!AD$210, Inputs!AD$211) &lt; Inputs!$D150, Inputs!$E149, ""), "")</f>
        <v/>
      </c>
      <c r="AF147" s="7" t="str">
        <f>IF(IF(Inputs!$E$207 = 2, Inputs!AE$210, Inputs!AE$211) &gt;= Inputs!$D149, IF(IF(Inputs!$E$207 = 2, Inputs!AE$210, Inputs!AE$211) &lt; Inputs!$D150, Inputs!$E149, ""), "")</f>
        <v/>
      </c>
      <c r="AG147" s="7" t="str">
        <f>IF(IF(Inputs!$E$207 = 2, Inputs!AF$210, Inputs!AF$211) &gt;= Inputs!$D149, IF(IF(Inputs!$E$207 = 2, Inputs!AF$210, Inputs!AF$211) &lt; Inputs!$D150, Inputs!$E149, ""), "")</f>
        <v/>
      </c>
      <c r="AH147" s="7" t="str">
        <f>IF(IF(Inputs!$E$207 = 2, Inputs!AG$210, Inputs!AG$211) &gt;= Inputs!$D149, IF(IF(Inputs!$E$207 = 2, Inputs!AG$210, Inputs!AG$211) &lt; Inputs!$D150, Inputs!$E149, ""), "")</f>
        <v/>
      </c>
      <c r="AI147" s="7" t="str">
        <f>IF(IF(Inputs!$E$207 = 2, Inputs!AH$210, Inputs!AH$211) &gt;= Inputs!$D149, IF(IF(Inputs!$E$207 = 2, Inputs!AH$210, Inputs!AH$211) &lt; Inputs!$D150, Inputs!$E149, ""), "")</f>
        <v/>
      </c>
      <c r="AJ147" s="7" t="str">
        <f>IF(IF(Inputs!$E$207 = 2, Inputs!AI$210, Inputs!AI$211) &gt;= Inputs!$D149, IF(IF(Inputs!$E$207 = 2, Inputs!AI$210, Inputs!AI$211) &lt; Inputs!$D150, Inputs!$E149, ""), "")</f>
        <v/>
      </c>
      <c r="AK147" s="7" t="str">
        <f>IF(IF(Inputs!$E$207 = 2, Inputs!AJ$210, Inputs!AJ$211) &gt;= Inputs!$D149, IF(IF(Inputs!$E$207 = 2, Inputs!AJ$210, Inputs!AJ$211) &lt; Inputs!$D150, Inputs!$E149, ""), "")</f>
        <v/>
      </c>
      <c r="AL147" s="7" t="str">
        <f>IF(IF(Inputs!$E$207 = 2, Inputs!AK$210, Inputs!AK$211) &gt;= Inputs!$D149, IF(IF(Inputs!$E$207 = 2, Inputs!AK$210, Inputs!AK$211) &lt; Inputs!$D150, Inputs!$E149, ""), "")</f>
        <v/>
      </c>
      <c r="AM147" s="7" t="str">
        <f>IF(IF(Inputs!$E$207 = 2, Inputs!AL$210, Inputs!AL$211) &gt;= Inputs!$D149, IF(IF(Inputs!$E$207 = 2, Inputs!AL$210, Inputs!AL$211) &lt; Inputs!$D150, Inputs!$E149, ""), "")</f>
        <v/>
      </c>
      <c r="AN147" s="7" t="str">
        <f>IF(IF(Inputs!$E$207 = 2, Inputs!AM$210, Inputs!AM$211) &gt;= Inputs!$D149, IF(IF(Inputs!$E$207 = 2, Inputs!AM$210, Inputs!AM$211) &lt; Inputs!$D150, Inputs!$E149, ""), "")</f>
        <v/>
      </c>
      <c r="AO147" s="7" t="str">
        <f>IF(IF(Inputs!$E$207 = 2, Inputs!AN$210, Inputs!AN$211) &gt;= Inputs!$D149, IF(IF(Inputs!$E$207 = 2, Inputs!AN$210, Inputs!AN$211) &lt; Inputs!$D150, Inputs!$E149, ""), "")</f>
        <v/>
      </c>
      <c r="AP147" s="7" t="str">
        <f>IF(IF(Inputs!$E$207 = 2, Inputs!AO$210, Inputs!AO$211) &gt;= Inputs!$D149, IF(IF(Inputs!$E$207 = 2, Inputs!AO$210, Inputs!AO$211) &lt; Inputs!$D150, Inputs!$E149, ""), "")</f>
        <v/>
      </c>
      <c r="AQ147" s="7" t="str">
        <f>IF(IF(Inputs!$E$207 = 2, Inputs!AP$210, Inputs!AP$211) &gt;= Inputs!$D149, IF(IF(Inputs!$E$207 = 2, Inputs!AP$210, Inputs!AP$211) &lt; Inputs!$D150, Inputs!$E149, ""), "")</f>
        <v/>
      </c>
      <c r="AR147" s="7" t="str">
        <f>IF(IF(Inputs!$E$207 = 2, Inputs!AQ$210, Inputs!AQ$211) &gt;= Inputs!$D149, IF(IF(Inputs!$E$207 = 2, Inputs!AQ$210, Inputs!AQ$211) &lt; Inputs!$D150, Inputs!$E149, ""), "")</f>
        <v/>
      </c>
      <c r="AS147" s="7" t="str">
        <f>IF(IF(Inputs!$E$207 = 2, Inputs!AR$210, Inputs!AR$211) &gt;= Inputs!$D149, IF(IF(Inputs!$E$207 = 2, Inputs!AR$210, Inputs!AR$211) &lt; Inputs!$D150, Inputs!$E149, ""), "")</f>
        <v/>
      </c>
      <c r="AT147" s="7" t="str">
        <f>IF(IF(Inputs!$E$207 = 2, Inputs!AS$210, Inputs!AS$211) &gt;= Inputs!$D149, IF(IF(Inputs!$E$207 = 2, Inputs!AS$210, Inputs!AS$211) &lt; Inputs!$D150, Inputs!$E149, ""), "")</f>
        <v/>
      </c>
      <c r="AU147" s="7" t="str">
        <f>IF(IF(Inputs!$E$207 = 2, Inputs!AT$210, Inputs!AT$211) &gt;= Inputs!$D149, IF(IF(Inputs!$E$207 = 2, Inputs!AT$210, Inputs!AT$211) &lt; Inputs!$D150, Inputs!$E149, ""), "")</f>
        <v/>
      </c>
      <c r="AV147" s="7" t="str">
        <f>IF(IF(Inputs!$E$207 = 2, Inputs!AU$210, Inputs!AU$211) &gt;= Inputs!$D149, IF(IF(Inputs!$E$207 = 2, Inputs!AU$210, Inputs!AU$211) &lt; Inputs!$D150, Inputs!$E149, ""), "")</f>
        <v/>
      </c>
      <c r="AW147" s="7" t="str">
        <f>IF(IF(Inputs!$E$207 = 2, Inputs!AV$210, Inputs!AV$211) &gt;= Inputs!$D149, IF(IF(Inputs!$E$207 = 2, Inputs!AV$210, Inputs!AV$211) &lt; Inputs!$D150, Inputs!$E149, ""), "")</f>
        <v/>
      </c>
      <c r="AX147" s="7" t="str">
        <f>IF(IF(Inputs!$E$207 = 2, Inputs!AW$210, Inputs!AW$211) &gt;= Inputs!$D149, IF(IF(Inputs!$E$207 = 2, Inputs!AW$210, Inputs!AW$211) &lt; Inputs!$D150, Inputs!$E149, ""), "")</f>
        <v/>
      </c>
      <c r="AY147" s="7" t="str">
        <f>IF(IF(Inputs!$E$207 = 2, Inputs!AX$210, Inputs!AX$211) &gt;= Inputs!$D149, IF(IF(Inputs!$E$207 = 2, Inputs!AX$210, Inputs!AX$211) &lt; Inputs!$D150, Inputs!$E149, ""), "")</f>
        <v/>
      </c>
      <c r="AZ147" s="7" t="str">
        <f>IF(IF(Inputs!$E$207 = 2, Inputs!AY$210, Inputs!AY$211) &gt;= Inputs!$D149, IF(IF(Inputs!$E$207 = 2, Inputs!AY$210, Inputs!AY$211) &lt; Inputs!$D150, Inputs!$E149, ""), "")</f>
        <v/>
      </c>
      <c r="BA147" s="7" t="str">
        <f>IF(IF(Inputs!$E$207 = 2, Inputs!AZ$210, Inputs!AZ$211) &gt;= Inputs!$D149, IF(IF(Inputs!$E$207 = 2, Inputs!AZ$210, Inputs!AZ$211) &lt; Inputs!$D150, Inputs!$E149, ""), "")</f>
        <v/>
      </c>
      <c r="BB147" s="7" t="str">
        <f>IF(IF(Inputs!$E$207 = 2, Inputs!BA$210, Inputs!BA$211) &gt;= Inputs!$D149, IF(IF(Inputs!$E$207 = 2, Inputs!BA$210, Inputs!BA$211) &lt; Inputs!$D150, Inputs!$E149, ""), "")</f>
        <v/>
      </c>
      <c r="BC147" s="7" t="str">
        <f>IF(IF(Inputs!$E$207 = 2, Inputs!BB$210, Inputs!BB$211) &gt;= Inputs!$D149, IF(IF(Inputs!$E$207 = 2, Inputs!BB$210, Inputs!BB$211) &lt; Inputs!$D150, Inputs!$E149, ""), "")</f>
        <v/>
      </c>
      <c r="BD147" s="7" t="str">
        <f>IF(IF(Inputs!$E$207 = 2, Inputs!BC$210, Inputs!BC$211) &gt;= Inputs!$D149, IF(IF(Inputs!$E$207 = 2, Inputs!BC$210, Inputs!BC$211) &lt; Inputs!$D150, Inputs!$E149, ""), "")</f>
        <v/>
      </c>
    </row>
    <row r="148" spans="3:56" ht="15" customHeight="1">
      <c r="D148" s="109" t="s">
        <v>395</v>
      </c>
      <c r="E148" s="18" t="s">
        <v>30</v>
      </c>
      <c r="G148" s="7" t="str">
        <f>IF(IF(Inputs!$E$207 = 2, Inputs!F$210, Inputs!F$211) &gt;= Inputs!$D150, IF(IF(Inputs!$E$207 = 2, Inputs!F$210, Inputs!F$211) &lt; Inputs!$D151, Inputs!$E150, ""), "")</f>
        <v/>
      </c>
      <c r="H148" s="7" t="str">
        <f>IF(IF(Inputs!$E$207 = 2, Inputs!G$210, Inputs!G$211) &gt;= Inputs!$D150, IF(IF(Inputs!$E$207 = 2, Inputs!G$210, Inputs!G$211) &lt; Inputs!$D151, Inputs!$E150, ""), "")</f>
        <v/>
      </c>
      <c r="I148" s="7" t="str">
        <f>IF(IF(Inputs!$E$207 = 2, Inputs!H$210, Inputs!H$211) &gt;= Inputs!$D150, IF(IF(Inputs!$E$207 = 2, Inputs!H$210, Inputs!H$211) &lt; Inputs!$D151, Inputs!$E150, ""), "")</f>
        <v/>
      </c>
      <c r="J148" s="7" t="str">
        <f>IF(IF(Inputs!$E$207 = 2, Inputs!I$210, Inputs!I$211) &gt;= Inputs!$D150, IF(IF(Inputs!$E$207 = 2, Inputs!I$210, Inputs!I$211) &lt; Inputs!$D151, Inputs!$E150, ""), "")</f>
        <v/>
      </c>
      <c r="K148" s="7" t="str">
        <f>IF(IF(Inputs!$E$207 = 2, Inputs!J$210, Inputs!J$211) &gt;= Inputs!$D150, IF(IF(Inputs!$E$207 = 2, Inputs!J$210, Inputs!J$211) &lt; Inputs!$D151, Inputs!$E150, ""), "")</f>
        <v/>
      </c>
      <c r="L148" s="7" t="str">
        <f>IF(IF(Inputs!$E$207 = 2, Inputs!K$210, Inputs!K$211) &gt;= Inputs!$D150, IF(IF(Inputs!$E$207 = 2, Inputs!K$210, Inputs!K$211) &lt; Inputs!$D151, Inputs!$E150, ""), "")</f>
        <v/>
      </c>
      <c r="M148" s="7" t="str">
        <f>IF(IF(Inputs!$E$207 = 2, Inputs!L$210, Inputs!L$211) &gt;= Inputs!$D150, IF(IF(Inputs!$E$207 = 2, Inputs!L$210, Inputs!L$211) &lt; Inputs!$D151, Inputs!$E150, ""), "")</f>
        <v/>
      </c>
      <c r="N148" s="7" t="str">
        <f>IF(IF(Inputs!$E$207 = 2, Inputs!M$210, Inputs!M$211) &gt;= Inputs!$D150, IF(IF(Inputs!$E$207 = 2, Inputs!M$210, Inputs!M$211) &lt; Inputs!$D151, Inputs!$E150, ""), "")</f>
        <v/>
      </c>
      <c r="O148" s="7" t="str">
        <f>IF(IF(Inputs!$E$207 = 2, Inputs!N$210, Inputs!N$211) &gt;= Inputs!$D150, IF(IF(Inputs!$E$207 = 2, Inputs!N$210, Inputs!N$211) &lt; Inputs!$D151, Inputs!$E150, ""), "")</f>
        <v/>
      </c>
      <c r="P148" s="7" t="str">
        <f>IF(IF(Inputs!$E$207 = 2, Inputs!O$210, Inputs!O$211) &gt;= Inputs!$D150, IF(IF(Inputs!$E$207 = 2, Inputs!O$210, Inputs!O$211) &lt; Inputs!$D151, Inputs!$E150, ""), "")</f>
        <v/>
      </c>
      <c r="Q148" s="7" t="str">
        <f>IF(IF(Inputs!$E$207 = 2, Inputs!P$210, Inputs!P$211) &gt;= Inputs!$D150, IF(IF(Inputs!$E$207 = 2, Inputs!P$210, Inputs!P$211) &lt; Inputs!$D151, Inputs!$E150, ""), "")</f>
        <v/>
      </c>
      <c r="R148" s="7" t="str">
        <f>IF(IF(Inputs!$E$207 = 2, Inputs!Q$210, Inputs!Q$211) &gt;= Inputs!$D150, IF(IF(Inputs!$E$207 = 2, Inputs!Q$210, Inputs!Q$211) &lt; Inputs!$D151, Inputs!$E150, ""), "")</f>
        <v/>
      </c>
      <c r="S148" s="7" t="str">
        <f>IF(IF(Inputs!$E$207 = 2, Inputs!R$210, Inputs!R$211) &gt;= Inputs!$D150, IF(IF(Inputs!$E$207 = 2, Inputs!R$210, Inputs!R$211) &lt; Inputs!$D151, Inputs!$E150, ""), "")</f>
        <v/>
      </c>
      <c r="T148" s="7" t="str">
        <f>IF(IF(Inputs!$E$207 = 2, Inputs!S$210, Inputs!S$211) &gt;= Inputs!$D150, IF(IF(Inputs!$E$207 = 2, Inputs!S$210, Inputs!S$211) &lt; Inputs!$D151, Inputs!$E150, ""), "")</f>
        <v/>
      </c>
      <c r="U148" s="7" t="str">
        <f>IF(IF(Inputs!$E$207 = 2, Inputs!T$210, Inputs!T$211) &gt;= Inputs!$D150, IF(IF(Inputs!$E$207 = 2, Inputs!T$210, Inputs!T$211) &lt; Inputs!$D151, Inputs!$E150, ""), "")</f>
        <v/>
      </c>
      <c r="V148" s="7" t="str">
        <f>IF(IF(Inputs!$E$207 = 2, Inputs!U$210, Inputs!U$211) &gt;= Inputs!$D150, IF(IF(Inputs!$E$207 = 2, Inputs!U$210, Inputs!U$211) &lt; Inputs!$D151, Inputs!$E150, ""), "")</f>
        <v/>
      </c>
      <c r="W148" s="7" t="str">
        <f>IF(IF(Inputs!$E$207 = 2, Inputs!V$210, Inputs!V$211) &gt;= Inputs!$D150, IF(IF(Inputs!$E$207 = 2, Inputs!V$210, Inputs!V$211) &lt; Inputs!$D151, Inputs!$E150, ""), "")</f>
        <v/>
      </c>
      <c r="X148" s="7" t="str">
        <f>IF(IF(Inputs!$E$207 = 2, Inputs!W$210, Inputs!W$211) &gt;= Inputs!$D150, IF(IF(Inputs!$E$207 = 2, Inputs!W$210, Inputs!W$211) &lt; Inputs!$D151, Inputs!$E150, ""), "")</f>
        <v/>
      </c>
      <c r="Y148" s="7" t="str">
        <f>IF(IF(Inputs!$E$207 = 2, Inputs!X$210, Inputs!X$211) &gt;= Inputs!$D150, IF(IF(Inputs!$E$207 = 2, Inputs!X$210, Inputs!X$211) &lt; Inputs!$D151, Inputs!$E150, ""), "")</f>
        <v/>
      </c>
      <c r="Z148" s="7" t="str">
        <f>IF(IF(Inputs!$E$207 = 2, Inputs!Y$210, Inputs!Y$211) &gt;= Inputs!$D150, IF(IF(Inputs!$E$207 = 2, Inputs!Y$210, Inputs!Y$211) &lt; Inputs!$D151, Inputs!$E150, ""), "")</f>
        <v/>
      </c>
      <c r="AA148" s="7" t="str">
        <f>IF(IF(Inputs!$E$207 = 2, Inputs!Z$210, Inputs!Z$211) &gt;= Inputs!$D150, IF(IF(Inputs!$E$207 = 2, Inputs!Z$210, Inputs!Z$211) &lt; Inputs!$D151, Inputs!$E150, ""), "")</f>
        <v/>
      </c>
      <c r="AB148" s="7" t="str">
        <f>IF(IF(Inputs!$E$207 = 2, Inputs!AA$210, Inputs!AA$211) &gt;= Inputs!$D150, IF(IF(Inputs!$E$207 = 2, Inputs!AA$210, Inputs!AA$211) &lt; Inputs!$D151, Inputs!$E150, ""), "")</f>
        <v/>
      </c>
      <c r="AC148" s="7" t="str">
        <f>IF(IF(Inputs!$E$207 = 2, Inputs!AB$210, Inputs!AB$211) &gt;= Inputs!$D150, IF(IF(Inputs!$E$207 = 2, Inputs!AB$210, Inputs!AB$211) &lt; Inputs!$D151, Inputs!$E150, ""), "")</f>
        <v/>
      </c>
      <c r="AD148" s="7" t="str">
        <f>IF(IF(Inputs!$E$207 = 2, Inputs!AC$210, Inputs!AC$211) &gt;= Inputs!$D150, IF(IF(Inputs!$E$207 = 2, Inputs!AC$210, Inputs!AC$211) &lt; Inputs!$D151, Inputs!$E150, ""), "")</f>
        <v/>
      </c>
      <c r="AE148" s="7" t="str">
        <f>IF(IF(Inputs!$E$207 = 2, Inputs!AD$210, Inputs!AD$211) &gt;= Inputs!$D150, IF(IF(Inputs!$E$207 = 2, Inputs!AD$210, Inputs!AD$211) &lt; Inputs!$D151, Inputs!$E150, ""), "")</f>
        <v/>
      </c>
      <c r="AF148" s="7" t="str">
        <f>IF(IF(Inputs!$E$207 = 2, Inputs!AE$210, Inputs!AE$211) &gt;= Inputs!$D150, IF(IF(Inputs!$E$207 = 2, Inputs!AE$210, Inputs!AE$211) &lt; Inputs!$D151, Inputs!$E150, ""), "")</f>
        <v/>
      </c>
      <c r="AG148" s="7" t="str">
        <f>IF(IF(Inputs!$E$207 = 2, Inputs!AF$210, Inputs!AF$211) &gt;= Inputs!$D150, IF(IF(Inputs!$E$207 = 2, Inputs!AF$210, Inputs!AF$211) &lt; Inputs!$D151, Inputs!$E150, ""), "")</f>
        <v/>
      </c>
      <c r="AH148" s="7" t="str">
        <f>IF(IF(Inputs!$E$207 = 2, Inputs!AG$210, Inputs!AG$211) &gt;= Inputs!$D150, IF(IF(Inputs!$E$207 = 2, Inputs!AG$210, Inputs!AG$211) &lt; Inputs!$D151, Inputs!$E150, ""), "")</f>
        <v/>
      </c>
      <c r="AI148" s="7" t="str">
        <f>IF(IF(Inputs!$E$207 = 2, Inputs!AH$210, Inputs!AH$211) &gt;= Inputs!$D150, IF(IF(Inputs!$E$207 = 2, Inputs!AH$210, Inputs!AH$211) &lt; Inputs!$D151, Inputs!$E150, ""), "")</f>
        <v/>
      </c>
      <c r="AJ148" s="7" t="str">
        <f>IF(IF(Inputs!$E$207 = 2, Inputs!AI$210, Inputs!AI$211) &gt;= Inputs!$D150, IF(IF(Inputs!$E$207 = 2, Inputs!AI$210, Inputs!AI$211) &lt; Inputs!$D151, Inputs!$E150, ""), "")</f>
        <v/>
      </c>
      <c r="AK148" s="7" t="str">
        <f>IF(IF(Inputs!$E$207 = 2, Inputs!AJ$210, Inputs!AJ$211) &gt;= Inputs!$D150, IF(IF(Inputs!$E$207 = 2, Inputs!AJ$210, Inputs!AJ$211) &lt; Inputs!$D151, Inputs!$E150, ""), "")</f>
        <v/>
      </c>
      <c r="AL148" s="7" t="str">
        <f>IF(IF(Inputs!$E$207 = 2, Inputs!AK$210, Inputs!AK$211) &gt;= Inputs!$D150, IF(IF(Inputs!$E$207 = 2, Inputs!AK$210, Inputs!AK$211) &lt; Inputs!$D151, Inputs!$E150, ""), "")</f>
        <v/>
      </c>
      <c r="AM148" s="7" t="str">
        <f>IF(IF(Inputs!$E$207 = 2, Inputs!AL$210, Inputs!AL$211) &gt;= Inputs!$D150, IF(IF(Inputs!$E$207 = 2, Inputs!AL$210, Inputs!AL$211) &lt; Inputs!$D151, Inputs!$E150, ""), "")</f>
        <v/>
      </c>
      <c r="AN148" s="7" t="str">
        <f>IF(IF(Inputs!$E$207 = 2, Inputs!AM$210, Inputs!AM$211) &gt;= Inputs!$D150, IF(IF(Inputs!$E$207 = 2, Inputs!AM$210, Inputs!AM$211) &lt; Inputs!$D151, Inputs!$E150, ""), "")</f>
        <v/>
      </c>
      <c r="AO148" s="7" t="str">
        <f>IF(IF(Inputs!$E$207 = 2, Inputs!AN$210, Inputs!AN$211) &gt;= Inputs!$D150, IF(IF(Inputs!$E$207 = 2, Inputs!AN$210, Inputs!AN$211) &lt; Inputs!$D151, Inputs!$E150, ""), "")</f>
        <v/>
      </c>
      <c r="AP148" s="7" t="str">
        <f>IF(IF(Inputs!$E$207 = 2, Inputs!AO$210, Inputs!AO$211) &gt;= Inputs!$D150, IF(IF(Inputs!$E$207 = 2, Inputs!AO$210, Inputs!AO$211) &lt; Inputs!$D151, Inputs!$E150, ""), "")</f>
        <v/>
      </c>
      <c r="AQ148" s="7" t="str">
        <f>IF(IF(Inputs!$E$207 = 2, Inputs!AP$210, Inputs!AP$211) &gt;= Inputs!$D150, IF(IF(Inputs!$E$207 = 2, Inputs!AP$210, Inputs!AP$211) &lt; Inputs!$D151, Inputs!$E150, ""), "")</f>
        <v/>
      </c>
      <c r="AR148" s="7" t="str">
        <f>IF(IF(Inputs!$E$207 = 2, Inputs!AQ$210, Inputs!AQ$211) &gt;= Inputs!$D150, IF(IF(Inputs!$E$207 = 2, Inputs!AQ$210, Inputs!AQ$211) &lt; Inputs!$D151, Inputs!$E150, ""), "")</f>
        <v/>
      </c>
      <c r="AS148" s="7" t="str">
        <f>IF(IF(Inputs!$E$207 = 2, Inputs!AR$210, Inputs!AR$211) &gt;= Inputs!$D150, IF(IF(Inputs!$E$207 = 2, Inputs!AR$210, Inputs!AR$211) &lt; Inputs!$D151, Inputs!$E150, ""), "")</f>
        <v/>
      </c>
      <c r="AT148" s="7" t="str">
        <f>IF(IF(Inputs!$E$207 = 2, Inputs!AS$210, Inputs!AS$211) &gt;= Inputs!$D150, IF(IF(Inputs!$E$207 = 2, Inputs!AS$210, Inputs!AS$211) &lt; Inputs!$D151, Inputs!$E150, ""), "")</f>
        <v/>
      </c>
      <c r="AU148" s="7" t="str">
        <f>IF(IF(Inputs!$E$207 = 2, Inputs!AT$210, Inputs!AT$211) &gt;= Inputs!$D150, IF(IF(Inputs!$E$207 = 2, Inputs!AT$210, Inputs!AT$211) &lt; Inputs!$D151, Inputs!$E150, ""), "")</f>
        <v/>
      </c>
      <c r="AV148" s="7" t="str">
        <f>IF(IF(Inputs!$E$207 = 2, Inputs!AU$210, Inputs!AU$211) &gt;= Inputs!$D150, IF(IF(Inputs!$E$207 = 2, Inputs!AU$210, Inputs!AU$211) &lt; Inputs!$D151, Inputs!$E150, ""), "")</f>
        <v/>
      </c>
      <c r="AW148" s="7" t="str">
        <f>IF(IF(Inputs!$E$207 = 2, Inputs!AV$210, Inputs!AV$211) &gt;= Inputs!$D150, IF(IF(Inputs!$E$207 = 2, Inputs!AV$210, Inputs!AV$211) &lt; Inputs!$D151, Inputs!$E150, ""), "")</f>
        <v/>
      </c>
      <c r="AX148" s="7" t="str">
        <f>IF(IF(Inputs!$E$207 = 2, Inputs!AW$210, Inputs!AW$211) &gt;= Inputs!$D150, IF(IF(Inputs!$E$207 = 2, Inputs!AW$210, Inputs!AW$211) &lt; Inputs!$D151, Inputs!$E150, ""), "")</f>
        <v/>
      </c>
      <c r="AY148" s="7" t="str">
        <f>IF(IF(Inputs!$E$207 = 2, Inputs!AX$210, Inputs!AX$211) &gt;= Inputs!$D150, IF(IF(Inputs!$E$207 = 2, Inputs!AX$210, Inputs!AX$211) &lt; Inputs!$D151, Inputs!$E150, ""), "")</f>
        <v/>
      </c>
      <c r="AZ148" s="7" t="str">
        <f>IF(IF(Inputs!$E$207 = 2, Inputs!AY$210, Inputs!AY$211) &gt;= Inputs!$D150, IF(IF(Inputs!$E$207 = 2, Inputs!AY$210, Inputs!AY$211) &lt; Inputs!$D151, Inputs!$E150, ""), "")</f>
        <v/>
      </c>
      <c r="BA148" s="7" t="str">
        <f>IF(IF(Inputs!$E$207 = 2, Inputs!AZ$210, Inputs!AZ$211) &gt;= Inputs!$D150, IF(IF(Inputs!$E$207 = 2, Inputs!AZ$210, Inputs!AZ$211) &lt; Inputs!$D151, Inputs!$E150, ""), "")</f>
        <v/>
      </c>
      <c r="BB148" s="7" t="str">
        <f>IF(IF(Inputs!$E$207 = 2, Inputs!BA$210, Inputs!BA$211) &gt;= Inputs!$D150, IF(IF(Inputs!$E$207 = 2, Inputs!BA$210, Inputs!BA$211) &lt; Inputs!$D151, Inputs!$E150, ""), "")</f>
        <v/>
      </c>
      <c r="BC148" s="7" t="str">
        <f>IF(IF(Inputs!$E$207 = 2, Inputs!BB$210, Inputs!BB$211) &gt;= Inputs!$D150, IF(IF(Inputs!$E$207 = 2, Inputs!BB$210, Inputs!BB$211) &lt; Inputs!$D151, Inputs!$E150, ""), "")</f>
        <v/>
      </c>
      <c r="BD148" s="7" t="str">
        <f>IF(IF(Inputs!$E$207 = 2, Inputs!BC$210, Inputs!BC$211) &gt;= Inputs!$D150, IF(IF(Inputs!$E$207 = 2, Inputs!BC$210, Inputs!BC$211) &lt; Inputs!$D151, Inputs!$E150, ""), "")</f>
        <v/>
      </c>
    </row>
    <row r="149" spans="3:56" ht="15" customHeight="1">
      <c r="D149" s="109" t="s">
        <v>396</v>
      </c>
      <c r="E149" s="18" t="s">
        <v>30</v>
      </c>
      <c r="G149" s="7" t="str">
        <f>IF(IF(Inputs!$E$207 = 2, Inputs!F$210, Inputs!F$211) &gt;= Inputs!$D151, IF(IF(Inputs!$E$207 = 2, Inputs!F$210, Inputs!F$211) &lt; Inputs!$D152, Inputs!$E151, ""), "")</f>
        <v/>
      </c>
      <c r="H149" s="7" t="str">
        <f>IF(IF(Inputs!$E$207 = 2, Inputs!G$210, Inputs!G$211) &gt;= Inputs!$D151, IF(IF(Inputs!$E$207 = 2, Inputs!G$210, Inputs!G$211) &lt; Inputs!$D152, Inputs!$E151, ""), "")</f>
        <v/>
      </c>
      <c r="I149" s="7" t="str">
        <f>IF(IF(Inputs!$E$207 = 2, Inputs!H$210, Inputs!H$211) &gt;= Inputs!$D151, IF(IF(Inputs!$E$207 = 2, Inputs!H$210, Inputs!H$211) &lt; Inputs!$D152, Inputs!$E151, ""), "")</f>
        <v/>
      </c>
      <c r="J149" s="7" t="str">
        <f>IF(IF(Inputs!$E$207 = 2, Inputs!I$210, Inputs!I$211) &gt;= Inputs!$D151, IF(IF(Inputs!$E$207 = 2, Inputs!I$210, Inputs!I$211) &lt; Inputs!$D152, Inputs!$E151, ""), "")</f>
        <v/>
      </c>
      <c r="K149" s="7" t="str">
        <f>IF(IF(Inputs!$E$207 = 2, Inputs!J$210, Inputs!J$211) &gt;= Inputs!$D151, IF(IF(Inputs!$E$207 = 2, Inputs!J$210, Inputs!J$211) &lt; Inputs!$D152, Inputs!$E151, ""), "")</f>
        <v/>
      </c>
      <c r="L149" s="7" t="str">
        <f>IF(IF(Inputs!$E$207 = 2, Inputs!K$210, Inputs!K$211) &gt;= Inputs!$D151, IF(IF(Inputs!$E$207 = 2, Inputs!K$210, Inputs!K$211) &lt; Inputs!$D152, Inputs!$E151, ""), "")</f>
        <v/>
      </c>
      <c r="M149" s="7" t="str">
        <f>IF(IF(Inputs!$E$207 = 2, Inputs!L$210, Inputs!L$211) &gt;= Inputs!$D151, IF(IF(Inputs!$E$207 = 2, Inputs!L$210, Inputs!L$211) &lt; Inputs!$D152, Inputs!$E151, ""), "")</f>
        <v/>
      </c>
      <c r="N149" s="7" t="str">
        <f>IF(IF(Inputs!$E$207 = 2, Inputs!M$210, Inputs!M$211) &gt;= Inputs!$D151, IF(IF(Inputs!$E$207 = 2, Inputs!M$210, Inputs!M$211) &lt; Inputs!$D152, Inputs!$E151, ""), "")</f>
        <v/>
      </c>
      <c r="O149" s="7" t="str">
        <f>IF(IF(Inputs!$E$207 = 2, Inputs!N$210, Inputs!N$211) &gt;= Inputs!$D151, IF(IF(Inputs!$E$207 = 2, Inputs!N$210, Inputs!N$211) &lt; Inputs!$D152, Inputs!$E151, ""), "")</f>
        <v/>
      </c>
      <c r="P149" s="7" t="str">
        <f>IF(IF(Inputs!$E$207 = 2, Inputs!O$210, Inputs!O$211) &gt;= Inputs!$D151, IF(IF(Inputs!$E$207 = 2, Inputs!O$210, Inputs!O$211) &lt; Inputs!$D152, Inputs!$E151, ""), "")</f>
        <v/>
      </c>
      <c r="Q149" s="7" t="str">
        <f>IF(IF(Inputs!$E$207 = 2, Inputs!P$210, Inputs!P$211) &gt;= Inputs!$D151, IF(IF(Inputs!$E$207 = 2, Inputs!P$210, Inputs!P$211) &lt; Inputs!$D152, Inputs!$E151, ""), "")</f>
        <v/>
      </c>
      <c r="R149" s="7" t="str">
        <f>IF(IF(Inputs!$E$207 = 2, Inputs!Q$210, Inputs!Q$211) &gt;= Inputs!$D151, IF(IF(Inputs!$E$207 = 2, Inputs!Q$210, Inputs!Q$211) &lt; Inputs!$D152, Inputs!$E151, ""), "")</f>
        <v/>
      </c>
      <c r="S149" s="7" t="str">
        <f>IF(IF(Inputs!$E$207 = 2, Inputs!R$210, Inputs!R$211) &gt;= Inputs!$D151, IF(IF(Inputs!$E$207 = 2, Inputs!R$210, Inputs!R$211) &lt; Inputs!$D152, Inputs!$E151, ""), "")</f>
        <v/>
      </c>
      <c r="T149" s="7" t="str">
        <f>IF(IF(Inputs!$E$207 = 2, Inputs!S$210, Inputs!S$211) &gt;= Inputs!$D151, IF(IF(Inputs!$E$207 = 2, Inputs!S$210, Inputs!S$211) &lt; Inputs!$D152, Inputs!$E151, ""), "")</f>
        <v/>
      </c>
      <c r="U149" s="7" t="str">
        <f>IF(IF(Inputs!$E$207 = 2, Inputs!T$210, Inputs!T$211) &gt;= Inputs!$D151, IF(IF(Inputs!$E$207 = 2, Inputs!T$210, Inputs!T$211) &lt; Inputs!$D152, Inputs!$E151, ""), "")</f>
        <v/>
      </c>
      <c r="V149" s="7" t="str">
        <f>IF(IF(Inputs!$E$207 = 2, Inputs!U$210, Inputs!U$211) &gt;= Inputs!$D151, IF(IF(Inputs!$E$207 = 2, Inputs!U$210, Inputs!U$211) &lt; Inputs!$D152, Inputs!$E151, ""), "")</f>
        <v/>
      </c>
      <c r="W149" s="7" t="str">
        <f>IF(IF(Inputs!$E$207 = 2, Inputs!V$210, Inputs!V$211) &gt;= Inputs!$D151, IF(IF(Inputs!$E$207 = 2, Inputs!V$210, Inputs!V$211) &lt; Inputs!$D152, Inputs!$E151, ""), "")</f>
        <v/>
      </c>
      <c r="X149" s="7" t="str">
        <f>IF(IF(Inputs!$E$207 = 2, Inputs!W$210, Inputs!W$211) &gt;= Inputs!$D151, IF(IF(Inputs!$E$207 = 2, Inputs!W$210, Inputs!W$211) &lt; Inputs!$D152, Inputs!$E151, ""), "")</f>
        <v/>
      </c>
      <c r="Y149" s="7" t="str">
        <f>IF(IF(Inputs!$E$207 = 2, Inputs!X$210, Inputs!X$211) &gt;= Inputs!$D151, IF(IF(Inputs!$E$207 = 2, Inputs!X$210, Inputs!X$211) &lt; Inputs!$D152, Inputs!$E151, ""), "")</f>
        <v/>
      </c>
      <c r="Z149" s="7" t="str">
        <f>IF(IF(Inputs!$E$207 = 2, Inputs!Y$210, Inputs!Y$211) &gt;= Inputs!$D151, IF(IF(Inputs!$E$207 = 2, Inputs!Y$210, Inputs!Y$211) &lt; Inputs!$D152, Inputs!$E151, ""), "")</f>
        <v/>
      </c>
      <c r="AA149" s="7" t="str">
        <f>IF(IF(Inputs!$E$207 = 2, Inputs!Z$210, Inputs!Z$211) &gt;= Inputs!$D151, IF(IF(Inputs!$E$207 = 2, Inputs!Z$210, Inputs!Z$211) &lt; Inputs!$D152, Inputs!$E151, ""), "")</f>
        <v/>
      </c>
      <c r="AB149" s="7" t="str">
        <f>IF(IF(Inputs!$E$207 = 2, Inputs!AA$210, Inputs!AA$211) &gt;= Inputs!$D151, IF(IF(Inputs!$E$207 = 2, Inputs!AA$210, Inputs!AA$211) &lt; Inputs!$D152, Inputs!$E151, ""), "")</f>
        <v/>
      </c>
      <c r="AC149" s="7" t="str">
        <f>IF(IF(Inputs!$E$207 = 2, Inputs!AB$210, Inputs!AB$211) &gt;= Inputs!$D151, IF(IF(Inputs!$E$207 = 2, Inputs!AB$210, Inputs!AB$211) &lt; Inputs!$D152, Inputs!$E151, ""), "")</f>
        <v/>
      </c>
      <c r="AD149" s="7" t="str">
        <f>IF(IF(Inputs!$E$207 = 2, Inputs!AC$210, Inputs!AC$211) &gt;= Inputs!$D151, IF(IF(Inputs!$E$207 = 2, Inputs!AC$210, Inputs!AC$211) &lt; Inputs!$D152, Inputs!$E151, ""), "")</f>
        <v/>
      </c>
      <c r="AE149" s="7" t="str">
        <f>IF(IF(Inputs!$E$207 = 2, Inputs!AD$210, Inputs!AD$211) &gt;= Inputs!$D151, IF(IF(Inputs!$E$207 = 2, Inputs!AD$210, Inputs!AD$211) &lt; Inputs!$D152, Inputs!$E151, ""), "")</f>
        <v/>
      </c>
      <c r="AF149" s="7" t="str">
        <f>IF(IF(Inputs!$E$207 = 2, Inputs!AE$210, Inputs!AE$211) &gt;= Inputs!$D151, IF(IF(Inputs!$E$207 = 2, Inputs!AE$210, Inputs!AE$211) &lt; Inputs!$D152, Inputs!$E151, ""), "")</f>
        <v/>
      </c>
      <c r="AG149" s="7" t="str">
        <f>IF(IF(Inputs!$E$207 = 2, Inputs!AF$210, Inputs!AF$211) &gt;= Inputs!$D151, IF(IF(Inputs!$E$207 = 2, Inputs!AF$210, Inputs!AF$211) &lt; Inputs!$D152, Inputs!$E151, ""), "")</f>
        <v/>
      </c>
      <c r="AH149" s="7" t="str">
        <f>IF(IF(Inputs!$E$207 = 2, Inputs!AG$210, Inputs!AG$211) &gt;= Inputs!$D151, IF(IF(Inputs!$E$207 = 2, Inputs!AG$210, Inputs!AG$211) &lt; Inputs!$D152, Inputs!$E151, ""), "")</f>
        <v/>
      </c>
      <c r="AI149" s="7" t="str">
        <f>IF(IF(Inputs!$E$207 = 2, Inputs!AH$210, Inputs!AH$211) &gt;= Inputs!$D151, IF(IF(Inputs!$E$207 = 2, Inputs!AH$210, Inputs!AH$211) &lt; Inputs!$D152, Inputs!$E151, ""), "")</f>
        <v/>
      </c>
      <c r="AJ149" s="7" t="str">
        <f>IF(IF(Inputs!$E$207 = 2, Inputs!AI$210, Inputs!AI$211) &gt;= Inputs!$D151, IF(IF(Inputs!$E$207 = 2, Inputs!AI$210, Inputs!AI$211) &lt; Inputs!$D152, Inputs!$E151, ""), "")</f>
        <v/>
      </c>
      <c r="AK149" s="7" t="str">
        <f>IF(IF(Inputs!$E$207 = 2, Inputs!AJ$210, Inputs!AJ$211) &gt;= Inputs!$D151, IF(IF(Inputs!$E$207 = 2, Inputs!AJ$210, Inputs!AJ$211) &lt; Inputs!$D152, Inputs!$E151, ""), "")</f>
        <v/>
      </c>
      <c r="AL149" s="7" t="str">
        <f>IF(IF(Inputs!$E$207 = 2, Inputs!AK$210, Inputs!AK$211) &gt;= Inputs!$D151, IF(IF(Inputs!$E$207 = 2, Inputs!AK$210, Inputs!AK$211) &lt; Inputs!$D152, Inputs!$E151, ""), "")</f>
        <v/>
      </c>
      <c r="AM149" s="7" t="str">
        <f>IF(IF(Inputs!$E$207 = 2, Inputs!AL$210, Inputs!AL$211) &gt;= Inputs!$D151, IF(IF(Inputs!$E$207 = 2, Inputs!AL$210, Inputs!AL$211) &lt; Inputs!$D152, Inputs!$E151, ""), "")</f>
        <v/>
      </c>
      <c r="AN149" s="7" t="str">
        <f>IF(IF(Inputs!$E$207 = 2, Inputs!AM$210, Inputs!AM$211) &gt;= Inputs!$D151, IF(IF(Inputs!$E$207 = 2, Inputs!AM$210, Inputs!AM$211) &lt; Inputs!$D152, Inputs!$E151, ""), "")</f>
        <v/>
      </c>
      <c r="AO149" s="7" t="str">
        <f>IF(IF(Inputs!$E$207 = 2, Inputs!AN$210, Inputs!AN$211) &gt;= Inputs!$D151, IF(IF(Inputs!$E$207 = 2, Inputs!AN$210, Inputs!AN$211) &lt; Inputs!$D152, Inputs!$E151, ""), "")</f>
        <v/>
      </c>
      <c r="AP149" s="7" t="str">
        <f>IF(IF(Inputs!$E$207 = 2, Inputs!AO$210, Inputs!AO$211) &gt;= Inputs!$D151, IF(IF(Inputs!$E$207 = 2, Inputs!AO$210, Inputs!AO$211) &lt; Inputs!$D152, Inputs!$E151, ""), "")</f>
        <v/>
      </c>
      <c r="AQ149" s="7" t="str">
        <f>IF(IF(Inputs!$E$207 = 2, Inputs!AP$210, Inputs!AP$211) &gt;= Inputs!$D151, IF(IF(Inputs!$E$207 = 2, Inputs!AP$210, Inputs!AP$211) &lt; Inputs!$D152, Inputs!$E151, ""), "")</f>
        <v/>
      </c>
      <c r="AR149" s="7" t="str">
        <f>IF(IF(Inputs!$E$207 = 2, Inputs!AQ$210, Inputs!AQ$211) &gt;= Inputs!$D151, IF(IF(Inputs!$E$207 = 2, Inputs!AQ$210, Inputs!AQ$211) &lt; Inputs!$D152, Inputs!$E151, ""), "")</f>
        <v/>
      </c>
      <c r="AS149" s="7" t="str">
        <f>IF(IF(Inputs!$E$207 = 2, Inputs!AR$210, Inputs!AR$211) &gt;= Inputs!$D151, IF(IF(Inputs!$E$207 = 2, Inputs!AR$210, Inputs!AR$211) &lt; Inputs!$D152, Inputs!$E151, ""), "")</f>
        <v/>
      </c>
      <c r="AT149" s="7" t="str">
        <f>IF(IF(Inputs!$E$207 = 2, Inputs!AS$210, Inputs!AS$211) &gt;= Inputs!$D151, IF(IF(Inputs!$E$207 = 2, Inputs!AS$210, Inputs!AS$211) &lt; Inputs!$D152, Inputs!$E151, ""), "")</f>
        <v/>
      </c>
      <c r="AU149" s="7" t="str">
        <f>IF(IF(Inputs!$E$207 = 2, Inputs!AT$210, Inputs!AT$211) &gt;= Inputs!$D151, IF(IF(Inputs!$E$207 = 2, Inputs!AT$210, Inputs!AT$211) &lt; Inputs!$D152, Inputs!$E151, ""), "")</f>
        <v/>
      </c>
      <c r="AV149" s="7" t="str">
        <f>IF(IF(Inputs!$E$207 = 2, Inputs!AU$210, Inputs!AU$211) &gt;= Inputs!$D151, IF(IF(Inputs!$E$207 = 2, Inputs!AU$210, Inputs!AU$211) &lt; Inputs!$D152, Inputs!$E151, ""), "")</f>
        <v/>
      </c>
      <c r="AW149" s="7" t="str">
        <f>IF(IF(Inputs!$E$207 = 2, Inputs!AV$210, Inputs!AV$211) &gt;= Inputs!$D151, IF(IF(Inputs!$E$207 = 2, Inputs!AV$210, Inputs!AV$211) &lt; Inputs!$D152, Inputs!$E151, ""), "")</f>
        <v/>
      </c>
      <c r="AX149" s="7" t="str">
        <f>IF(IF(Inputs!$E$207 = 2, Inputs!AW$210, Inputs!AW$211) &gt;= Inputs!$D151, IF(IF(Inputs!$E$207 = 2, Inputs!AW$210, Inputs!AW$211) &lt; Inputs!$D152, Inputs!$E151, ""), "")</f>
        <v/>
      </c>
      <c r="AY149" s="7" t="str">
        <f>IF(IF(Inputs!$E$207 = 2, Inputs!AX$210, Inputs!AX$211) &gt;= Inputs!$D151, IF(IF(Inputs!$E$207 = 2, Inputs!AX$210, Inputs!AX$211) &lt; Inputs!$D152, Inputs!$E151, ""), "")</f>
        <v/>
      </c>
      <c r="AZ149" s="7" t="str">
        <f>IF(IF(Inputs!$E$207 = 2, Inputs!AY$210, Inputs!AY$211) &gt;= Inputs!$D151, IF(IF(Inputs!$E$207 = 2, Inputs!AY$210, Inputs!AY$211) &lt; Inputs!$D152, Inputs!$E151, ""), "")</f>
        <v/>
      </c>
      <c r="BA149" s="7" t="str">
        <f>IF(IF(Inputs!$E$207 = 2, Inputs!AZ$210, Inputs!AZ$211) &gt;= Inputs!$D151, IF(IF(Inputs!$E$207 = 2, Inputs!AZ$210, Inputs!AZ$211) &lt; Inputs!$D152, Inputs!$E151, ""), "")</f>
        <v/>
      </c>
      <c r="BB149" s="7" t="str">
        <f>IF(IF(Inputs!$E$207 = 2, Inputs!BA$210, Inputs!BA$211) &gt;= Inputs!$D151, IF(IF(Inputs!$E$207 = 2, Inputs!BA$210, Inputs!BA$211) &lt; Inputs!$D152, Inputs!$E151, ""), "")</f>
        <v/>
      </c>
      <c r="BC149" s="7" t="str">
        <f>IF(IF(Inputs!$E$207 = 2, Inputs!BB$210, Inputs!BB$211) &gt;= Inputs!$D151, IF(IF(Inputs!$E$207 = 2, Inputs!BB$210, Inputs!BB$211) &lt; Inputs!$D152, Inputs!$E151, ""), "")</f>
        <v/>
      </c>
      <c r="BD149" s="7" t="str">
        <f>IF(IF(Inputs!$E$207 = 2, Inputs!BC$210, Inputs!BC$211) &gt;= Inputs!$D151, IF(IF(Inputs!$E$207 = 2, Inputs!BC$210, Inputs!BC$211) &lt; Inputs!$D152, Inputs!$E151, ""), "")</f>
        <v/>
      </c>
    </row>
    <row r="150" spans="3:56" ht="15" customHeight="1">
      <c r="D150" s="109" t="s">
        <v>397</v>
      </c>
      <c r="E150" s="18" t="s">
        <v>30</v>
      </c>
      <c r="G150" s="7" t="str">
        <f>IF(IF(Inputs!$E$207 = 2, Inputs!F$210, Inputs!F$211) &gt;= Inputs!$D152, IF(IF(Inputs!$E$207 = 2, Inputs!F$210, Inputs!F$211) &lt; Inputs!$D153, Inputs!$E152, ""), "")</f>
        <v/>
      </c>
      <c r="H150" s="7" t="str">
        <f>IF(IF(Inputs!$E$207 = 2, Inputs!G$210, Inputs!G$211) &gt;= Inputs!$D152, IF(IF(Inputs!$E$207 = 2, Inputs!G$210, Inputs!G$211) &lt; Inputs!$D153, Inputs!$E152, ""), "")</f>
        <v/>
      </c>
      <c r="I150" s="7" t="str">
        <f>IF(IF(Inputs!$E$207 = 2, Inputs!H$210, Inputs!H$211) &gt;= Inputs!$D152, IF(IF(Inputs!$E$207 = 2, Inputs!H$210, Inputs!H$211) &lt; Inputs!$D153, Inputs!$E152, ""), "")</f>
        <v/>
      </c>
      <c r="J150" s="7" t="str">
        <f>IF(IF(Inputs!$E$207 = 2, Inputs!I$210, Inputs!I$211) &gt;= Inputs!$D152, IF(IF(Inputs!$E$207 = 2, Inputs!I$210, Inputs!I$211) &lt; Inputs!$D153, Inputs!$E152, ""), "")</f>
        <v/>
      </c>
      <c r="K150" s="7" t="str">
        <f>IF(IF(Inputs!$E$207 = 2, Inputs!J$210, Inputs!J$211) &gt;= Inputs!$D152, IF(IF(Inputs!$E$207 = 2, Inputs!J$210, Inputs!J$211) &lt; Inputs!$D153, Inputs!$E152, ""), "")</f>
        <v/>
      </c>
      <c r="L150" s="7" t="str">
        <f>IF(IF(Inputs!$E$207 = 2, Inputs!K$210, Inputs!K$211) &gt;= Inputs!$D152, IF(IF(Inputs!$E$207 = 2, Inputs!K$210, Inputs!K$211) &lt; Inputs!$D153, Inputs!$E152, ""), "")</f>
        <v/>
      </c>
      <c r="M150" s="7" t="str">
        <f>IF(IF(Inputs!$E$207 = 2, Inputs!L$210, Inputs!L$211) &gt;= Inputs!$D152, IF(IF(Inputs!$E$207 = 2, Inputs!L$210, Inputs!L$211) &lt; Inputs!$D153, Inputs!$E152, ""), "")</f>
        <v/>
      </c>
      <c r="N150" s="7" t="str">
        <f>IF(IF(Inputs!$E$207 = 2, Inputs!M$210, Inputs!M$211) &gt;= Inputs!$D152, IF(IF(Inputs!$E$207 = 2, Inputs!M$210, Inputs!M$211) &lt; Inputs!$D153, Inputs!$E152, ""), "")</f>
        <v/>
      </c>
      <c r="O150" s="7" t="str">
        <f>IF(IF(Inputs!$E$207 = 2, Inputs!N$210, Inputs!N$211) &gt;= Inputs!$D152, IF(IF(Inputs!$E$207 = 2, Inputs!N$210, Inputs!N$211) &lt; Inputs!$D153, Inputs!$E152, ""), "")</f>
        <v/>
      </c>
      <c r="P150" s="7" t="str">
        <f>IF(IF(Inputs!$E$207 = 2, Inputs!O$210, Inputs!O$211) &gt;= Inputs!$D152, IF(IF(Inputs!$E$207 = 2, Inputs!O$210, Inputs!O$211) &lt; Inputs!$D153, Inputs!$E152, ""), "")</f>
        <v/>
      </c>
      <c r="Q150" s="7" t="str">
        <f>IF(IF(Inputs!$E$207 = 2, Inputs!P$210, Inputs!P$211) &gt;= Inputs!$D152, IF(IF(Inputs!$E$207 = 2, Inputs!P$210, Inputs!P$211) &lt; Inputs!$D153, Inputs!$E152, ""), "")</f>
        <v/>
      </c>
      <c r="R150" s="7" t="str">
        <f>IF(IF(Inputs!$E$207 = 2, Inputs!Q$210, Inputs!Q$211) &gt;= Inputs!$D152, IF(IF(Inputs!$E$207 = 2, Inputs!Q$210, Inputs!Q$211) &lt; Inputs!$D153, Inputs!$E152, ""), "")</f>
        <v/>
      </c>
      <c r="S150" s="7" t="str">
        <f>IF(IF(Inputs!$E$207 = 2, Inputs!R$210, Inputs!R$211) &gt;= Inputs!$D152, IF(IF(Inputs!$E$207 = 2, Inputs!R$210, Inputs!R$211) &lt; Inputs!$D153, Inputs!$E152, ""), "")</f>
        <v/>
      </c>
      <c r="T150" s="7" t="str">
        <f>IF(IF(Inputs!$E$207 = 2, Inputs!S$210, Inputs!S$211) &gt;= Inputs!$D152, IF(IF(Inputs!$E$207 = 2, Inputs!S$210, Inputs!S$211) &lt; Inputs!$D153, Inputs!$E152, ""), "")</f>
        <v/>
      </c>
      <c r="U150" s="7" t="str">
        <f>IF(IF(Inputs!$E$207 = 2, Inputs!T$210, Inputs!T$211) &gt;= Inputs!$D152, IF(IF(Inputs!$E$207 = 2, Inputs!T$210, Inputs!T$211) &lt; Inputs!$D153, Inputs!$E152, ""), "")</f>
        <v/>
      </c>
      <c r="V150" s="7" t="str">
        <f>IF(IF(Inputs!$E$207 = 2, Inputs!U$210, Inputs!U$211) &gt;= Inputs!$D152, IF(IF(Inputs!$E$207 = 2, Inputs!U$210, Inputs!U$211) &lt; Inputs!$D153, Inputs!$E152, ""), "")</f>
        <v/>
      </c>
      <c r="W150" s="7" t="str">
        <f>IF(IF(Inputs!$E$207 = 2, Inputs!V$210, Inputs!V$211) &gt;= Inputs!$D152, IF(IF(Inputs!$E$207 = 2, Inputs!V$210, Inputs!V$211) &lt; Inputs!$D153, Inputs!$E152, ""), "")</f>
        <v/>
      </c>
      <c r="X150" s="7" t="str">
        <f>IF(IF(Inputs!$E$207 = 2, Inputs!W$210, Inputs!W$211) &gt;= Inputs!$D152, IF(IF(Inputs!$E$207 = 2, Inputs!W$210, Inputs!W$211) &lt; Inputs!$D153, Inputs!$E152, ""), "")</f>
        <v/>
      </c>
      <c r="Y150" s="7" t="str">
        <f>IF(IF(Inputs!$E$207 = 2, Inputs!X$210, Inputs!X$211) &gt;= Inputs!$D152, IF(IF(Inputs!$E$207 = 2, Inputs!X$210, Inputs!X$211) &lt; Inputs!$D153, Inputs!$E152, ""), "")</f>
        <v/>
      </c>
      <c r="Z150" s="7" t="str">
        <f>IF(IF(Inputs!$E$207 = 2, Inputs!Y$210, Inputs!Y$211) &gt;= Inputs!$D152, IF(IF(Inputs!$E$207 = 2, Inputs!Y$210, Inputs!Y$211) &lt; Inputs!$D153, Inputs!$E152, ""), "")</f>
        <v/>
      </c>
      <c r="AA150" s="7" t="str">
        <f>IF(IF(Inputs!$E$207 = 2, Inputs!Z$210, Inputs!Z$211) &gt;= Inputs!$D152, IF(IF(Inputs!$E$207 = 2, Inputs!Z$210, Inputs!Z$211) &lt; Inputs!$D153, Inputs!$E152, ""), "")</f>
        <v/>
      </c>
      <c r="AB150" s="7" t="str">
        <f>IF(IF(Inputs!$E$207 = 2, Inputs!AA$210, Inputs!AA$211) &gt;= Inputs!$D152, IF(IF(Inputs!$E$207 = 2, Inputs!AA$210, Inputs!AA$211) &lt; Inputs!$D153, Inputs!$E152, ""), "")</f>
        <v/>
      </c>
      <c r="AC150" s="7" t="str">
        <f>IF(IF(Inputs!$E$207 = 2, Inputs!AB$210, Inputs!AB$211) &gt;= Inputs!$D152, IF(IF(Inputs!$E$207 = 2, Inputs!AB$210, Inputs!AB$211) &lt; Inputs!$D153, Inputs!$E152, ""), "")</f>
        <v/>
      </c>
      <c r="AD150" s="7" t="str">
        <f>IF(IF(Inputs!$E$207 = 2, Inputs!AC$210, Inputs!AC$211) &gt;= Inputs!$D152, IF(IF(Inputs!$E$207 = 2, Inputs!AC$210, Inputs!AC$211) &lt; Inputs!$D153, Inputs!$E152, ""), "")</f>
        <v/>
      </c>
      <c r="AE150" s="7" t="str">
        <f>IF(IF(Inputs!$E$207 = 2, Inputs!AD$210, Inputs!AD$211) &gt;= Inputs!$D152, IF(IF(Inputs!$E$207 = 2, Inputs!AD$210, Inputs!AD$211) &lt; Inputs!$D153, Inputs!$E152, ""), "")</f>
        <v/>
      </c>
      <c r="AF150" s="7" t="str">
        <f>IF(IF(Inputs!$E$207 = 2, Inputs!AE$210, Inputs!AE$211) &gt;= Inputs!$D152, IF(IF(Inputs!$E$207 = 2, Inputs!AE$210, Inputs!AE$211) &lt; Inputs!$D153, Inputs!$E152, ""), "")</f>
        <v/>
      </c>
      <c r="AG150" s="7" t="str">
        <f>IF(IF(Inputs!$E$207 = 2, Inputs!AF$210, Inputs!AF$211) &gt;= Inputs!$D152, IF(IF(Inputs!$E$207 = 2, Inputs!AF$210, Inputs!AF$211) &lt; Inputs!$D153, Inputs!$E152, ""), "")</f>
        <v/>
      </c>
      <c r="AH150" s="7" t="str">
        <f>IF(IF(Inputs!$E$207 = 2, Inputs!AG$210, Inputs!AG$211) &gt;= Inputs!$D152, IF(IF(Inputs!$E$207 = 2, Inputs!AG$210, Inputs!AG$211) &lt; Inputs!$D153, Inputs!$E152, ""), "")</f>
        <v/>
      </c>
      <c r="AI150" s="7" t="str">
        <f>IF(IF(Inputs!$E$207 = 2, Inputs!AH$210, Inputs!AH$211) &gt;= Inputs!$D152, IF(IF(Inputs!$E$207 = 2, Inputs!AH$210, Inputs!AH$211) &lt; Inputs!$D153, Inputs!$E152, ""), "")</f>
        <v/>
      </c>
      <c r="AJ150" s="7" t="str">
        <f>IF(IF(Inputs!$E$207 = 2, Inputs!AI$210, Inputs!AI$211) &gt;= Inputs!$D152, IF(IF(Inputs!$E$207 = 2, Inputs!AI$210, Inputs!AI$211) &lt; Inputs!$D153, Inputs!$E152, ""), "")</f>
        <v/>
      </c>
      <c r="AK150" s="7" t="str">
        <f>IF(IF(Inputs!$E$207 = 2, Inputs!AJ$210, Inputs!AJ$211) &gt;= Inputs!$D152, IF(IF(Inputs!$E$207 = 2, Inputs!AJ$210, Inputs!AJ$211) &lt; Inputs!$D153, Inputs!$E152, ""), "")</f>
        <v/>
      </c>
      <c r="AL150" s="7" t="str">
        <f>IF(IF(Inputs!$E$207 = 2, Inputs!AK$210, Inputs!AK$211) &gt;= Inputs!$D152, IF(IF(Inputs!$E$207 = 2, Inputs!AK$210, Inputs!AK$211) &lt; Inputs!$D153, Inputs!$E152, ""), "")</f>
        <v/>
      </c>
      <c r="AM150" s="7" t="str">
        <f>IF(IF(Inputs!$E$207 = 2, Inputs!AL$210, Inputs!AL$211) &gt;= Inputs!$D152, IF(IF(Inputs!$E$207 = 2, Inputs!AL$210, Inputs!AL$211) &lt; Inputs!$D153, Inputs!$E152, ""), "")</f>
        <v/>
      </c>
      <c r="AN150" s="7" t="str">
        <f>IF(IF(Inputs!$E$207 = 2, Inputs!AM$210, Inputs!AM$211) &gt;= Inputs!$D152, IF(IF(Inputs!$E$207 = 2, Inputs!AM$210, Inputs!AM$211) &lt; Inputs!$D153, Inputs!$E152, ""), "")</f>
        <v/>
      </c>
      <c r="AO150" s="7" t="str">
        <f>IF(IF(Inputs!$E$207 = 2, Inputs!AN$210, Inputs!AN$211) &gt;= Inputs!$D152, IF(IF(Inputs!$E$207 = 2, Inputs!AN$210, Inputs!AN$211) &lt; Inputs!$D153, Inputs!$E152, ""), "")</f>
        <v/>
      </c>
      <c r="AP150" s="7" t="str">
        <f>IF(IF(Inputs!$E$207 = 2, Inputs!AO$210, Inputs!AO$211) &gt;= Inputs!$D152, IF(IF(Inputs!$E$207 = 2, Inputs!AO$210, Inputs!AO$211) &lt; Inputs!$D153, Inputs!$E152, ""), "")</f>
        <v/>
      </c>
      <c r="AQ150" s="7" t="str">
        <f>IF(IF(Inputs!$E$207 = 2, Inputs!AP$210, Inputs!AP$211) &gt;= Inputs!$D152, IF(IF(Inputs!$E$207 = 2, Inputs!AP$210, Inputs!AP$211) &lt; Inputs!$D153, Inputs!$E152, ""), "")</f>
        <v/>
      </c>
      <c r="AR150" s="7" t="str">
        <f>IF(IF(Inputs!$E$207 = 2, Inputs!AQ$210, Inputs!AQ$211) &gt;= Inputs!$D152, IF(IF(Inputs!$E$207 = 2, Inputs!AQ$210, Inputs!AQ$211) &lt; Inputs!$D153, Inputs!$E152, ""), "")</f>
        <v/>
      </c>
      <c r="AS150" s="7" t="str">
        <f>IF(IF(Inputs!$E$207 = 2, Inputs!AR$210, Inputs!AR$211) &gt;= Inputs!$D152, IF(IF(Inputs!$E$207 = 2, Inputs!AR$210, Inputs!AR$211) &lt; Inputs!$D153, Inputs!$E152, ""), "")</f>
        <v/>
      </c>
      <c r="AT150" s="7" t="str">
        <f>IF(IF(Inputs!$E$207 = 2, Inputs!AS$210, Inputs!AS$211) &gt;= Inputs!$D152, IF(IF(Inputs!$E$207 = 2, Inputs!AS$210, Inputs!AS$211) &lt; Inputs!$D153, Inputs!$E152, ""), "")</f>
        <v/>
      </c>
      <c r="AU150" s="7" t="str">
        <f>IF(IF(Inputs!$E$207 = 2, Inputs!AT$210, Inputs!AT$211) &gt;= Inputs!$D152, IF(IF(Inputs!$E$207 = 2, Inputs!AT$210, Inputs!AT$211) &lt; Inputs!$D153, Inputs!$E152, ""), "")</f>
        <v/>
      </c>
      <c r="AV150" s="7" t="str">
        <f>IF(IF(Inputs!$E$207 = 2, Inputs!AU$210, Inputs!AU$211) &gt;= Inputs!$D152, IF(IF(Inputs!$E$207 = 2, Inputs!AU$210, Inputs!AU$211) &lt; Inputs!$D153, Inputs!$E152, ""), "")</f>
        <v/>
      </c>
      <c r="AW150" s="7" t="str">
        <f>IF(IF(Inputs!$E$207 = 2, Inputs!AV$210, Inputs!AV$211) &gt;= Inputs!$D152, IF(IF(Inputs!$E$207 = 2, Inputs!AV$210, Inputs!AV$211) &lt; Inputs!$D153, Inputs!$E152, ""), "")</f>
        <v/>
      </c>
      <c r="AX150" s="7" t="str">
        <f>IF(IF(Inputs!$E$207 = 2, Inputs!AW$210, Inputs!AW$211) &gt;= Inputs!$D152, IF(IF(Inputs!$E$207 = 2, Inputs!AW$210, Inputs!AW$211) &lt; Inputs!$D153, Inputs!$E152, ""), "")</f>
        <v/>
      </c>
      <c r="AY150" s="7" t="str">
        <f>IF(IF(Inputs!$E$207 = 2, Inputs!AX$210, Inputs!AX$211) &gt;= Inputs!$D152, IF(IF(Inputs!$E$207 = 2, Inputs!AX$210, Inputs!AX$211) &lt; Inputs!$D153, Inputs!$E152, ""), "")</f>
        <v/>
      </c>
      <c r="AZ150" s="7" t="str">
        <f>IF(IF(Inputs!$E$207 = 2, Inputs!AY$210, Inputs!AY$211) &gt;= Inputs!$D152, IF(IF(Inputs!$E$207 = 2, Inputs!AY$210, Inputs!AY$211) &lt; Inputs!$D153, Inputs!$E152, ""), "")</f>
        <v/>
      </c>
      <c r="BA150" s="7" t="str">
        <f>IF(IF(Inputs!$E$207 = 2, Inputs!AZ$210, Inputs!AZ$211) &gt;= Inputs!$D152, IF(IF(Inputs!$E$207 = 2, Inputs!AZ$210, Inputs!AZ$211) &lt; Inputs!$D153, Inputs!$E152, ""), "")</f>
        <v/>
      </c>
      <c r="BB150" s="7" t="str">
        <f>IF(IF(Inputs!$E$207 = 2, Inputs!BA$210, Inputs!BA$211) &gt;= Inputs!$D152, IF(IF(Inputs!$E$207 = 2, Inputs!BA$210, Inputs!BA$211) &lt; Inputs!$D153, Inputs!$E152, ""), "")</f>
        <v/>
      </c>
      <c r="BC150" s="7" t="str">
        <f>IF(IF(Inputs!$E$207 = 2, Inputs!BB$210, Inputs!BB$211) &gt;= Inputs!$D152, IF(IF(Inputs!$E$207 = 2, Inputs!BB$210, Inputs!BB$211) &lt; Inputs!$D153, Inputs!$E152, ""), "")</f>
        <v/>
      </c>
      <c r="BD150" s="7" t="str">
        <f>IF(IF(Inputs!$E$207 = 2, Inputs!BC$210, Inputs!BC$211) &gt;= Inputs!$D152, IF(IF(Inputs!$E$207 = 2, Inputs!BC$210, Inputs!BC$211) &lt; Inputs!$D153, Inputs!$E152, ""), "")</f>
        <v/>
      </c>
    </row>
    <row r="151" spans="3:56" ht="15" customHeight="1">
      <c r="D151" s="109" t="s">
        <v>398</v>
      </c>
      <c r="E151" s="18" t="s">
        <v>30</v>
      </c>
      <c r="G151" s="7" t="str">
        <f>IF(IF(Inputs!$E$207 = 2, Inputs!F$210, Inputs!F$211) &gt;= Inputs!$D153, IF(IF(Inputs!$E$207 = 2, Inputs!F$210, Inputs!F$211) &lt; Inputs!$D154, Inputs!$E153, ""), "")</f>
        <v/>
      </c>
      <c r="H151" s="7" t="str">
        <f>IF(IF(Inputs!$E$207 = 2, Inputs!G$210, Inputs!G$211) &gt;= Inputs!$D153, IF(IF(Inputs!$E$207 = 2, Inputs!G$210, Inputs!G$211) &lt; Inputs!$D154, Inputs!$E153, ""), "")</f>
        <v/>
      </c>
      <c r="I151" s="7" t="str">
        <f>IF(IF(Inputs!$E$207 = 2, Inputs!H$210, Inputs!H$211) &gt;= Inputs!$D153, IF(IF(Inputs!$E$207 = 2, Inputs!H$210, Inputs!H$211) &lt; Inputs!$D154, Inputs!$E153, ""), "")</f>
        <v/>
      </c>
      <c r="J151" s="7" t="str">
        <f>IF(IF(Inputs!$E$207 = 2, Inputs!I$210, Inputs!I$211) &gt;= Inputs!$D153, IF(IF(Inputs!$E$207 = 2, Inputs!I$210, Inputs!I$211) &lt; Inputs!$D154, Inputs!$E153, ""), "")</f>
        <v/>
      </c>
      <c r="K151" s="7" t="str">
        <f>IF(IF(Inputs!$E$207 = 2, Inputs!J$210, Inputs!J$211) &gt;= Inputs!$D153, IF(IF(Inputs!$E$207 = 2, Inputs!J$210, Inputs!J$211) &lt; Inputs!$D154, Inputs!$E153, ""), "")</f>
        <v/>
      </c>
      <c r="L151" s="7" t="str">
        <f>IF(IF(Inputs!$E$207 = 2, Inputs!K$210, Inputs!K$211) &gt;= Inputs!$D153, IF(IF(Inputs!$E$207 = 2, Inputs!K$210, Inputs!K$211) &lt; Inputs!$D154, Inputs!$E153, ""), "")</f>
        <v/>
      </c>
      <c r="M151" s="7" t="str">
        <f>IF(IF(Inputs!$E$207 = 2, Inputs!L$210, Inputs!L$211) &gt;= Inputs!$D153, IF(IF(Inputs!$E$207 = 2, Inputs!L$210, Inputs!L$211) &lt; Inputs!$D154, Inputs!$E153, ""), "")</f>
        <v/>
      </c>
      <c r="N151" s="7" t="str">
        <f>IF(IF(Inputs!$E$207 = 2, Inputs!M$210, Inputs!M$211) &gt;= Inputs!$D153, IF(IF(Inputs!$E$207 = 2, Inputs!M$210, Inputs!M$211) &lt; Inputs!$D154, Inputs!$E153, ""), "")</f>
        <v/>
      </c>
      <c r="O151" s="7" t="str">
        <f>IF(IF(Inputs!$E$207 = 2, Inputs!N$210, Inputs!N$211) &gt;= Inputs!$D153, IF(IF(Inputs!$E$207 = 2, Inputs!N$210, Inputs!N$211) &lt; Inputs!$D154, Inputs!$E153, ""), "")</f>
        <v/>
      </c>
      <c r="P151" s="7" t="str">
        <f>IF(IF(Inputs!$E$207 = 2, Inputs!O$210, Inputs!O$211) &gt;= Inputs!$D153, IF(IF(Inputs!$E$207 = 2, Inputs!O$210, Inputs!O$211) &lt; Inputs!$D154, Inputs!$E153, ""), "")</f>
        <v/>
      </c>
      <c r="Q151" s="7" t="str">
        <f>IF(IF(Inputs!$E$207 = 2, Inputs!P$210, Inputs!P$211) &gt;= Inputs!$D153, IF(IF(Inputs!$E$207 = 2, Inputs!P$210, Inputs!P$211) &lt; Inputs!$D154, Inputs!$E153, ""), "")</f>
        <v/>
      </c>
      <c r="R151" s="7" t="str">
        <f>IF(IF(Inputs!$E$207 = 2, Inputs!Q$210, Inputs!Q$211) &gt;= Inputs!$D153, IF(IF(Inputs!$E$207 = 2, Inputs!Q$210, Inputs!Q$211) &lt; Inputs!$D154, Inputs!$E153, ""), "")</f>
        <v/>
      </c>
      <c r="S151" s="7" t="str">
        <f>IF(IF(Inputs!$E$207 = 2, Inputs!R$210, Inputs!R$211) &gt;= Inputs!$D153, IF(IF(Inputs!$E$207 = 2, Inputs!R$210, Inputs!R$211) &lt; Inputs!$D154, Inputs!$E153, ""), "")</f>
        <v/>
      </c>
      <c r="T151" s="7" t="str">
        <f>IF(IF(Inputs!$E$207 = 2, Inputs!S$210, Inputs!S$211) &gt;= Inputs!$D153, IF(IF(Inputs!$E$207 = 2, Inputs!S$210, Inputs!S$211) &lt; Inputs!$D154, Inputs!$E153, ""), "")</f>
        <v/>
      </c>
      <c r="U151" s="7" t="str">
        <f>IF(IF(Inputs!$E$207 = 2, Inputs!T$210, Inputs!T$211) &gt;= Inputs!$D153, IF(IF(Inputs!$E$207 = 2, Inputs!T$210, Inputs!T$211) &lt; Inputs!$D154, Inputs!$E153, ""), "")</f>
        <v/>
      </c>
      <c r="V151" s="7" t="str">
        <f>IF(IF(Inputs!$E$207 = 2, Inputs!U$210, Inputs!U$211) &gt;= Inputs!$D153, IF(IF(Inputs!$E$207 = 2, Inputs!U$210, Inputs!U$211) &lt; Inputs!$D154, Inputs!$E153, ""), "")</f>
        <v/>
      </c>
      <c r="W151" s="7" t="str">
        <f>IF(IF(Inputs!$E$207 = 2, Inputs!V$210, Inputs!V$211) &gt;= Inputs!$D153, IF(IF(Inputs!$E$207 = 2, Inputs!V$210, Inputs!V$211) &lt; Inputs!$D154, Inputs!$E153, ""), "")</f>
        <v/>
      </c>
      <c r="X151" s="7" t="str">
        <f>IF(IF(Inputs!$E$207 = 2, Inputs!W$210, Inputs!W$211) &gt;= Inputs!$D153, IF(IF(Inputs!$E$207 = 2, Inputs!W$210, Inputs!W$211) &lt; Inputs!$D154, Inputs!$E153, ""), "")</f>
        <v/>
      </c>
      <c r="Y151" s="7" t="str">
        <f>IF(IF(Inputs!$E$207 = 2, Inputs!X$210, Inputs!X$211) &gt;= Inputs!$D153, IF(IF(Inputs!$E$207 = 2, Inputs!X$210, Inputs!X$211) &lt; Inputs!$D154, Inputs!$E153, ""), "")</f>
        <v/>
      </c>
      <c r="Z151" s="7" t="str">
        <f>IF(IF(Inputs!$E$207 = 2, Inputs!Y$210, Inputs!Y$211) &gt;= Inputs!$D153, IF(IF(Inputs!$E$207 = 2, Inputs!Y$210, Inputs!Y$211) &lt; Inputs!$D154, Inputs!$E153, ""), "")</f>
        <v/>
      </c>
      <c r="AA151" s="7" t="str">
        <f>IF(IF(Inputs!$E$207 = 2, Inputs!Z$210, Inputs!Z$211) &gt;= Inputs!$D153, IF(IF(Inputs!$E$207 = 2, Inputs!Z$210, Inputs!Z$211) &lt; Inputs!$D154, Inputs!$E153, ""), "")</f>
        <v/>
      </c>
      <c r="AB151" s="7" t="str">
        <f>IF(IF(Inputs!$E$207 = 2, Inputs!AA$210, Inputs!AA$211) &gt;= Inputs!$D153, IF(IF(Inputs!$E$207 = 2, Inputs!AA$210, Inputs!AA$211) &lt; Inputs!$D154, Inputs!$E153, ""), "")</f>
        <v/>
      </c>
      <c r="AC151" s="7" t="str">
        <f>IF(IF(Inputs!$E$207 = 2, Inputs!AB$210, Inputs!AB$211) &gt;= Inputs!$D153, IF(IF(Inputs!$E$207 = 2, Inputs!AB$210, Inputs!AB$211) &lt; Inputs!$D154, Inputs!$E153, ""), "")</f>
        <v/>
      </c>
      <c r="AD151" s="7" t="str">
        <f>IF(IF(Inputs!$E$207 = 2, Inputs!AC$210, Inputs!AC$211) &gt;= Inputs!$D153, IF(IF(Inputs!$E$207 = 2, Inputs!AC$210, Inputs!AC$211) &lt; Inputs!$D154, Inputs!$E153, ""), "")</f>
        <v/>
      </c>
      <c r="AE151" s="7" t="str">
        <f>IF(IF(Inputs!$E$207 = 2, Inputs!AD$210, Inputs!AD$211) &gt;= Inputs!$D153, IF(IF(Inputs!$E$207 = 2, Inputs!AD$210, Inputs!AD$211) &lt; Inputs!$D154, Inputs!$E153, ""), "")</f>
        <v/>
      </c>
      <c r="AF151" s="7" t="str">
        <f>IF(IF(Inputs!$E$207 = 2, Inputs!AE$210, Inputs!AE$211) &gt;= Inputs!$D153, IF(IF(Inputs!$E$207 = 2, Inputs!AE$210, Inputs!AE$211) &lt; Inputs!$D154, Inputs!$E153, ""), "")</f>
        <v/>
      </c>
      <c r="AG151" s="7" t="str">
        <f>IF(IF(Inputs!$E$207 = 2, Inputs!AF$210, Inputs!AF$211) &gt;= Inputs!$D153, IF(IF(Inputs!$E$207 = 2, Inputs!AF$210, Inputs!AF$211) &lt; Inputs!$D154, Inputs!$E153, ""), "")</f>
        <v/>
      </c>
      <c r="AH151" s="7" t="str">
        <f>IF(IF(Inputs!$E$207 = 2, Inputs!AG$210, Inputs!AG$211) &gt;= Inputs!$D153, IF(IF(Inputs!$E$207 = 2, Inputs!AG$210, Inputs!AG$211) &lt; Inputs!$D154, Inputs!$E153, ""), "")</f>
        <v/>
      </c>
      <c r="AI151" s="7" t="str">
        <f>IF(IF(Inputs!$E$207 = 2, Inputs!AH$210, Inputs!AH$211) &gt;= Inputs!$D153, IF(IF(Inputs!$E$207 = 2, Inputs!AH$210, Inputs!AH$211) &lt; Inputs!$D154, Inputs!$E153, ""), "")</f>
        <v/>
      </c>
      <c r="AJ151" s="7" t="str">
        <f>IF(IF(Inputs!$E$207 = 2, Inputs!AI$210, Inputs!AI$211) &gt;= Inputs!$D153, IF(IF(Inputs!$E$207 = 2, Inputs!AI$210, Inputs!AI$211) &lt; Inputs!$D154, Inputs!$E153, ""), "")</f>
        <v/>
      </c>
      <c r="AK151" s="7" t="str">
        <f>IF(IF(Inputs!$E$207 = 2, Inputs!AJ$210, Inputs!AJ$211) &gt;= Inputs!$D153, IF(IF(Inputs!$E$207 = 2, Inputs!AJ$210, Inputs!AJ$211) &lt; Inputs!$D154, Inputs!$E153, ""), "")</f>
        <v/>
      </c>
      <c r="AL151" s="7" t="str">
        <f>IF(IF(Inputs!$E$207 = 2, Inputs!AK$210, Inputs!AK$211) &gt;= Inputs!$D153, IF(IF(Inputs!$E$207 = 2, Inputs!AK$210, Inputs!AK$211) &lt; Inputs!$D154, Inputs!$E153, ""), "")</f>
        <v/>
      </c>
      <c r="AM151" s="7" t="str">
        <f>IF(IF(Inputs!$E$207 = 2, Inputs!AL$210, Inputs!AL$211) &gt;= Inputs!$D153, IF(IF(Inputs!$E$207 = 2, Inputs!AL$210, Inputs!AL$211) &lt; Inputs!$D154, Inputs!$E153, ""), "")</f>
        <v/>
      </c>
      <c r="AN151" s="7" t="str">
        <f>IF(IF(Inputs!$E$207 = 2, Inputs!AM$210, Inputs!AM$211) &gt;= Inputs!$D153, IF(IF(Inputs!$E$207 = 2, Inputs!AM$210, Inputs!AM$211) &lt; Inputs!$D154, Inputs!$E153, ""), "")</f>
        <v/>
      </c>
      <c r="AO151" s="7" t="str">
        <f>IF(IF(Inputs!$E$207 = 2, Inputs!AN$210, Inputs!AN$211) &gt;= Inputs!$D153, IF(IF(Inputs!$E$207 = 2, Inputs!AN$210, Inputs!AN$211) &lt; Inputs!$D154, Inputs!$E153, ""), "")</f>
        <v/>
      </c>
      <c r="AP151" s="7" t="str">
        <f>IF(IF(Inputs!$E$207 = 2, Inputs!AO$210, Inputs!AO$211) &gt;= Inputs!$D153, IF(IF(Inputs!$E$207 = 2, Inputs!AO$210, Inputs!AO$211) &lt; Inputs!$D154, Inputs!$E153, ""), "")</f>
        <v/>
      </c>
      <c r="AQ151" s="7" t="str">
        <f>IF(IF(Inputs!$E$207 = 2, Inputs!AP$210, Inputs!AP$211) &gt;= Inputs!$D153, IF(IF(Inputs!$E$207 = 2, Inputs!AP$210, Inputs!AP$211) &lt; Inputs!$D154, Inputs!$E153, ""), "")</f>
        <v/>
      </c>
      <c r="AR151" s="7" t="str">
        <f>IF(IF(Inputs!$E$207 = 2, Inputs!AQ$210, Inputs!AQ$211) &gt;= Inputs!$D153, IF(IF(Inputs!$E$207 = 2, Inputs!AQ$210, Inputs!AQ$211) &lt; Inputs!$D154, Inputs!$E153, ""), "")</f>
        <v/>
      </c>
      <c r="AS151" s="7" t="str">
        <f>IF(IF(Inputs!$E$207 = 2, Inputs!AR$210, Inputs!AR$211) &gt;= Inputs!$D153, IF(IF(Inputs!$E$207 = 2, Inputs!AR$210, Inputs!AR$211) &lt; Inputs!$D154, Inputs!$E153, ""), "")</f>
        <v/>
      </c>
      <c r="AT151" s="7" t="str">
        <f>IF(IF(Inputs!$E$207 = 2, Inputs!AS$210, Inputs!AS$211) &gt;= Inputs!$D153, IF(IF(Inputs!$E$207 = 2, Inputs!AS$210, Inputs!AS$211) &lt; Inputs!$D154, Inputs!$E153, ""), "")</f>
        <v/>
      </c>
      <c r="AU151" s="7" t="str">
        <f>IF(IF(Inputs!$E$207 = 2, Inputs!AT$210, Inputs!AT$211) &gt;= Inputs!$D153, IF(IF(Inputs!$E$207 = 2, Inputs!AT$210, Inputs!AT$211) &lt; Inputs!$D154, Inputs!$E153, ""), "")</f>
        <v/>
      </c>
      <c r="AV151" s="7" t="str">
        <f>IF(IF(Inputs!$E$207 = 2, Inputs!AU$210, Inputs!AU$211) &gt;= Inputs!$D153, IF(IF(Inputs!$E$207 = 2, Inputs!AU$210, Inputs!AU$211) &lt; Inputs!$D154, Inputs!$E153, ""), "")</f>
        <v/>
      </c>
      <c r="AW151" s="7" t="str">
        <f>IF(IF(Inputs!$E$207 = 2, Inputs!AV$210, Inputs!AV$211) &gt;= Inputs!$D153, IF(IF(Inputs!$E$207 = 2, Inputs!AV$210, Inputs!AV$211) &lt; Inputs!$D154, Inputs!$E153, ""), "")</f>
        <v/>
      </c>
      <c r="AX151" s="7" t="str">
        <f>IF(IF(Inputs!$E$207 = 2, Inputs!AW$210, Inputs!AW$211) &gt;= Inputs!$D153, IF(IF(Inputs!$E$207 = 2, Inputs!AW$210, Inputs!AW$211) &lt; Inputs!$D154, Inputs!$E153, ""), "")</f>
        <v/>
      </c>
      <c r="AY151" s="7" t="str">
        <f>IF(IF(Inputs!$E$207 = 2, Inputs!AX$210, Inputs!AX$211) &gt;= Inputs!$D153, IF(IF(Inputs!$E$207 = 2, Inputs!AX$210, Inputs!AX$211) &lt; Inputs!$D154, Inputs!$E153, ""), "")</f>
        <v/>
      </c>
      <c r="AZ151" s="7" t="str">
        <f>IF(IF(Inputs!$E$207 = 2, Inputs!AY$210, Inputs!AY$211) &gt;= Inputs!$D153, IF(IF(Inputs!$E$207 = 2, Inputs!AY$210, Inputs!AY$211) &lt; Inputs!$D154, Inputs!$E153, ""), "")</f>
        <v/>
      </c>
      <c r="BA151" s="7" t="str">
        <f>IF(IF(Inputs!$E$207 = 2, Inputs!AZ$210, Inputs!AZ$211) &gt;= Inputs!$D153, IF(IF(Inputs!$E$207 = 2, Inputs!AZ$210, Inputs!AZ$211) &lt; Inputs!$D154, Inputs!$E153, ""), "")</f>
        <v/>
      </c>
      <c r="BB151" s="7" t="str">
        <f>IF(IF(Inputs!$E$207 = 2, Inputs!BA$210, Inputs!BA$211) &gt;= Inputs!$D153, IF(IF(Inputs!$E$207 = 2, Inputs!BA$210, Inputs!BA$211) &lt; Inputs!$D154, Inputs!$E153, ""), "")</f>
        <v/>
      </c>
      <c r="BC151" s="7" t="str">
        <f>IF(IF(Inputs!$E$207 = 2, Inputs!BB$210, Inputs!BB$211) &gt;= Inputs!$D153, IF(IF(Inputs!$E$207 = 2, Inputs!BB$210, Inputs!BB$211) &lt; Inputs!$D154, Inputs!$E153, ""), "")</f>
        <v/>
      </c>
      <c r="BD151" s="7" t="str">
        <f>IF(IF(Inputs!$E$207 = 2, Inputs!BC$210, Inputs!BC$211) &gt;= Inputs!$D153, IF(IF(Inputs!$E$207 = 2, Inputs!BC$210, Inputs!BC$211) &lt; Inputs!$D154, Inputs!$E153, ""), "")</f>
        <v/>
      </c>
    </row>
    <row r="152" spans="3:56" ht="15" customHeight="1">
      <c r="D152" s="109" t="s">
        <v>399</v>
      </c>
      <c r="E152" s="18" t="s">
        <v>30</v>
      </c>
      <c r="G152" s="7" t="str">
        <f>IF(IF(Inputs!$E$207 = 2, Inputs!F$210, Inputs!F$211) &gt;= Inputs!$D154, IF(IF(Inputs!$E$207 = 2, Inputs!F$210, Inputs!F$211) &lt; Inputs!$D155, Inputs!$E154, ""), "")</f>
        <v/>
      </c>
      <c r="H152" s="7" t="str">
        <f>IF(IF(Inputs!$E$207 = 2, Inputs!G$210, Inputs!G$211) &gt;= Inputs!$D154, IF(IF(Inputs!$E$207 = 2, Inputs!G$210, Inputs!G$211) &lt; Inputs!$D155, Inputs!$E154, ""), "")</f>
        <v/>
      </c>
      <c r="I152" s="7" t="str">
        <f>IF(IF(Inputs!$E$207 = 2, Inputs!H$210, Inputs!H$211) &gt;= Inputs!$D154, IF(IF(Inputs!$E$207 = 2, Inputs!H$210, Inputs!H$211) &lt; Inputs!$D155, Inputs!$E154, ""), "")</f>
        <v/>
      </c>
      <c r="J152" s="7" t="str">
        <f>IF(IF(Inputs!$E$207 = 2, Inputs!I$210, Inputs!I$211) &gt;= Inputs!$D154, IF(IF(Inputs!$E$207 = 2, Inputs!I$210, Inputs!I$211) &lt; Inputs!$D155, Inputs!$E154, ""), "")</f>
        <v/>
      </c>
      <c r="K152" s="7" t="str">
        <f>IF(IF(Inputs!$E$207 = 2, Inputs!J$210, Inputs!J$211) &gt;= Inputs!$D154, IF(IF(Inputs!$E$207 = 2, Inputs!J$210, Inputs!J$211) &lt; Inputs!$D155, Inputs!$E154, ""), "")</f>
        <v/>
      </c>
      <c r="L152" s="7" t="str">
        <f>IF(IF(Inputs!$E$207 = 2, Inputs!K$210, Inputs!K$211) &gt;= Inputs!$D154, IF(IF(Inputs!$E$207 = 2, Inputs!K$210, Inputs!K$211) &lt; Inputs!$D155, Inputs!$E154, ""), "")</f>
        <v/>
      </c>
      <c r="M152" s="7" t="str">
        <f>IF(IF(Inputs!$E$207 = 2, Inputs!L$210, Inputs!L$211) &gt;= Inputs!$D154, IF(IF(Inputs!$E$207 = 2, Inputs!L$210, Inputs!L$211) &lt; Inputs!$D155, Inputs!$E154, ""), "")</f>
        <v/>
      </c>
      <c r="N152" s="7" t="str">
        <f>IF(IF(Inputs!$E$207 = 2, Inputs!M$210, Inputs!M$211) &gt;= Inputs!$D154, IF(IF(Inputs!$E$207 = 2, Inputs!M$210, Inputs!M$211) &lt; Inputs!$D155, Inputs!$E154, ""), "")</f>
        <v/>
      </c>
      <c r="O152" s="7" t="str">
        <f>IF(IF(Inputs!$E$207 = 2, Inputs!N$210, Inputs!N$211) &gt;= Inputs!$D154, IF(IF(Inputs!$E$207 = 2, Inputs!N$210, Inputs!N$211) &lt; Inputs!$D155, Inputs!$E154, ""), "")</f>
        <v/>
      </c>
      <c r="P152" s="7" t="str">
        <f>IF(IF(Inputs!$E$207 = 2, Inputs!O$210, Inputs!O$211) &gt;= Inputs!$D154, IF(IF(Inputs!$E$207 = 2, Inputs!O$210, Inputs!O$211) &lt; Inputs!$D155, Inputs!$E154, ""), "")</f>
        <v/>
      </c>
      <c r="Q152" s="7" t="str">
        <f>IF(IF(Inputs!$E$207 = 2, Inputs!P$210, Inputs!P$211) &gt;= Inputs!$D154, IF(IF(Inputs!$E$207 = 2, Inputs!P$210, Inputs!P$211) &lt; Inputs!$D155, Inputs!$E154, ""), "")</f>
        <v/>
      </c>
      <c r="R152" s="7" t="str">
        <f>IF(IF(Inputs!$E$207 = 2, Inputs!Q$210, Inputs!Q$211) &gt;= Inputs!$D154, IF(IF(Inputs!$E$207 = 2, Inputs!Q$210, Inputs!Q$211) &lt; Inputs!$D155, Inputs!$E154, ""), "")</f>
        <v/>
      </c>
      <c r="S152" s="7" t="str">
        <f>IF(IF(Inputs!$E$207 = 2, Inputs!R$210, Inputs!R$211) &gt;= Inputs!$D154, IF(IF(Inputs!$E$207 = 2, Inputs!R$210, Inputs!R$211) &lt; Inputs!$D155, Inputs!$E154, ""), "")</f>
        <v/>
      </c>
      <c r="T152" s="7" t="str">
        <f>IF(IF(Inputs!$E$207 = 2, Inputs!S$210, Inputs!S$211) &gt;= Inputs!$D154, IF(IF(Inputs!$E$207 = 2, Inputs!S$210, Inputs!S$211) &lt; Inputs!$D155, Inputs!$E154, ""), "")</f>
        <v/>
      </c>
      <c r="U152" s="7" t="str">
        <f>IF(IF(Inputs!$E$207 = 2, Inputs!T$210, Inputs!T$211) &gt;= Inputs!$D154, IF(IF(Inputs!$E$207 = 2, Inputs!T$210, Inputs!T$211) &lt; Inputs!$D155, Inputs!$E154, ""), "")</f>
        <v/>
      </c>
      <c r="V152" s="7" t="str">
        <f>IF(IF(Inputs!$E$207 = 2, Inputs!U$210, Inputs!U$211) &gt;= Inputs!$D154, IF(IF(Inputs!$E$207 = 2, Inputs!U$210, Inputs!U$211) &lt; Inputs!$D155, Inputs!$E154, ""), "")</f>
        <v/>
      </c>
      <c r="W152" s="7" t="str">
        <f>IF(IF(Inputs!$E$207 = 2, Inputs!V$210, Inputs!V$211) &gt;= Inputs!$D154, IF(IF(Inputs!$E$207 = 2, Inputs!V$210, Inputs!V$211) &lt; Inputs!$D155, Inputs!$E154, ""), "")</f>
        <v/>
      </c>
      <c r="X152" s="7" t="str">
        <f>IF(IF(Inputs!$E$207 = 2, Inputs!W$210, Inputs!W$211) &gt;= Inputs!$D154, IF(IF(Inputs!$E$207 = 2, Inputs!W$210, Inputs!W$211) &lt; Inputs!$D155, Inputs!$E154, ""), "")</f>
        <v/>
      </c>
      <c r="Y152" s="7" t="str">
        <f>IF(IF(Inputs!$E$207 = 2, Inputs!X$210, Inputs!X$211) &gt;= Inputs!$D154, IF(IF(Inputs!$E$207 = 2, Inputs!X$210, Inputs!X$211) &lt; Inputs!$D155, Inputs!$E154, ""), "")</f>
        <v/>
      </c>
      <c r="Z152" s="7" t="str">
        <f>IF(IF(Inputs!$E$207 = 2, Inputs!Y$210, Inputs!Y$211) &gt;= Inputs!$D154, IF(IF(Inputs!$E$207 = 2, Inputs!Y$210, Inputs!Y$211) &lt; Inputs!$D155, Inputs!$E154, ""), "")</f>
        <v/>
      </c>
      <c r="AA152" s="7" t="str">
        <f>IF(IF(Inputs!$E$207 = 2, Inputs!Z$210, Inputs!Z$211) &gt;= Inputs!$D154, IF(IF(Inputs!$E$207 = 2, Inputs!Z$210, Inputs!Z$211) &lt; Inputs!$D155, Inputs!$E154, ""), "")</f>
        <v/>
      </c>
      <c r="AB152" s="7" t="str">
        <f>IF(IF(Inputs!$E$207 = 2, Inputs!AA$210, Inputs!AA$211) &gt;= Inputs!$D154, IF(IF(Inputs!$E$207 = 2, Inputs!AA$210, Inputs!AA$211) &lt; Inputs!$D155, Inputs!$E154, ""), "")</f>
        <v/>
      </c>
      <c r="AC152" s="7" t="str">
        <f>IF(IF(Inputs!$E$207 = 2, Inputs!AB$210, Inputs!AB$211) &gt;= Inputs!$D154, IF(IF(Inputs!$E$207 = 2, Inputs!AB$210, Inputs!AB$211) &lt; Inputs!$D155, Inputs!$E154, ""), "")</f>
        <v/>
      </c>
      <c r="AD152" s="7" t="str">
        <f>IF(IF(Inputs!$E$207 = 2, Inputs!AC$210, Inputs!AC$211) &gt;= Inputs!$D154, IF(IF(Inputs!$E$207 = 2, Inputs!AC$210, Inputs!AC$211) &lt; Inputs!$D155, Inputs!$E154, ""), "")</f>
        <v/>
      </c>
      <c r="AE152" s="7" t="str">
        <f>IF(IF(Inputs!$E$207 = 2, Inputs!AD$210, Inputs!AD$211) &gt;= Inputs!$D154, IF(IF(Inputs!$E$207 = 2, Inputs!AD$210, Inputs!AD$211) &lt; Inputs!$D155, Inputs!$E154, ""), "")</f>
        <v/>
      </c>
      <c r="AF152" s="7" t="str">
        <f>IF(IF(Inputs!$E$207 = 2, Inputs!AE$210, Inputs!AE$211) &gt;= Inputs!$D154, IF(IF(Inputs!$E$207 = 2, Inputs!AE$210, Inputs!AE$211) &lt; Inputs!$D155, Inputs!$E154, ""), "")</f>
        <v/>
      </c>
      <c r="AG152" s="7" t="str">
        <f>IF(IF(Inputs!$E$207 = 2, Inputs!AF$210, Inputs!AF$211) &gt;= Inputs!$D154, IF(IF(Inputs!$E$207 = 2, Inputs!AF$210, Inputs!AF$211) &lt; Inputs!$D155, Inputs!$E154, ""), "")</f>
        <v/>
      </c>
      <c r="AH152" s="7" t="str">
        <f>IF(IF(Inputs!$E$207 = 2, Inputs!AG$210, Inputs!AG$211) &gt;= Inputs!$D154, IF(IF(Inputs!$E$207 = 2, Inputs!AG$210, Inputs!AG$211) &lt; Inputs!$D155, Inputs!$E154, ""), "")</f>
        <v/>
      </c>
      <c r="AI152" s="7" t="str">
        <f>IF(IF(Inputs!$E$207 = 2, Inputs!AH$210, Inputs!AH$211) &gt;= Inputs!$D154, IF(IF(Inputs!$E$207 = 2, Inputs!AH$210, Inputs!AH$211) &lt; Inputs!$D155, Inputs!$E154, ""), "")</f>
        <v/>
      </c>
      <c r="AJ152" s="7" t="str">
        <f>IF(IF(Inputs!$E$207 = 2, Inputs!AI$210, Inputs!AI$211) &gt;= Inputs!$D154, IF(IF(Inputs!$E$207 = 2, Inputs!AI$210, Inputs!AI$211) &lt; Inputs!$D155, Inputs!$E154, ""), "")</f>
        <v/>
      </c>
      <c r="AK152" s="7" t="str">
        <f>IF(IF(Inputs!$E$207 = 2, Inputs!AJ$210, Inputs!AJ$211) &gt;= Inputs!$D154, IF(IF(Inputs!$E$207 = 2, Inputs!AJ$210, Inputs!AJ$211) &lt; Inputs!$D155, Inputs!$E154, ""), "")</f>
        <v/>
      </c>
      <c r="AL152" s="7" t="str">
        <f>IF(IF(Inputs!$E$207 = 2, Inputs!AK$210, Inputs!AK$211) &gt;= Inputs!$D154, IF(IF(Inputs!$E$207 = 2, Inputs!AK$210, Inputs!AK$211) &lt; Inputs!$D155, Inputs!$E154, ""), "")</f>
        <v/>
      </c>
      <c r="AM152" s="7" t="str">
        <f>IF(IF(Inputs!$E$207 = 2, Inputs!AL$210, Inputs!AL$211) &gt;= Inputs!$D154, IF(IF(Inputs!$E$207 = 2, Inputs!AL$210, Inputs!AL$211) &lt; Inputs!$D155, Inputs!$E154, ""), "")</f>
        <v/>
      </c>
      <c r="AN152" s="7" t="str">
        <f>IF(IF(Inputs!$E$207 = 2, Inputs!AM$210, Inputs!AM$211) &gt;= Inputs!$D154, IF(IF(Inputs!$E$207 = 2, Inputs!AM$210, Inputs!AM$211) &lt; Inputs!$D155, Inputs!$E154, ""), "")</f>
        <v/>
      </c>
      <c r="AO152" s="7" t="str">
        <f>IF(IF(Inputs!$E$207 = 2, Inputs!AN$210, Inputs!AN$211) &gt;= Inputs!$D154, IF(IF(Inputs!$E$207 = 2, Inputs!AN$210, Inputs!AN$211) &lt; Inputs!$D155, Inputs!$E154, ""), "")</f>
        <v/>
      </c>
      <c r="AP152" s="7" t="str">
        <f>IF(IF(Inputs!$E$207 = 2, Inputs!AO$210, Inputs!AO$211) &gt;= Inputs!$D154, IF(IF(Inputs!$E$207 = 2, Inputs!AO$210, Inputs!AO$211) &lt; Inputs!$D155, Inputs!$E154, ""), "")</f>
        <v/>
      </c>
      <c r="AQ152" s="7" t="str">
        <f>IF(IF(Inputs!$E$207 = 2, Inputs!AP$210, Inputs!AP$211) &gt;= Inputs!$D154, IF(IF(Inputs!$E$207 = 2, Inputs!AP$210, Inputs!AP$211) &lt; Inputs!$D155, Inputs!$E154, ""), "")</f>
        <v/>
      </c>
      <c r="AR152" s="7" t="str">
        <f>IF(IF(Inputs!$E$207 = 2, Inputs!AQ$210, Inputs!AQ$211) &gt;= Inputs!$D154, IF(IF(Inputs!$E$207 = 2, Inputs!AQ$210, Inputs!AQ$211) &lt; Inputs!$D155, Inputs!$E154, ""), "")</f>
        <v/>
      </c>
      <c r="AS152" s="7" t="str">
        <f>IF(IF(Inputs!$E$207 = 2, Inputs!AR$210, Inputs!AR$211) &gt;= Inputs!$D154, IF(IF(Inputs!$E$207 = 2, Inputs!AR$210, Inputs!AR$211) &lt; Inputs!$D155, Inputs!$E154, ""), "")</f>
        <v/>
      </c>
      <c r="AT152" s="7" t="str">
        <f>IF(IF(Inputs!$E$207 = 2, Inputs!AS$210, Inputs!AS$211) &gt;= Inputs!$D154, IF(IF(Inputs!$E$207 = 2, Inputs!AS$210, Inputs!AS$211) &lt; Inputs!$D155, Inputs!$E154, ""), "")</f>
        <v/>
      </c>
      <c r="AU152" s="7" t="str">
        <f>IF(IF(Inputs!$E$207 = 2, Inputs!AT$210, Inputs!AT$211) &gt;= Inputs!$D154, IF(IF(Inputs!$E$207 = 2, Inputs!AT$210, Inputs!AT$211) &lt; Inputs!$D155, Inputs!$E154, ""), "")</f>
        <v/>
      </c>
      <c r="AV152" s="7" t="str">
        <f>IF(IF(Inputs!$E$207 = 2, Inputs!AU$210, Inputs!AU$211) &gt;= Inputs!$D154, IF(IF(Inputs!$E$207 = 2, Inputs!AU$210, Inputs!AU$211) &lt; Inputs!$D155, Inputs!$E154, ""), "")</f>
        <v/>
      </c>
      <c r="AW152" s="7" t="str">
        <f>IF(IF(Inputs!$E$207 = 2, Inputs!AV$210, Inputs!AV$211) &gt;= Inputs!$D154, IF(IF(Inputs!$E$207 = 2, Inputs!AV$210, Inputs!AV$211) &lt; Inputs!$D155, Inputs!$E154, ""), "")</f>
        <v/>
      </c>
      <c r="AX152" s="7" t="str">
        <f>IF(IF(Inputs!$E$207 = 2, Inputs!AW$210, Inputs!AW$211) &gt;= Inputs!$D154, IF(IF(Inputs!$E$207 = 2, Inputs!AW$210, Inputs!AW$211) &lt; Inputs!$D155, Inputs!$E154, ""), "")</f>
        <v/>
      </c>
      <c r="AY152" s="7" t="str">
        <f>IF(IF(Inputs!$E$207 = 2, Inputs!AX$210, Inputs!AX$211) &gt;= Inputs!$D154, IF(IF(Inputs!$E$207 = 2, Inputs!AX$210, Inputs!AX$211) &lt; Inputs!$D155, Inputs!$E154, ""), "")</f>
        <v/>
      </c>
      <c r="AZ152" s="7" t="str">
        <f>IF(IF(Inputs!$E$207 = 2, Inputs!AY$210, Inputs!AY$211) &gt;= Inputs!$D154, IF(IF(Inputs!$E$207 = 2, Inputs!AY$210, Inputs!AY$211) &lt; Inputs!$D155, Inputs!$E154, ""), "")</f>
        <v/>
      </c>
      <c r="BA152" s="7" t="str">
        <f>IF(IF(Inputs!$E$207 = 2, Inputs!AZ$210, Inputs!AZ$211) &gt;= Inputs!$D154, IF(IF(Inputs!$E$207 = 2, Inputs!AZ$210, Inputs!AZ$211) &lt; Inputs!$D155, Inputs!$E154, ""), "")</f>
        <v/>
      </c>
      <c r="BB152" s="7" t="str">
        <f>IF(IF(Inputs!$E$207 = 2, Inputs!BA$210, Inputs!BA$211) &gt;= Inputs!$D154, IF(IF(Inputs!$E$207 = 2, Inputs!BA$210, Inputs!BA$211) &lt; Inputs!$D155, Inputs!$E154, ""), "")</f>
        <v/>
      </c>
      <c r="BC152" s="7" t="str">
        <f>IF(IF(Inputs!$E$207 = 2, Inputs!BB$210, Inputs!BB$211) &gt;= Inputs!$D154, IF(IF(Inputs!$E$207 = 2, Inputs!BB$210, Inputs!BB$211) &lt; Inputs!$D155, Inputs!$E154, ""), "")</f>
        <v/>
      </c>
      <c r="BD152" s="7" t="str">
        <f>IF(IF(Inputs!$E$207 = 2, Inputs!BC$210, Inputs!BC$211) &gt;= Inputs!$D154, IF(IF(Inputs!$E$207 = 2, Inputs!BC$210, Inputs!BC$211) &lt; Inputs!$D155, Inputs!$E154, ""), "")</f>
        <v/>
      </c>
    </row>
    <row r="153" spans="3:56" ht="15" customHeight="1">
      <c r="D153" s="109" t="s">
        <v>400</v>
      </c>
      <c r="E153" s="18" t="s">
        <v>30</v>
      </c>
      <c r="G153" s="7" t="str">
        <f>IF(IF(Inputs!$E$207 = 2, Inputs!F$210, Inputs!F$211) &gt;= Inputs!$D155, IF(IF(Inputs!$E$207 = 2, Inputs!F$210, Inputs!F$211) &lt; Inputs!$D156, Inputs!$E155, ""), "")</f>
        <v/>
      </c>
      <c r="H153" s="7" t="str">
        <f>IF(IF(Inputs!$E$207 = 2, Inputs!G$210, Inputs!G$211) &gt;= Inputs!$D155, IF(IF(Inputs!$E$207 = 2, Inputs!G$210, Inputs!G$211) &lt; Inputs!$D156, Inputs!$E155, ""), "")</f>
        <v/>
      </c>
      <c r="I153" s="7" t="str">
        <f>IF(IF(Inputs!$E$207 = 2, Inputs!H$210, Inputs!H$211) &gt;= Inputs!$D155, IF(IF(Inputs!$E$207 = 2, Inputs!H$210, Inputs!H$211) &lt; Inputs!$D156, Inputs!$E155, ""), "")</f>
        <v/>
      </c>
      <c r="J153" s="7" t="str">
        <f>IF(IF(Inputs!$E$207 = 2, Inputs!I$210, Inputs!I$211) &gt;= Inputs!$D155, IF(IF(Inputs!$E$207 = 2, Inputs!I$210, Inputs!I$211) &lt; Inputs!$D156, Inputs!$E155, ""), "")</f>
        <v/>
      </c>
      <c r="K153" s="7" t="str">
        <f>IF(IF(Inputs!$E$207 = 2, Inputs!J$210, Inputs!J$211) &gt;= Inputs!$D155, IF(IF(Inputs!$E$207 = 2, Inputs!J$210, Inputs!J$211) &lt; Inputs!$D156, Inputs!$E155, ""), "")</f>
        <v/>
      </c>
      <c r="L153" s="7" t="str">
        <f>IF(IF(Inputs!$E$207 = 2, Inputs!K$210, Inputs!K$211) &gt;= Inputs!$D155, IF(IF(Inputs!$E$207 = 2, Inputs!K$210, Inputs!K$211) &lt; Inputs!$D156, Inputs!$E155, ""), "")</f>
        <v/>
      </c>
      <c r="M153" s="7" t="str">
        <f>IF(IF(Inputs!$E$207 = 2, Inputs!L$210, Inputs!L$211) &gt;= Inputs!$D155, IF(IF(Inputs!$E$207 = 2, Inputs!L$210, Inputs!L$211) &lt; Inputs!$D156, Inputs!$E155, ""), "")</f>
        <v/>
      </c>
      <c r="N153" s="7" t="str">
        <f>IF(IF(Inputs!$E$207 = 2, Inputs!M$210, Inputs!M$211) &gt;= Inputs!$D155, IF(IF(Inputs!$E$207 = 2, Inputs!M$210, Inputs!M$211) &lt; Inputs!$D156, Inputs!$E155, ""), "")</f>
        <v/>
      </c>
      <c r="O153" s="7" t="str">
        <f>IF(IF(Inputs!$E$207 = 2, Inputs!N$210, Inputs!N$211) &gt;= Inputs!$D155, IF(IF(Inputs!$E$207 = 2, Inputs!N$210, Inputs!N$211) &lt; Inputs!$D156, Inputs!$E155, ""), "")</f>
        <v/>
      </c>
      <c r="P153" s="7" t="str">
        <f>IF(IF(Inputs!$E$207 = 2, Inputs!O$210, Inputs!O$211) &gt;= Inputs!$D155, IF(IF(Inputs!$E$207 = 2, Inputs!O$210, Inputs!O$211) &lt; Inputs!$D156, Inputs!$E155, ""), "")</f>
        <v/>
      </c>
      <c r="Q153" s="7" t="str">
        <f>IF(IF(Inputs!$E$207 = 2, Inputs!P$210, Inputs!P$211) &gt;= Inputs!$D155, IF(IF(Inputs!$E$207 = 2, Inputs!P$210, Inputs!P$211) &lt; Inputs!$D156, Inputs!$E155, ""), "")</f>
        <v/>
      </c>
      <c r="R153" s="7" t="str">
        <f>IF(IF(Inputs!$E$207 = 2, Inputs!Q$210, Inputs!Q$211) &gt;= Inputs!$D155, IF(IF(Inputs!$E$207 = 2, Inputs!Q$210, Inputs!Q$211) &lt; Inputs!$D156, Inputs!$E155, ""), "")</f>
        <v/>
      </c>
      <c r="S153" s="7" t="str">
        <f>IF(IF(Inputs!$E$207 = 2, Inputs!R$210, Inputs!R$211) &gt;= Inputs!$D155, IF(IF(Inputs!$E$207 = 2, Inputs!R$210, Inputs!R$211) &lt; Inputs!$D156, Inputs!$E155, ""), "")</f>
        <v/>
      </c>
      <c r="T153" s="7" t="str">
        <f>IF(IF(Inputs!$E$207 = 2, Inputs!S$210, Inputs!S$211) &gt;= Inputs!$D155, IF(IF(Inputs!$E$207 = 2, Inputs!S$210, Inputs!S$211) &lt; Inputs!$D156, Inputs!$E155, ""), "")</f>
        <v/>
      </c>
      <c r="U153" s="7" t="str">
        <f>IF(IF(Inputs!$E$207 = 2, Inputs!T$210, Inputs!T$211) &gt;= Inputs!$D155, IF(IF(Inputs!$E$207 = 2, Inputs!T$210, Inputs!T$211) &lt; Inputs!$D156, Inputs!$E155, ""), "")</f>
        <v/>
      </c>
      <c r="V153" s="7" t="str">
        <f>IF(IF(Inputs!$E$207 = 2, Inputs!U$210, Inputs!U$211) &gt;= Inputs!$D155, IF(IF(Inputs!$E$207 = 2, Inputs!U$210, Inputs!U$211) &lt; Inputs!$D156, Inputs!$E155, ""), "")</f>
        <v/>
      </c>
      <c r="W153" s="7" t="str">
        <f>IF(IF(Inputs!$E$207 = 2, Inputs!V$210, Inputs!V$211) &gt;= Inputs!$D155, IF(IF(Inputs!$E$207 = 2, Inputs!V$210, Inputs!V$211) &lt; Inputs!$D156, Inputs!$E155, ""), "")</f>
        <v/>
      </c>
      <c r="X153" s="7" t="str">
        <f>IF(IF(Inputs!$E$207 = 2, Inputs!W$210, Inputs!W$211) &gt;= Inputs!$D155, IF(IF(Inputs!$E$207 = 2, Inputs!W$210, Inputs!W$211) &lt; Inputs!$D156, Inputs!$E155, ""), "")</f>
        <v/>
      </c>
      <c r="Y153" s="7" t="str">
        <f>IF(IF(Inputs!$E$207 = 2, Inputs!X$210, Inputs!X$211) &gt;= Inputs!$D155, IF(IF(Inputs!$E$207 = 2, Inputs!X$210, Inputs!X$211) &lt; Inputs!$D156, Inputs!$E155, ""), "")</f>
        <v/>
      </c>
      <c r="Z153" s="7" t="str">
        <f>IF(IF(Inputs!$E$207 = 2, Inputs!Y$210, Inputs!Y$211) &gt;= Inputs!$D155, IF(IF(Inputs!$E$207 = 2, Inputs!Y$210, Inputs!Y$211) &lt; Inputs!$D156, Inputs!$E155, ""), "")</f>
        <v/>
      </c>
      <c r="AA153" s="7" t="str">
        <f>IF(IF(Inputs!$E$207 = 2, Inputs!Z$210, Inputs!Z$211) &gt;= Inputs!$D155, IF(IF(Inputs!$E$207 = 2, Inputs!Z$210, Inputs!Z$211) &lt; Inputs!$D156, Inputs!$E155, ""), "")</f>
        <v/>
      </c>
      <c r="AB153" s="7" t="str">
        <f>IF(IF(Inputs!$E$207 = 2, Inputs!AA$210, Inputs!AA$211) &gt;= Inputs!$D155, IF(IF(Inputs!$E$207 = 2, Inputs!AA$210, Inputs!AA$211) &lt; Inputs!$D156, Inputs!$E155, ""), "")</f>
        <v/>
      </c>
      <c r="AC153" s="7" t="str">
        <f>IF(IF(Inputs!$E$207 = 2, Inputs!AB$210, Inputs!AB$211) &gt;= Inputs!$D155, IF(IF(Inputs!$E$207 = 2, Inputs!AB$210, Inputs!AB$211) &lt; Inputs!$D156, Inputs!$E155, ""), "")</f>
        <v/>
      </c>
      <c r="AD153" s="7" t="str">
        <f>IF(IF(Inputs!$E$207 = 2, Inputs!AC$210, Inputs!AC$211) &gt;= Inputs!$D155, IF(IF(Inputs!$E$207 = 2, Inputs!AC$210, Inputs!AC$211) &lt; Inputs!$D156, Inputs!$E155, ""), "")</f>
        <v/>
      </c>
      <c r="AE153" s="7" t="str">
        <f>IF(IF(Inputs!$E$207 = 2, Inputs!AD$210, Inputs!AD$211) &gt;= Inputs!$D155, IF(IF(Inputs!$E$207 = 2, Inputs!AD$210, Inputs!AD$211) &lt; Inputs!$D156, Inputs!$E155, ""), "")</f>
        <v/>
      </c>
      <c r="AF153" s="7" t="str">
        <f>IF(IF(Inputs!$E$207 = 2, Inputs!AE$210, Inputs!AE$211) &gt;= Inputs!$D155, IF(IF(Inputs!$E$207 = 2, Inputs!AE$210, Inputs!AE$211) &lt; Inputs!$D156, Inputs!$E155, ""), "")</f>
        <v/>
      </c>
      <c r="AG153" s="7" t="str">
        <f>IF(IF(Inputs!$E$207 = 2, Inputs!AF$210, Inputs!AF$211) &gt;= Inputs!$D155, IF(IF(Inputs!$E$207 = 2, Inputs!AF$210, Inputs!AF$211) &lt; Inputs!$D156, Inputs!$E155, ""), "")</f>
        <v/>
      </c>
      <c r="AH153" s="7" t="str">
        <f>IF(IF(Inputs!$E$207 = 2, Inputs!AG$210, Inputs!AG$211) &gt;= Inputs!$D155, IF(IF(Inputs!$E$207 = 2, Inputs!AG$210, Inputs!AG$211) &lt; Inputs!$D156, Inputs!$E155, ""), "")</f>
        <v/>
      </c>
      <c r="AI153" s="7" t="str">
        <f>IF(IF(Inputs!$E$207 = 2, Inputs!AH$210, Inputs!AH$211) &gt;= Inputs!$D155, IF(IF(Inputs!$E$207 = 2, Inputs!AH$210, Inputs!AH$211) &lt; Inputs!$D156, Inputs!$E155, ""), "")</f>
        <v/>
      </c>
      <c r="AJ153" s="7" t="str">
        <f>IF(IF(Inputs!$E$207 = 2, Inputs!AI$210, Inputs!AI$211) &gt;= Inputs!$D155, IF(IF(Inputs!$E$207 = 2, Inputs!AI$210, Inputs!AI$211) &lt; Inputs!$D156, Inputs!$E155, ""), "")</f>
        <v/>
      </c>
      <c r="AK153" s="7" t="str">
        <f>IF(IF(Inputs!$E$207 = 2, Inputs!AJ$210, Inputs!AJ$211) &gt;= Inputs!$D155, IF(IF(Inputs!$E$207 = 2, Inputs!AJ$210, Inputs!AJ$211) &lt; Inputs!$D156, Inputs!$E155, ""), "")</f>
        <v/>
      </c>
      <c r="AL153" s="7" t="str">
        <f>IF(IF(Inputs!$E$207 = 2, Inputs!AK$210, Inputs!AK$211) &gt;= Inputs!$D155, IF(IF(Inputs!$E$207 = 2, Inputs!AK$210, Inputs!AK$211) &lt; Inputs!$D156, Inputs!$E155, ""), "")</f>
        <v/>
      </c>
      <c r="AM153" s="7" t="str">
        <f>IF(IF(Inputs!$E$207 = 2, Inputs!AL$210, Inputs!AL$211) &gt;= Inputs!$D155, IF(IF(Inputs!$E$207 = 2, Inputs!AL$210, Inputs!AL$211) &lt; Inputs!$D156, Inputs!$E155, ""), "")</f>
        <v/>
      </c>
      <c r="AN153" s="7" t="str">
        <f>IF(IF(Inputs!$E$207 = 2, Inputs!AM$210, Inputs!AM$211) &gt;= Inputs!$D155, IF(IF(Inputs!$E$207 = 2, Inputs!AM$210, Inputs!AM$211) &lt; Inputs!$D156, Inputs!$E155, ""), "")</f>
        <v/>
      </c>
      <c r="AO153" s="7" t="str">
        <f>IF(IF(Inputs!$E$207 = 2, Inputs!AN$210, Inputs!AN$211) &gt;= Inputs!$D155, IF(IF(Inputs!$E$207 = 2, Inputs!AN$210, Inputs!AN$211) &lt; Inputs!$D156, Inputs!$E155, ""), "")</f>
        <v/>
      </c>
      <c r="AP153" s="7" t="str">
        <f>IF(IF(Inputs!$E$207 = 2, Inputs!AO$210, Inputs!AO$211) &gt;= Inputs!$D155, IF(IF(Inputs!$E$207 = 2, Inputs!AO$210, Inputs!AO$211) &lt; Inputs!$D156, Inputs!$E155, ""), "")</f>
        <v/>
      </c>
      <c r="AQ153" s="7" t="str">
        <f>IF(IF(Inputs!$E$207 = 2, Inputs!AP$210, Inputs!AP$211) &gt;= Inputs!$D155, IF(IF(Inputs!$E$207 = 2, Inputs!AP$210, Inputs!AP$211) &lt; Inputs!$D156, Inputs!$E155, ""), "")</f>
        <v/>
      </c>
      <c r="AR153" s="7" t="str">
        <f>IF(IF(Inputs!$E$207 = 2, Inputs!AQ$210, Inputs!AQ$211) &gt;= Inputs!$D155, IF(IF(Inputs!$E$207 = 2, Inputs!AQ$210, Inputs!AQ$211) &lt; Inputs!$D156, Inputs!$E155, ""), "")</f>
        <v/>
      </c>
      <c r="AS153" s="7" t="str">
        <f>IF(IF(Inputs!$E$207 = 2, Inputs!AR$210, Inputs!AR$211) &gt;= Inputs!$D155, IF(IF(Inputs!$E$207 = 2, Inputs!AR$210, Inputs!AR$211) &lt; Inputs!$D156, Inputs!$E155, ""), "")</f>
        <v/>
      </c>
      <c r="AT153" s="7" t="str">
        <f>IF(IF(Inputs!$E$207 = 2, Inputs!AS$210, Inputs!AS$211) &gt;= Inputs!$D155, IF(IF(Inputs!$E$207 = 2, Inputs!AS$210, Inputs!AS$211) &lt; Inputs!$D156, Inputs!$E155, ""), "")</f>
        <v/>
      </c>
      <c r="AU153" s="7" t="str">
        <f>IF(IF(Inputs!$E$207 = 2, Inputs!AT$210, Inputs!AT$211) &gt;= Inputs!$D155, IF(IF(Inputs!$E$207 = 2, Inputs!AT$210, Inputs!AT$211) &lt; Inputs!$D156, Inputs!$E155, ""), "")</f>
        <v/>
      </c>
      <c r="AV153" s="7" t="str">
        <f>IF(IF(Inputs!$E$207 = 2, Inputs!AU$210, Inputs!AU$211) &gt;= Inputs!$D155, IF(IF(Inputs!$E$207 = 2, Inputs!AU$210, Inputs!AU$211) &lt; Inputs!$D156, Inputs!$E155, ""), "")</f>
        <v/>
      </c>
      <c r="AW153" s="7" t="str">
        <f>IF(IF(Inputs!$E$207 = 2, Inputs!AV$210, Inputs!AV$211) &gt;= Inputs!$D155, IF(IF(Inputs!$E$207 = 2, Inputs!AV$210, Inputs!AV$211) &lt; Inputs!$D156, Inputs!$E155, ""), "")</f>
        <v/>
      </c>
      <c r="AX153" s="7" t="str">
        <f>IF(IF(Inputs!$E$207 = 2, Inputs!AW$210, Inputs!AW$211) &gt;= Inputs!$D155, IF(IF(Inputs!$E$207 = 2, Inputs!AW$210, Inputs!AW$211) &lt; Inputs!$D156, Inputs!$E155, ""), "")</f>
        <v/>
      </c>
      <c r="AY153" s="7" t="str">
        <f>IF(IF(Inputs!$E$207 = 2, Inputs!AX$210, Inputs!AX$211) &gt;= Inputs!$D155, IF(IF(Inputs!$E$207 = 2, Inputs!AX$210, Inputs!AX$211) &lt; Inputs!$D156, Inputs!$E155, ""), "")</f>
        <v/>
      </c>
      <c r="AZ153" s="7" t="str">
        <f>IF(IF(Inputs!$E$207 = 2, Inputs!AY$210, Inputs!AY$211) &gt;= Inputs!$D155, IF(IF(Inputs!$E$207 = 2, Inputs!AY$210, Inputs!AY$211) &lt; Inputs!$D156, Inputs!$E155, ""), "")</f>
        <v/>
      </c>
      <c r="BA153" s="7" t="str">
        <f>IF(IF(Inputs!$E$207 = 2, Inputs!AZ$210, Inputs!AZ$211) &gt;= Inputs!$D155, IF(IF(Inputs!$E$207 = 2, Inputs!AZ$210, Inputs!AZ$211) &lt; Inputs!$D156, Inputs!$E155, ""), "")</f>
        <v/>
      </c>
      <c r="BB153" s="7" t="str">
        <f>IF(IF(Inputs!$E$207 = 2, Inputs!BA$210, Inputs!BA$211) &gt;= Inputs!$D155, IF(IF(Inputs!$E$207 = 2, Inputs!BA$210, Inputs!BA$211) &lt; Inputs!$D156, Inputs!$E155, ""), "")</f>
        <v/>
      </c>
      <c r="BC153" s="7" t="str">
        <f>IF(IF(Inputs!$E$207 = 2, Inputs!BB$210, Inputs!BB$211) &gt;= Inputs!$D155, IF(IF(Inputs!$E$207 = 2, Inputs!BB$210, Inputs!BB$211) &lt; Inputs!$D156, Inputs!$E155, ""), "")</f>
        <v/>
      </c>
      <c r="BD153" s="7" t="str">
        <f>IF(IF(Inputs!$E$207 = 2, Inputs!BC$210, Inputs!BC$211) &gt;= Inputs!$D155, IF(IF(Inputs!$E$207 = 2, Inputs!BC$210, Inputs!BC$211) &lt; Inputs!$D156, Inputs!$E155, ""), "")</f>
        <v/>
      </c>
    </row>
    <row r="154" spans="3:56" ht="15" customHeight="1">
      <c r="D154" s="109" t="s">
        <v>401</v>
      </c>
      <c r="E154" s="18" t="s">
        <v>30</v>
      </c>
      <c r="G154" s="7" t="str">
        <f>IF(IF(Inputs!$E$207 = 2, Inputs!F$210, Inputs!F$211) &gt;= Inputs!$D156, IF(IF(Inputs!$E$207 = 2, Inputs!F$210, Inputs!F$211) &lt; Inputs!$D157, Inputs!$E156, ""), "")</f>
        <v/>
      </c>
      <c r="H154" s="7" t="str">
        <f>IF(IF(Inputs!$E$207 = 2, Inputs!G$210, Inputs!G$211) &gt;= Inputs!$D156, IF(IF(Inputs!$E$207 = 2, Inputs!G$210, Inputs!G$211) &lt; Inputs!$D157, Inputs!$E156, ""), "")</f>
        <v/>
      </c>
      <c r="I154" s="7" t="str">
        <f>IF(IF(Inputs!$E$207 = 2, Inputs!H$210, Inputs!H$211) &gt;= Inputs!$D156, IF(IF(Inputs!$E$207 = 2, Inputs!H$210, Inputs!H$211) &lt; Inputs!$D157, Inputs!$E156, ""), "")</f>
        <v/>
      </c>
      <c r="J154" s="7" t="str">
        <f>IF(IF(Inputs!$E$207 = 2, Inputs!I$210, Inputs!I$211) &gt;= Inputs!$D156, IF(IF(Inputs!$E$207 = 2, Inputs!I$210, Inputs!I$211) &lt; Inputs!$D157, Inputs!$E156, ""), "")</f>
        <v/>
      </c>
      <c r="K154" s="7" t="str">
        <f>IF(IF(Inputs!$E$207 = 2, Inputs!J$210, Inputs!J$211) &gt;= Inputs!$D156, IF(IF(Inputs!$E$207 = 2, Inputs!J$210, Inputs!J$211) &lt; Inputs!$D157, Inputs!$E156, ""), "")</f>
        <v/>
      </c>
      <c r="L154" s="7" t="str">
        <f>IF(IF(Inputs!$E$207 = 2, Inputs!K$210, Inputs!K$211) &gt;= Inputs!$D156, IF(IF(Inputs!$E$207 = 2, Inputs!K$210, Inputs!K$211) &lt; Inputs!$D157, Inputs!$E156, ""), "")</f>
        <v/>
      </c>
      <c r="M154" s="7" t="str">
        <f>IF(IF(Inputs!$E$207 = 2, Inputs!L$210, Inputs!L$211) &gt;= Inputs!$D156, IF(IF(Inputs!$E$207 = 2, Inputs!L$210, Inputs!L$211) &lt; Inputs!$D157, Inputs!$E156, ""), "")</f>
        <v/>
      </c>
      <c r="N154" s="7" t="str">
        <f>IF(IF(Inputs!$E$207 = 2, Inputs!M$210, Inputs!M$211) &gt;= Inputs!$D156, IF(IF(Inputs!$E$207 = 2, Inputs!M$210, Inputs!M$211) &lt; Inputs!$D157, Inputs!$E156, ""), "")</f>
        <v/>
      </c>
      <c r="O154" s="7" t="str">
        <f>IF(IF(Inputs!$E$207 = 2, Inputs!N$210, Inputs!N$211) &gt;= Inputs!$D156, IF(IF(Inputs!$E$207 = 2, Inputs!N$210, Inputs!N$211) &lt; Inputs!$D157, Inputs!$E156, ""), "")</f>
        <v/>
      </c>
      <c r="P154" s="7" t="str">
        <f>IF(IF(Inputs!$E$207 = 2, Inputs!O$210, Inputs!O$211) &gt;= Inputs!$D156, IF(IF(Inputs!$E$207 = 2, Inputs!O$210, Inputs!O$211) &lt; Inputs!$D157, Inputs!$E156, ""), "")</f>
        <v/>
      </c>
      <c r="Q154" s="7" t="str">
        <f>IF(IF(Inputs!$E$207 = 2, Inputs!P$210, Inputs!P$211) &gt;= Inputs!$D156, IF(IF(Inputs!$E$207 = 2, Inputs!P$210, Inputs!P$211) &lt; Inputs!$D157, Inputs!$E156, ""), "")</f>
        <v/>
      </c>
      <c r="R154" s="7" t="str">
        <f>IF(IF(Inputs!$E$207 = 2, Inputs!Q$210, Inputs!Q$211) &gt;= Inputs!$D156, IF(IF(Inputs!$E$207 = 2, Inputs!Q$210, Inputs!Q$211) &lt; Inputs!$D157, Inputs!$E156, ""), "")</f>
        <v/>
      </c>
      <c r="S154" s="7" t="str">
        <f>IF(IF(Inputs!$E$207 = 2, Inputs!R$210, Inputs!R$211) &gt;= Inputs!$D156, IF(IF(Inputs!$E$207 = 2, Inputs!R$210, Inputs!R$211) &lt; Inputs!$D157, Inputs!$E156, ""), "")</f>
        <v/>
      </c>
      <c r="T154" s="7" t="str">
        <f>IF(IF(Inputs!$E$207 = 2, Inputs!S$210, Inputs!S$211) &gt;= Inputs!$D156, IF(IF(Inputs!$E$207 = 2, Inputs!S$210, Inputs!S$211) &lt; Inputs!$D157, Inputs!$E156, ""), "")</f>
        <v/>
      </c>
      <c r="U154" s="7" t="str">
        <f>IF(IF(Inputs!$E$207 = 2, Inputs!T$210, Inputs!T$211) &gt;= Inputs!$D156, IF(IF(Inputs!$E$207 = 2, Inputs!T$210, Inputs!T$211) &lt; Inputs!$D157, Inputs!$E156, ""), "")</f>
        <v/>
      </c>
      <c r="V154" s="7" t="str">
        <f>IF(IF(Inputs!$E$207 = 2, Inputs!U$210, Inputs!U$211) &gt;= Inputs!$D156, IF(IF(Inputs!$E$207 = 2, Inputs!U$210, Inputs!U$211) &lt; Inputs!$D157, Inputs!$E156, ""), "")</f>
        <v/>
      </c>
      <c r="W154" s="7" t="str">
        <f>IF(IF(Inputs!$E$207 = 2, Inputs!V$210, Inputs!V$211) &gt;= Inputs!$D156, IF(IF(Inputs!$E$207 = 2, Inputs!V$210, Inputs!V$211) &lt; Inputs!$D157, Inputs!$E156, ""), "")</f>
        <v/>
      </c>
      <c r="X154" s="7" t="str">
        <f>IF(IF(Inputs!$E$207 = 2, Inputs!W$210, Inputs!W$211) &gt;= Inputs!$D156, IF(IF(Inputs!$E$207 = 2, Inputs!W$210, Inputs!W$211) &lt; Inputs!$D157, Inputs!$E156, ""), "")</f>
        <v/>
      </c>
      <c r="Y154" s="7" t="str">
        <f>IF(IF(Inputs!$E$207 = 2, Inputs!X$210, Inputs!X$211) &gt;= Inputs!$D156, IF(IF(Inputs!$E$207 = 2, Inputs!X$210, Inputs!X$211) &lt; Inputs!$D157, Inputs!$E156, ""), "")</f>
        <v/>
      </c>
      <c r="Z154" s="7" t="str">
        <f>IF(IF(Inputs!$E$207 = 2, Inputs!Y$210, Inputs!Y$211) &gt;= Inputs!$D156, IF(IF(Inputs!$E$207 = 2, Inputs!Y$210, Inputs!Y$211) &lt; Inputs!$D157, Inputs!$E156, ""), "")</f>
        <v/>
      </c>
      <c r="AA154" s="7" t="str">
        <f>IF(IF(Inputs!$E$207 = 2, Inputs!Z$210, Inputs!Z$211) &gt;= Inputs!$D156, IF(IF(Inputs!$E$207 = 2, Inputs!Z$210, Inputs!Z$211) &lt; Inputs!$D157, Inputs!$E156, ""), "")</f>
        <v/>
      </c>
      <c r="AB154" s="7" t="str">
        <f>IF(IF(Inputs!$E$207 = 2, Inputs!AA$210, Inputs!AA$211) &gt;= Inputs!$D156, IF(IF(Inputs!$E$207 = 2, Inputs!AA$210, Inputs!AA$211) &lt; Inputs!$D157, Inputs!$E156, ""), "")</f>
        <v/>
      </c>
      <c r="AC154" s="7" t="str">
        <f>IF(IF(Inputs!$E$207 = 2, Inputs!AB$210, Inputs!AB$211) &gt;= Inputs!$D156, IF(IF(Inputs!$E$207 = 2, Inputs!AB$210, Inputs!AB$211) &lt; Inputs!$D157, Inputs!$E156, ""), "")</f>
        <v/>
      </c>
      <c r="AD154" s="7" t="str">
        <f>IF(IF(Inputs!$E$207 = 2, Inputs!AC$210, Inputs!AC$211) &gt;= Inputs!$D156, IF(IF(Inputs!$E$207 = 2, Inputs!AC$210, Inputs!AC$211) &lt; Inputs!$D157, Inputs!$E156, ""), "")</f>
        <v/>
      </c>
      <c r="AE154" s="7" t="str">
        <f>IF(IF(Inputs!$E$207 = 2, Inputs!AD$210, Inputs!AD$211) &gt;= Inputs!$D156, IF(IF(Inputs!$E$207 = 2, Inputs!AD$210, Inputs!AD$211) &lt; Inputs!$D157, Inputs!$E156, ""), "")</f>
        <v/>
      </c>
      <c r="AF154" s="7" t="str">
        <f>IF(IF(Inputs!$E$207 = 2, Inputs!AE$210, Inputs!AE$211) &gt;= Inputs!$D156, IF(IF(Inputs!$E$207 = 2, Inputs!AE$210, Inputs!AE$211) &lt; Inputs!$D157, Inputs!$E156, ""), "")</f>
        <v/>
      </c>
      <c r="AG154" s="7" t="str">
        <f>IF(IF(Inputs!$E$207 = 2, Inputs!AF$210, Inputs!AF$211) &gt;= Inputs!$D156, IF(IF(Inputs!$E$207 = 2, Inputs!AF$210, Inputs!AF$211) &lt; Inputs!$D157, Inputs!$E156, ""), "")</f>
        <v/>
      </c>
      <c r="AH154" s="7" t="str">
        <f>IF(IF(Inputs!$E$207 = 2, Inputs!AG$210, Inputs!AG$211) &gt;= Inputs!$D156, IF(IF(Inputs!$E$207 = 2, Inputs!AG$210, Inputs!AG$211) &lt; Inputs!$D157, Inputs!$E156, ""), "")</f>
        <v/>
      </c>
      <c r="AI154" s="7" t="str">
        <f>IF(IF(Inputs!$E$207 = 2, Inputs!AH$210, Inputs!AH$211) &gt;= Inputs!$D156, IF(IF(Inputs!$E$207 = 2, Inputs!AH$210, Inputs!AH$211) &lt; Inputs!$D157, Inputs!$E156, ""), "")</f>
        <v/>
      </c>
      <c r="AJ154" s="7" t="str">
        <f>IF(IF(Inputs!$E$207 = 2, Inputs!AI$210, Inputs!AI$211) &gt;= Inputs!$D156, IF(IF(Inputs!$E$207 = 2, Inputs!AI$210, Inputs!AI$211) &lt; Inputs!$D157, Inputs!$E156, ""), "")</f>
        <v/>
      </c>
      <c r="AK154" s="7" t="str">
        <f>IF(IF(Inputs!$E$207 = 2, Inputs!AJ$210, Inputs!AJ$211) &gt;= Inputs!$D156, IF(IF(Inputs!$E$207 = 2, Inputs!AJ$210, Inputs!AJ$211) &lt; Inputs!$D157, Inputs!$E156, ""), "")</f>
        <v/>
      </c>
      <c r="AL154" s="7" t="str">
        <f>IF(IF(Inputs!$E$207 = 2, Inputs!AK$210, Inputs!AK$211) &gt;= Inputs!$D156, IF(IF(Inputs!$E$207 = 2, Inputs!AK$210, Inputs!AK$211) &lt; Inputs!$D157, Inputs!$E156, ""), "")</f>
        <v/>
      </c>
      <c r="AM154" s="7" t="str">
        <f>IF(IF(Inputs!$E$207 = 2, Inputs!AL$210, Inputs!AL$211) &gt;= Inputs!$D156, IF(IF(Inputs!$E$207 = 2, Inputs!AL$210, Inputs!AL$211) &lt; Inputs!$D157, Inputs!$E156, ""), "")</f>
        <v/>
      </c>
      <c r="AN154" s="7" t="str">
        <f>IF(IF(Inputs!$E$207 = 2, Inputs!AM$210, Inputs!AM$211) &gt;= Inputs!$D156, IF(IF(Inputs!$E$207 = 2, Inputs!AM$210, Inputs!AM$211) &lt; Inputs!$D157, Inputs!$E156, ""), "")</f>
        <v/>
      </c>
      <c r="AO154" s="7" t="str">
        <f>IF(IF(Inputs!$E$207 = 2, Inputs!AN$210, Inputs!AN$211) &gt;= Inputs!$D156, IF(IF(Inputs!$E$207 = 2, Inputs!AN$210, Inputs!AN$211) &lt; Inputs!$D157, Inputs!$E156, ""), "")</f>
        <v/>
      </c>
      <c r="AP154" s="7" t="str">
        <f>IF(IF(Inputs!$E$207 = 2, Inputs!AO$210, Inputs!AO$211) &gt;= Inputs!$D156, IF(IF(Inputs!$E$207 = 2, Inputs!AO$210, Inputs!AO$211) &lt; Inputs!$D157, Inputs!$E156, ""), "")</f>
        <v/>
      </c>
      <c r="AQ154" s="7" t="str">
        <f>IF(IF(Inputs!$E$207 = 2, Inputs!AP$210, Inputs!AP$211) &gt;= Inputs!$D156, IF(IF(Inputs!$E$207 = 2, Inputs!AP$210, Inputs!AP$211) &lt; Inputs!$D157, Inputs!$E156, ""), "")</f>
        <v/>
      </c>
      <c r="AR154" s="7" t="str">
        <f>IF(IF(Inputs!$E$207 = 2, Inputs!AQ$210, Inputs!AQ$211) &gt;= Inputs!$D156, IF(IF(Inputs!$E$207 = 2, Inputs!AQ$210, Inputs!AQ$211) &lt; Inputs!$D157, Inputs!$E156, ""), "")</f>
        <v/>
      </c>
      <c r="AS154" s="7" t="str">
        <f>IF(IF(Inputs!$E$207 = 2, Inputs!AR$210, Inputs!AR$211) &gt;= Inputs!$D156, IF(IF(Inputs!$E$207 = 2, Inputs!AR$210, Inputs!AR$211) &lt; Inputs!$D157, Inputs!$E156, ""), "")</f>
        <v/>
      </c>
      <c r="AT154" s="7" t="str">
        <f>IF(IF(Inputs!$E$207 = 2, Inputs!AS$210, Inputs!AS$211) &gt;= Inputs!$D156, IF(IF(Inputs!$E$207 = 2, Inputs!AS$210, Inputs!AS$211) &lt; Inputs!$D157, Inputs!$E156, ""), "")</f>
        <v/>
      </c>
      <c r="AU154" s="7" t="str">
        <f>IF(IF(Inputs!$E$207 = 2, Inputs!AT$210, Inputs!AT$211) &gt;= Inputs!$D156, IF(IF(Inputs!$E$207 = 2, Inputs!AT$210, Inputs!AT$211) &lt; Inputs!$D157, Inputs!$E156, ""), "")</f>
        <v/>
      </c>
      <c r="AV154" s="7" t="str">
        <f>IF(IF(Inputs!$E$207 = 2, Inputs!AU$210, Inputs!AU$211) &gt;= Inputs!$D156, IF(IF(Inputs!$E$207 = 2, Inputs!AU$210, Inputs!AU$211) &lt; Inputs!$D157, Inputs!$E156, ""), "")</f>
        <v/>
      </c>
      <c r="AW154" s="7" t="str">
        <f>IF(IF(Inputs!$E$207 = 2, Inputs!AV$210, Inputs!AV$211) &gt;= Inputs!$D156, IF(IF(Inputs!$E$207 = 2, Inputs!AV$210, Inputs!AV$211) &lt; Inputs!$D157, Inputs!$E156, ""), "")</f>
        <v/>
      </c>
      <c r="AX154" s="7" t="str">
        <f>IF(IF(Inputs!$E$207 = 2, Inputs!AW$210, Inputs!AW$211) &gt;= Inputs!$D156, IF(IF(Inputs!$E$207 = 2, Inputs!AW$210, Inputs!AW$211) &lt; Inputs!$D157, Inputs!$E156, ""), "")</f>
        <v/>
      </c>
      <c r="AY154" s="7" t="str">
        <f>IF(IF(Inputs!$E$207 = 2, Inputs!AX$210, Inputs!AX$211) &gt;= Inputs!$D156, IF(IF(Inputs!$E$207 = 2, Inputs!AX$210, Inputs!AX$211) &lt; Inputs!$D157, Inputs!$E156, ""), "")</f>
        <v/>
      </c>
      <c r="AZ154" s="7" t="str">
        <f>IF(IF(Inputs!$E$207 = 2, Inputs!AY$210, Inputs!AY$211) &gt;= Inputs!$D156, IF(IF(Inputs!$E$207 = 2, Inputs!AY$210, Inputs!AY$211) &lt; Inputs!$D157, Inputs!$E156, ""), "")</f>
        <v/>
      </c>
      <c r="BA154" s="7" t="str">
        <f>IF(IF(Inputs!$E$207 = 2, Inputs!AZ$210, Inputs!AZ$211) &gt;= Inputs!$D156, IF(IF(Inputs!$E$207 = 2, Inputs!AZ$210, Inputs!AZ$211) &lt; Inputs!$D157, Inputs!$E156, ""), "")</f>
        <v/>
      </c>
      <c r="BB154" s="7" t="str">
        <f>IF(IF(Inputs!$E$207 = 2, Inputs!BA$210, Inputs!BA$211) &gt;= Inputs!$D156, IF(IF(Inputs!$E$207 = 2, Inputs!BA$210, Inputs!BA$211) &lt; Inputs!$D157, Inputs!$E156, ""), "")</f>
        <v/>
      </c>
      <c r="BC154" s="7" t="str">
        <f>IF(IF(Inputs!$E$207 = 2, Inputs!BB$210, Inputs!BB$211) &gt;= Inputs!$D156, IF(IF(Inputs!$E$207 = 2, Inputs!BB$210, Inputs!BB$211) &lt; Inputs!$D157, Inputs!$E156, ""), "")</f>
        <v/>
      </c>
      <c r="BD154" s="7" t="str">
        <f>IF(IF(Inputs!$E$207 = 2, Inputs!BC$210, Inputs!BC$211) &gt;= Inputs!$D156, IF(IF(Inputs!$E$207 = 2, Inputs!BC$210, Inputs!BC$211) &lt; Inputs!$D157, Inputs!$E156, ""), "")</f>
        <v/>
      </c>
    </row>
    <row r="155" spans="3:56" ht="15" customHeight="1">
      <c r="D155" s="109" t="s">
        <v>402</v>
      </c>
      <c r="E155" s="18" t="s">
        <v>30</v>
      </c>
      <c r="G155" s="7" t="str">
        <f>IF(IF(Inputs!$E$207 = 2, Inputs!F$210, Inputs!F$211) &gt;= Inputs!$D157, IF(IF(Inputs!$E$207 = 2, Inputs!F$210, Inputs!F$211) &lt; Inputs!$D158, Inputs!$E157, ""), "")</f>
        <v/>
      </c>
      <c r="H155" s="7" t="str">
        <f>IF(IF(Inputs!$E$207 = 2, Inputs!G$210, Inputs!G$211) &gt;= Inputs!$D157, IF(IF(Inputs!$E$207 = 2, Inputs!G$210, Inputs!G$211) &lt; Inputs!$D158, Inputs!$E157, ""), "")</f>
        <v/>
      </c>
      <c r="I155" s="7" t="str">
        <f>IF(IF(Inputs!$E$207 = 2, Inputs!H$210, Inputs!H$211) &gt;= Inputs!$D157, IF(IF(Inputs!$E$207 = 2, Inputs!H$210, Inputs!H$211) &lt; Inputs!$D158, Inputs!$E157, ""), "")</f>
        <v/>
      </c>
      <c r="J155" s="7" t="str">
        <f>IF(IF(Inputs!$E$207 = 2, Inputs!I$210, Inputs!I$211) &gt;= Inputs!$D157, IF(IF(Inputs!$E$207 = 2, Inputs!I$210, Inputs!I$211) &lt; Inputs!$D158, Inputs!$E157, ""), "")</f>
        <v/>
      </c>
      <c r="K155" s="7" t="str">
        <f>IF(IF(Inputs!$E$207 = 2, Inputs!J$210, Inputs!J$211) &gt;= Inputs!$D157, IF(IF(Inputs!$E$207 = 2, Inputs!J$210, Inputs!J$211) &lt; Inputs!$D158, Inputs!$E157, ""), "")</f>
        <v/>
      </c>
      <c r="L155" s="7" t="str">
        <f>IF(IF(Inputs!$E$207 = 2, Inputs!K$210, Inputs!K$211) &gt;= Inputs!$D157, IF(IF(Inputs!$E$207 = 2, Inputs!K$210, Inputs!K$211) &lt; Inputs!$D158, Inputs!$E157, ""), "")</f>
        <v/>
      </c>
      <c r="M155" s="7" t="str">
        <f>IF(IF(Inputs!$E$207 = 2, Inputs!L$210, Inputs!L$211) &gt;= Inputs!$D157, IF(IF(Inputs!$E$207 = 2, Inputs!L$210, Inputs!L$211) &lt; Inputs!$D158, Inputs!$E157, ""), "")</f>
        <v/>
      </c>
      <c r="N155" s="7" t="str">
        <f>IF(IF(Inputs!$E$207 = 2, Inputs!M$210, Inputs!M$211) &gt;= Inputs!$D157, IF(IF(Inputs!$E$207 = 2, Inputs!M$210, Inputs!M$211) &lt; Inputs!$D158, Inputs!$E157, ""), "")</f>
        <v/>
      </c>
      <c r="O155" s="7" t="str">
        <f>IF(IF(Inputs!$E$207 = 2, Inputs!N$210, Inputs!N$211) &gt;= Inputs!$D157, IF(IF(Inputs!$E$207 = 2, Inputs!N$210, Inputs!N$211) &lt; Inputs!$D158, Inputs!$E157, ""), "")</f>
        <v/>
      </c>
      <c r="P155" s="7" t="str">
        <f>IF(IF(Inputs!$E$207 = 2, Inputs!O$210, Inputs!O$211) &gt;= Inputs!$D157, IF(IF(Inputs!$E$207 = 2, Inputs!O$210, Inputs!O$211) &lt; Inputs!$D158, Inputs!$E157, ""), "")</f>
        <v/>
      </c>
      <c r="Q155" s="7" t="str">
        <f>IF(IF(Inputs!$E$207 = 2, Inputs!P$210, Inputs!P$211) &gt;= Inputs!$D157, IF(IF(Inputs!$E$207 = 2, Inputs!P$210, Inputs!P$211) &lt; Inputs!$D158, Inputs!$E157, ""), "")</f>
        <v/>
      </c>
      <c r="R155" s="7" t="str">
        <f>IF(IF(Inputs!$E$207 = 2, Inputs!Q$210, Inputs!Q$211) &gt;= Inputs!$D157, IF(IF(Inputs!$E$207 = 2, Inputs!Q$210, Inputs!Q$211) &lt; Inputs!$D158, Inputs!$E157, ""), "")</f>
        <v/>
      </c>
      <c r="S155" s="7" t="str">
        <f>IF(IF(Inputs!$E$207 = 2, Inputs!R$210, Inputs!R$211) &gt;= Inputs!$D157, IF(IF(Inputs!$E$207 = 2, Inputs!R$210, Inputs!R$211) &lt; Inputs!$D158, Inputs!$E157, ""), "")</f>
        <v/>
      </c>
      <c r="T155" s="7" t="str">
        <f>IF(IF(Inputs!$E$207 = 2, Inputs!S$210, Inputs!S$211) &gt;= Inputs!$D157, IF(IF(Inputs!$E$207 = 2, Inputs!S$210, Inputs!S$211) &lt; Inputs!$D158, Inputs!$E157, ""), "")</f>
        <v/>
      </c>
      <c r="U155" s="7" t="str">
        <f>IF(IF(Inputs!$E$207 = 2, Inputs!T$210, Inputs!T$211) &gt;= Inputs!$D157, IF(IF(Inputs!$E$207 = 2, Inputs!T$210, Inputs!T$211) &lt; Inputs!$D158, Inputs!$E157, ""), "")</f>
        <v/>
      </c>
      <c r="V155" s="7" t="str">
        <f>IF(IF(Inputs!$E$207 = 2, Inputs!U$210, Inputs!U$211) &gt;= Inputs!$D157, IF(IF(Inputs!$E$207 = 2, Inputs!U$210, Inputs!U$211) &lt; Inputs!$D158, Inputs!$E157, ""), "")</f>
        <v/>
      </c>
      <c r="W155" s="7" t="str">
        <f>IF(IF(Inputs!$E$207 = 2, Inputs!V$210, Inputs!V$211) &gt;= Inputs!$D157, IF(IF(Inputs!$E$207 = 2, Inputs!V$210, Inputs!V$211) &lt; Inputs!$D158, Inputs!$E157, ""), "")</f>
        <v/>
      </c>
      <c r="X155" s="7" t="str">
        <f>IF(IF(Inputs!$E$207 = 2, Inputs!W$210, Inputs!W$211) &gt;= Inputs!$D157, IF(IF(Inputs!$E$207 = 2, Inputs!W$210, Inputs!W$211) &lt; Inputs!$D158, Inputs!$E157, ""), "")</f>
        <v/>
      </c>
      <c r="Y155" s="7" t="str">
        <f>IF(IF(Inputs!$E$207 = 2, Inputs!X$210, Inputs!X$211) &gt;= Inputs!$D157, IF(IF(Inputs!$E$207 = 2, Inputs!X$210, Inputs!X$211) &lt; Inputs!$D158, Inputs!$E157, ""), "")</f>
        <v/>
      </c>
      <c r="Z155" s="7" t="str">
        <f>IF(IF(Inputs!$E$207 = 2, Inputs!Y$210, Inputs!Y$211) &gt;= Inputs!$D157, IF(IF(Inputs!$E$207 = 2, Inputs!Y$210, Inputs!Y$211) &lt; Inputs!$D158, Inputs!$E157, ""), "")</f>
        <v/>
      </c>
      <c r="AA155" s="7" t="str">
        <f>IF(IF(Inputs!$E$207 = 2, Inputs!Z$210, Inputs!Z$211) &gt;= Inputs!$D157, IF(IF(Inputs!$E$207 = 2, Inputs!Z$210, Inputs!Z$211) &lt; Inputs!$D158, Inputs!$E157, ""), "")</f>
        <v/>
      </c>
      <c r="AB155" s="7" t="str">
        <f>IF(IF(Inputs!$E$207 = 2, Inputs!AA$210, Inputs!AA$211) &gt;= Inputs!$D157, IF(IF(Inputs!$E$207 = 2, Inputs!AA$210, Inputs!AA$211) &lt; Inputs!$D158, Inputs!$E157, ""), "")</f>
        <v/>
      </c>
      <c r="AC155" s="7" t="str">
        <f>IF(IF(Inputs!$E$207 = 2, Inputs!AB$210, Inputs!AB$211) &gt;= Inputs!$D157, IF(IF(Inputs!$E$207 = 2, Inputs!AB$210, Inputs!AB$211) &lt; Inputs!$D158, Inputs!$E157, ""), "")</f>
        <v/>
      </c>
      <c r="AD155" s="7" t="str">
        <f>IF(IF(Inputs!$E$207 = 2, Inputs!AC$210, Inputs!AC$211) &gt;= Inputs!$D157, IF(IF(Inputs!$E$207 = 2, Inputs!AC$210, Inputs!AC$211) &lt; Inputs!$D158, Inputs!$E157, ""), "")</f>
        <v/>
      </c>
      <c r="AE155" s="7" t="str">
        <f>IF(IF(Inputs!$E$207 = 2, Inputs!AD$210, Inputs!AD$211) &gt;= Inputs!$D157, IF(IF(Inputs!$E$207 = 2, Inputs!AD$210, Inputs!AD$211) &lt; Inputs!$D158, Inputs!$E157, ""), "")</f>
        <v/>
      </c>
      <c r="AF155" s="7" t="str">
        <f>IF(IF(Inputs!$E$207 = 2, Inputs!AE$210, Inputs!AE$211) &gt;= Inputs!$D157, IF(IF(Inputs!$E$207 = 2, Inputs!AE$210, Inputs!AE$211) &lt; Inputs!$D158, Inputs!$E157, ""), "")</f>
        <v/>
      </c>
      <c r="AG155" s="7" t="str">
        <f>IF(IF(Inputs!$E$207 = 2, Inputs!AF$210, Inputs!AF$211) &gt;= Inputs!$D157, IF(IF(Inputs!$E$207 = 2, Inputs!AF$210, Inputs!AF$211) &lt; Inputs!$D158, Inputs!$E157, ""), "")</f>
        <v/>
      </c>
      <c r="AH155" s="7" t="str">
        <f>IF(IF(Inputs!$E$207 = 2, Inputs!AG$210, Inputs!AG$211) &gt;= Inputs!$D157, IF(IF(Inputs!$E$207 = 2, Inputs!AG$210, Inputs!AG$211) &lt; Inputs!$D158, Inputs!$E157, ""), "")</f>
        <v/>
      </c>
      <c r="AI155" s="7" t="str">
        <f>IF(IF(Inputs!$E$207 = 2, Inputs!AH$210, Inputs!AH$211) &gt;= Inputs!$D157, IF(IF(Inputs!$E$207 = 2, Inputs!AH$210, Inputs!AH$211) &lt; Inputs!$D158, Inputs!$E157, ""), "")</f>
        <v/>
      </c>
      <c r="AJ155" s="7" t="str">
        <f>IF(IF(Inputs!$E$207 = 2, Inputs!AI$210, Inputs!AI$211) &gt;= Inputs!$D157, IF(IF(Inputs!$E$207 = 2, Inputs!AI$210, Inputs!AI$211) &lt; Inputs!$D158, Inputs!$E157, ""), "")</f>
        <v/>
      </c>
      <c r="AK155" s="7" t="str">
        <f>IF(IF(Inputs!$E$207 = 2, Inputs!AJ$210, Inputs!AJ$211) &gt;= Inputs!$D157, IF(IF(Inputs!$E$207 = 2, Inputs!AJ$210, Inputs!AJ$211) &lt; Inputs!$D158, Inputs!$E157, ""), "")</f>
        <v/>
      </c>
      <c r="AL155" s="7" t="str">
        <f>IF(IF(Inputs!$E$207 = 2, Inputs!AK$210, Inputs!AK$211) &gt;= Inputs!$D157, IF(IF(Inputs!$E$207 = 2, Inputs!AK$210, Inputs!AK$211) &lt; Inputs!$D158, Inputs!$E157, ""), "")</f>
        <v/>
      </c>
      <c r="AM155" s="7" t="str">
        <f>IF(IF(Inputs!$E$207 = 2, Inputs!AL$210, Inputs!AL$211) &gt;= Inputs!$D157, IF(IF(Inputs!$E$207 = 2, Inputs!AL$210, Inputs!AL$211) &lt; Inputs!$D158, Inputs!$E157, ""), "")</f>
        <v/>
      </c>
      <c r="AN155" s="7" t="str">
        <f>IF(IF(Inputs!$E$207 = 2, Inputs!AM$210, Inputs!AM$211) &gt;= Inputs!$D157, IF(IF(Inputs!$E$207 = 2, Inputs!AM$210, Inputs!AM$211) &lt; Inputs!$D158, Inputs!$E157, ""), "")</f>
        <v/>
      </c>
      <c r="AO155" s="7" t="str">
        <f>IF(IF(Inputs!$E$207 = 2, Inputs!AN$210, Inputs!AN$211) &gt;= Inputs!$D157, IF(IF(Inputs!$E$207 = 2, Inputs!AN$210, Inputs!AN$211) &lt; Inputs!$D158, Inputs!$E157, ""), "")</f>
        <v/>
      </c>
      <c r="AP155" s="7" t="str">
        <f>IF(IF(Inputs!$E$207 = 2, Inputs!AO$210, Inputs!AO$211) &gt;= Inputs!$D157, IF(IF(Inputs!$E$207 = 2, Inputs!AO$210, Inputs!AO$211) &lt; Inputs!$D158, Inputs!$E157, ""), "")</f>
        <v/>
      </c>
      <c r="AQ155" s="7" t="str">
        <f>IF(IF(Inputs!$E$207 = 2, Inputs!AP$210, Inputs!AP$211) &gt;= Inputs!$D157, IF(IF(Inputs!$E$207 = 2, Inputs!AP$210, Inputs!AP$211) &lt; Inputs!$D158, Inputs!$E157, ""), "")</f>
        <v/>
      </c>
      <c r="AR155" s="7" t="str">
        <f>IF(IF(Inputs!$E$207 = 2, Inputs!AQ$210, Inputs!AQ$211) &gt;= Inputs!$D157, IF(IF(Inputs!$E$207 = 2, Inputs!AQ$210, Inputs!AQ$211) &lt; Inputs!$D158, Inputs!$E157, ""), "")</f>
        <v/>
      </c>
      <c r="AS155" s="7" t="str">
        <f>IF(IF(Inputs!$E$207 = 2, Inputs!AR$210, Inputs!AR$211) &gt;= Inputs!$D157, IF(IF(Inputs!$E$207 = 2, Inputs!AR$210, Inputs!AR$211) &lt; Inputs!$D158, Inputs!$E157, ""), "")</f>
        <v/>
      </c>
      <c r="AT155" s="7" t="str">
        <f>IF(IF(Inputs!$E$207 = 2, Inputs!AS$210, Inputs!AS$211) &gt;= Inputs!$D157, IF(IF(Inputs!$E$207 = 2, Inputs!AS$210, Inputs!AS$211) &lt; Inputs!$D158, Inputs!$E157, ""), "")</f>
        <v/>
      </c>
      <c r="AU155" s="7" t="str">
        <f>IF(IF(Inputs!$E$207 = 2, Inputs!AT$210, Inputs!AT$211) &gt;= Inputs!$D157, IF(IF(Inputs!$E$207 = 2, Inputs!AT$210, Inputs!AT$211) &lt; Inputs!$D158, Inputs!$E157, ""), "")</f>
        <v/>
      </c>
      <c r="AV155" s="7" t="str">
        <f>IF(IF(Inputs!$E$207 = 2, Inputs!AU$210, Inputs!AU$211) &gt;= Inputs!$D157, IF(IF(Inputs!$E$207 = 2, Inputs!AU$210, Inputs!AU$211) &lt; Inputs!$D158, Inputs!$E157, ""), "")</f>
        <v/>
      </c>
      <c r="AW155" s="7" t="str">
        <f>IF(IF(Inputs!$E$207 = 2, Inputs!AV$210, Inputs!AV$211) &gt;= Inputs!$D157, IF(IF(Inputs!$E$207 = 2, Inputs!AV$210, Inputs!AV$211) &lt; Inputs!$D158, Inputs!$E157, ""), "")</f>
        <v/>
      </c>
      <c r="AX155" s="7" t="str">
        <f>IF(IF(Inputs!$E$207 = 2, Inputs!AW$210, Inputs!AW$211) &gt;= Inputs!$D157, IF(IF(Inputs!$E$207 = 2, Inputs!AW$210, Inputs!AW$211) &lt; Inputs!$D158, Inputs!$E157, ""), "")</f>
        <v/>
      </c>
      <c r="AY155" s="7" t="str">
        <f>IF(IF(Inputs!$E$207 = 2, Inputs!AX$210, Inputs!AX$211) &gt;= Inputs!$D157, IF(IF(Inputs!$E$207 = 2, Inputs!AX$210, Inputs!AX$211) &lt; Inputs!$D158, Inputs!$E157, ""), "")</f>
        <v/>
      </c>
      <c r="AZ155" s="7" t="str">
        <f>IF(IF(Inputs!$E$207 = 2, Inputs!AY$210, Inputs!AY$211) &gt;= Inputs!$D157, IF(IF(Inputs!$E$207 = 2, Inputs!AY$210, Inputs!AY$211) &lt; Inputs!$D158, Inputs!$E157, ""), "")</f>
        <v/>
      </c>
      <c r="BA155" s="7" t="str">
        <f>IF(IF(Inputs!$E$207 = 2, Inputs!AZ$210, Inputs!AZ$211) &gt;= Inputs!$D157, IF(IF(Inputs!$E$207 = 2, Inputs!AZ$210, Inputs!AZ$211) &lt; Inputs!$D158, Inputs!$E157, ""), "")</f>
        <v/>
      </c>
      <c r="BB155" s="7" t="str">
        <f>IF(IF(Inputs!$E$207 = 2, Inputs!BA$210, Inputs!BA$211) &gt;= Inputs!$D157, IF(IF(Inputs!$E$207 = 2, Inputs!BA$210, Inputs!BA$211) &lt; Inputs!$D158, Inputs!$E157, ""), "")</f>
        <v/>
      </c>
      <c r="BC155" s="7" t="str">
        <f>IF(IF(Inputs!$E$207 = 2, Inputs!BB$210, Inputs!BB$211) &gt;= Inputs!$D157, IF(IF(Inputs!$E$207 = 2, Inputs!BB$210, Inputs!BB$211) &lt; Inputs!$D158, Inputs!$E157, ""), "")</f>
        <v/>
      </c>
      <c r="BD155" s="7" t="str">
        <f>IF(IF(Inputs!$E$207 = 2, Inputs!BC$210, Inputs!BC$211) &gt;= Inputs!$D157, IF(IF(Inputs!$E$207 = 2, Inputs!BC$210, Inputs!BC$211) &lt; Inputs!$D158, Inputs!$E157, ""), "")</f>
        <v/>
      </c>
    </row>
    <row r="156" spans="3:56" ht="15" customHeight="1">
      <c r="D156" s="109" t="s">
        <v>403</v>
      </c>
      <c r="E156" s="18" t="s">
        <v>30</v>
      </c>
      <c r="G156" s="7" t="str">
        <f>IF(IF(Inputs!$E$207 = 2, Inputs!F$210, Inputs!F$211) &gt;= Inputs!$D158, IF(IF(Inputs!$E$207 = 2, Inputs!F$210, Inputs!F$211) &lt; Inputs!$D159, Inputs!$E158, ""), "")</f>
        <v/>
      </c>
      <c r="H156" s="7" t="str">
        <f>IF(IF(Inputs!$E$207 = 2, Inputs!G$210, Inputs!G$211) &gt;= Inputs!$D158, IF(IF(Inputs!$E$207 = 2, Inputs!G$210, Inputs!G$211) &lt; Inputs!$D159, Inputs!$E158, ""), "")</f>
        <v/>
      </c>
      <c r="I156" s="7" t="str">
        <f>IF(IF(Inputs!$E$207 = 2, Inputs!H$210, Inputs!H$211) &gt;= Inputs!$D158, IF(IF(Inputs!$E$207 = 2, Inputs!H$210, Inputs!H$211) &lt; Inputs!$D159, Inputs!$E158, ""), "")</f>
        <v/>
      </c>
      <c r="J156" s="7" t="str">
        <f>IF(IF(Inputs!$E$207 = 2, Inputs!I$210, Inputs!I$211) &gt;= Inputs!$D158, IF(IF(Inputs!$E$207 = 2, Inputs!I$210, Inputs!I$211) &lt; Inputs!$D159, Inputs!$E158, ""), "")</f>
        <v/>
      </c>
      <c r="K156" s="7" t="str">
        <f>IF(IF(Inputs!$E$207 = 2, Inputs!J$210, Inputs!J$211) &gt;= Inputs!$D158, IF(IF(Inputs!$E$207 = 2, Inputs!J$210, Inputs!J$211) &lt; Inputs!$D159, Inputs!$E158, ""), "")</f>
        <v/>
      </c>
      <c r="L156" s="7" t="str">
        <f>IF(IF(Inputs!$E$207 = 2, Inputs!K$210, Inputs!K$211) &gt;= Inputs!$D158, IF(IF(Inputs!$E$207 = 2, Inputs!K$210, Inputs!K$211) &lt; Inputs!$D159, Inputs!$E158, ""), "")</f>
        <v/>
      </c>
      <c r="M156" s="7" t="str">
        <f>IF(IF(Inputs!$E$207 = 2, Inputs!L$210, Inputs!L$211) &gt;= Inputs!$D158, IF(IF(Inputs!$E$207 = 2, Inputs!L$210, Inputs!L$211) &lt; Inputs!$D159, Inputs!$E158, ""), "")</f>
        <v/>
      </c>
      <c r="N156" s="7" t="str">
        <f>IF(IF(Inputs!$E$207 = 2, Inputs!M$210, Inputs!M$211) &gt;= Inputs!$D158, IF(IF(Inputs!$E$207 = 2, Inputs!M$210, Inputs!M$211) &lt; Inputs!$D159, Inputs!$E158, ""), "")</f>
        <v/>
      </c>
      <c r="O156" s="7" t="str">
        <f>IF(IF(Inputs!$E$207 = 2, Inputs!N$210, Inputs!N$211) &gt;= Inputs!$D158, IF(IF(Inputs!$E$207 = 2, Inputs!N$210, Inputs!N$211) &lt; Inputs!$D159, Inputs!$E158, ""), "")</f>
        <v/>
      </c>
      <c r="P156" s="7" t="str">
        <f>IF(IF(Inputs!$E$207 = 2, Inputs!O$210, Inputs!O$211) &gt;= Inputs!$D158, IF(IF(Inputs!$E$207 = 2, Inputs!O$210, Inputs!O$211) &lt; Inputs!$D159, Inputs!$E158, ""), "")</f>
        <v/>
      </c>
      <c r="Q156" s="7" t="str">
        <f>IF(IF(Inputs!$E$207 = 2, Inputs!P$210, Inputs!P$211) &gt;= Inputs!$D158, IF(IF(Inputs!$E$207 = 2, Inputs!P$210, Inputs!P$211) &lt; Inputs!$D159, Inputs!$E158, ""), "")</f>
        <v/>
      </c>
      <c r="R156" s="7" t="str">
        <f>IF(IF(Inputs!$E$207 = 2, Inputs!Q$210, Inputs!Q$211) &gt;= Inputs!$D158, IF(IF(Inputs!$E$207 = 2, Inputs!Q$210, Inputs!Q$211) &lt; Inputs!$D159, Inputs!$E158, ""), "")</f>
        <v/>
      </c>
      <c r="S156" s="7" t="str">
        <f>IF(IF(Inputs!$E$207 = 2, Inputs!R$210, Inputs!R$211) &gt;= Inputs!$D158, IF(IF(Inputs!$E$207 = 2, Inputs!R$210, Inputs!R$211) &lt; Inputs!$D159, Inputs!$E158, ""), "")</f>
        <v/>
      </c>
      <c r="T156" s="7" t="str">
        <f>IF(IF(Inputs!$E$207 = 2, Inputs!S$210, Inputs!S$211) &gt;= Inputs!$D158, IF(IF(Inputs!$E$207 = 2, Inputs!S$210, Inputs!S$211) &lt; Inputs!$D159, Inputs!$E158, ""), "")</f>
        <v/>
      </c>
      <c r="U156" s="7" t="str">
        <f>IF(IF(Inputs!$E$207 = 2, Inputs!T$210, Inputs!T$211) &gt;= Inputs!$D158, IF(IF(Inputs!$E$207 = 2, Inputs!T$210, Inputs!T$211) &lt; Inputs!$D159, Inputs!$E158, ""), "")</f>
        <v/>
      </c>
      <c r="V156" s="7" t="str">
        <f>IF(IF(Inputs!$E$207 = 2, Inputs!U$210, Inputs!U$211) &gt;= Inputs!$D158, IF(IF(Inputs!$E$207 = 2, Inputs!U$210, Inputs!U$211) &lt; Inputs!$D159, Inputs!$E158, ""), "")</f>
        <v/>
      </c>
      <c r="W156" s="7" t="str">
        <f>IF(IF(Inputs!$E$207 = 2, Inputs!V$210, Inputs!V$211) &gt;= Inputs!$D158, IF(IF(Inputs!$E$207 = 2, Inputs!V$210, Inputs!V$211) &lt; Inputs!$D159, Inputs!$E158, ""), "")</f>
        <v/>
      </c>
      <c r="X156" s="7" t="str">
        <f>IF(IF(Inputs!$E$207 = 2, Inputs!W$210, Inputs!W$211) &gt;= Inputs!$D158, IF(IF(Inputs!$E$207 = 2, Inputs!W$210, Inputs!W$211) &lt; Inputs!$D159, Inputs!$E158, ""), "")</f>
        <v/>
      </c>
      <c r="Y156" s="7" t="str">
        <f>IF(IF(Inputs!$E$207 = 2, Inputs!X$210, Inputs!X$211) &gt;= Inputs!$D158, IF(IF(Inputs!$E$207 = 2, Inputs!X$210, Inputs!X$211) &lt; Inputs!$D159, Inputs!$E158, ""), "")</f>
        <v/>
      </c>
      <c r="Z156" s="7" t="str">
        <f>IF(IF(Inputs!$E$207 = 2, Inputs!Y$210, Inputs!Y$211) &gt;= Inputs!$D158, IF(IF(Inputs!$E$207 = 2, Inputs!Y$210, Inputs!Y$211) &lt; Inputs!$D159, Inputs!$E158, ""), "")</f>
        <v/>
      </c>
      <c r="AA156" s="7" t="str">
        <f>IF(IF(Inputs!$E$207 = 2, Inputs!Z$210, Inputs!Z$211) &gt;= Inputs!$D158, IF(IF(Inputs!$E$207 = 2, Inputs!Z$210, Inputs!Z$211) &lt; Inputs!$D159, Inputs!$E158, ""), "")</f>
        <v/>
      </c>
      <c r="AB156" s="7" t="str">
        <f>IF(IF(Inputs!$E$207 = 2, Inputs!AA$210, Inputs!AA$211) &gt;= Inputs!$D158, IF(IF(Inputs!$E$207 = 2, Inputs!AA$210, Inputs!AA$211) &lt; Inputs!$D159, Inputs!$E158, ""), "")</f>
        <v/>
      </c>
      <c r="AC156" s="7" t="str">
        <f>IF(IF(Inputs!$E$207 = 2, Inputs!AB$210, Inputs!AB$211) &gt;= Inputs!$D158, IF(IF(Inputs!$E$207 = 2, Inputs!AB$210, Inputs!AB$211) &lt; Inputs!$D159, Inputs!$E158, ""), "")</f>
        <v/>
      </c>
      <c r="AD156" s="7" t="str">
        <f>IF(IF(Inputs!$E$207 = 2, Inputs!AC$210, Inputs!AC$211) &gt;= Inputs!$D158, IF(IF(Inputs!$E$207 = 2, Inputs!AC$210, Inputs!AC$211) &lt; Inputs!$D159, Inputs!$E158, ""), "")</f>
        <v/>
      </c>
      <c r="AE156" s="7" t="str">
        <f>IF(IF(Inputs!$E$207 = 2, Inputs!AD$210, Inputs!AD$211) &gt;= Inputs!$D158, IF(IF(Inputs!$E$207 = 2, Inputs!AD$210, Inputs!AD$211) &lt; Inputs!$D159, Inputs!$E158, ""), "")</f>
        <v/>
      </c>
      <c r="AF156" s="7" t="str">
        <f>IF(IF(Inputs!$E$207 = 2, Inputs!AE$210, Inputs!AE$211) &gt;= Inputs!$D158, IF(IF(Inputs!$E$207 = 2, Inputs!AE$210, Inputs!AE$211) &lt; Inputs!$D159, Inputs!$E158, ""), "")</f>
        <v/>
      </c>
      <c r="AG156" s="7" t="str">
        <f>IF(IF(Inputs!$E$207 = 2, Inputs!AF$210, Inputs!AF$211) &gt;= Inputs!$D158, IF(IF(Inputs!$E$207 = 2, Inputs!AF$210, Inputs!AF$211) &lt; Inputs!$D159, Inputs!$E158, ""), "")</f>
        <v/>
      </c>
      <c r="AH156" s="7" t="str">
        <f>IF(IF(Inputs!$E$207 = 2, Inputs!AG$210, Inputs!AG$211) &gt;= Inputs!$D158, IF(IF(Inputs!$E$207 = 2, Inputs!AG$210, Inputs!AG$211) &lt; Inputs!$D159, Inputs!$E158, ""), "")</f>
        <v/>
      </c>
      <c r="AI156" s="7" t="str">
        <f>IF(IF(Inputs!$E$207 = 2, Inputs!AH$210, Inputs!AH$211) &gt;= Inputs!$D158, IF(IF(Inputs!$E$207 = 2, Inputs!AH$210, Inputs!AH$211) &lt; Inputs!$D159, Inputs!$E158, ""), "")</f>
        <v/>
      </c>
      <c r="AJ156" s="7" t="str">
        <f>IF(IF(Inputs!$E$207 = 2, Inputs!AI$210, Inputs!AI$211) &gt;= Inputs!$D158, IF(IF(Inputs!$E$207 = 2, Inputs!AI$210, Inputs!AI$211) &lt; Inputs!$D159, Inputs!$E158, ""), "")</f>
        <v/>
      </c>
      <c r="AK156" s="7" t="str">
        <f>IF(IF(Inputs!$E$207 = 2, Inputs!AJ$210, Inputs!AJ$211) &gt;= Inputs!$D158, IF(IF(Inputs!$E$207 = 2, Inputs!AJ$210, Inputs!AJ$211) &lt; Inputs!$D159, Inputs!$E158, ""), "")</f>
        <v/>
      </c>
      <c r="AL156" s="7" t="str">
        <f>IF(IF(Inputs!$E$207 = 2, Inputs!AK$210, Inputs!AK$211) &gt;= Inputs!$D158, IF(IF(Inputs!$E$207 = 2, Inputs!AK$210, Inputs!AK$211) &lt; Inputs!$D159, Inputs!$E158, ""), "")</f>
        <v/>
      </c>
      <c r="AM156" s="7" t="str">
        <f>IF(IF(Inputs!$E$207 = 2, Inputs!AL$210, Inputs!AL$211) &gt;= Inputs!$D158, IF(IF(Inputs!$E$207 = 2, Inputs!AL$210, Inputs!AL$211) &lt; Inputs!$D159, Inputs!$E158, ""), "")</f>
        <v/>
      </c>
      <c r="AN156" s="7" t="str">
        <f>IF(IF(Inputs!$E$207 = 2, Inputs!AM$210, Inputs!AM$211) &gt;= Inputs!$D158, IF(IF(Inputs!$E$207 = 2, Inputs!AM$210, Inputs!AM$211) &lt; Inputs!$D159, Inputs!$E158, ""), "")</f>
        <v/>
      </c>
      <c r="AO156" s="7" t="str">
        <f>IF(IF(Inputs!$E$207 = 2, Inputs!AN$210, Inputs!AN$211) &gt;= Inputs!$D158, IF(IF(Inputs!$E$207 = 2, Inputs!AN$210, Inputs!AN$211) &lt; Inputs!$D159, Inputs!$E158, ""), "")</f>
        <v/>
      </c>
      <c r="AP156" s="7" t="str">
        <f>IF(IF(Inputs!$E$207 = 2, Inputs!AO$210, Inputs!AO$211) &gt;= Inputs!$D158, IF(IF(Inputs!$E$207 = 2, Inputs!AO$210, Inputs!AO$211) &lt; Inputs!$D159, Inputs!$E158, ""), "")</f>
        <v/>
      </c>
      <c r="AQ156" s="7" t="str">
        <f>IF(IF(Inputs!$E$207 = 2, Inputs!AP$210, Inputs!AP$211) &gt;= Inputs!$D158, IF(IF(Inputs!$E$207 = 2, Inputs!AP$210, Inputs!AP$211) &lt; Inputs!$D159, Inputs!$E158, ""), "")</f>
        <v/>
      </c>
      <c r="AR156" s="7" t="str">
        <f>IF(IF(Inputs!$E$207 = 2, Inputs!AQ$210, Inputs!AQ$211) &gt;= Inputs!$D158, IF(IF(Inputs!$E$207 = 2, Inputs!AQ$210, Inputs!AQ$211) &lt; Inputs!$D159, Inputs!$E158, ""), "")</f>
        <v/>
      </c>
      <c r="AS156" s="7" t="str">
        <f>IF(IF(Inputs!$E$207 = 2, Inputs!AR$210, Inputs!AR$211) &gt;= Inputs!$D158, IF(IF(Inputs!$E$207 = 2, Inputs!AR$210, Inputs!AR$211) &lt; Inputs!$D159, Inputs!$E158, ""), "")</f>
        <v/>
      </c>
      <c r="AT156" s="7" t="str">
        <f>IF(IF(Inputs!$E$207 = 2, Inputs!AS$210, Inputs!AS$211) &gt;= Inputs!$D158, IF(IF(Inputs!$E$207 = 2, Inputs!AS$210, Inputs!AS$211) &lt; Inputs!$D159, Inputs!$E158, ""), "")</f>
        <v/>
      </c>
      <c r="AU156" s="7" t="str">
        <f>IF(IF(Inputs!$E$207 = 2, Inputs!AT$210, Inputs!AT$211) &gt;= Inputs!$D158, IF(IF(Inputs!$E$207 = 2, Inputs!AT$210, Inputs!AT$211) &lt; Inputs!$D159, Inputs!$E158, ""), "")</f>
        <v/>
      </c>
      <c r="AV156" s="7" t="str">
        <f>IF(IF(Inputs!$E$207 = 2, Inputs!AU$210, Inputs!AU$211) &gt;= Inputs!$D158, IF(IF(Inputs!$E$207 = 2, Inputs!AU$210, Inputs!AU$211) &lt; Inputs!$D159, Inputs!$E158, ""), "")</f>
        <v/>
      </c>
      <c r="AW156" s="7" t="str">
        <f>IF(IF(Inputs!$E$207 = 2, Inputs!AV$210, Inputs!AV$211) &gt;= Inputs!$D158, IF(IF(Inputs!$E$207 = 2, Inputs!AV$210, Inputs!AV$211) &lt; Inputs!$D159, Inputs!$E158, ""), "")</f>
        <v/>
      </c>
      <c r="AX156" s="7" t="str">
        <f>IF(IF(Inputs!$E$207 = 2, Inputs!AW$210, Inputs!AW$211) &gt;= Inputs!$D158, IF(IF(Inputs!$E$207 = 2, Inputs!AW$210, Inputs!AW$211) &lt; Inputs!$D159, Inputs!$E158, ""), "")</f>
        <v/>
      </c>
      <c r="AY156" s="7" t="str">
        <f>IF(IF(Inputs!$E$207 = 2, Inputs!AX$210, Inputs!AX$211) &gt;= Inputs!$D158, IF(IF(Inputs!$E$207 = 2, Inputs!AX$210, Inputs!AX$211) &lt; Inputs!$D159, Inputs!$E158, ""), "")</f>
        <v/>
      </c>
      <c r="AZ156" s="7" t="str">
        <f>IF(IF(Inputs!$E$207 = 2, Inputs!AY$210, Inputs!AY$211) &gt;= Inputs!$D158, IF(IF(Inputs!$E$207 = 2, Inputs!AY$210, Inputs!AY$211) &lt; Inputs!$D159, Inputs!$E158, ""), "")</f>
        <v/>
      </c>
      <c r="BA156" s="7" t="str">
        <f>IF(IF(Inputs!$E$207 = 2, Inputs!AZ$210, Inputs!AZ$211) &gt;= Inputs!$D158, IF(IF(Inputs!$E$207 = 2, Inputs!AZ$210, Inputs!AZ$211) &lt; Inputs!$D159, Inputs!$E158, ""), "")</f>
        <v/>
      </c>
      <c r="BB156" s="7" t="str">
        <f>IF(IF(Inputs!$E$207 = 2, Inputs!BA$210, Inputs!BA$211) &gt;= Inputs!$D158, IF(IF(Inputs!$E$207 = 2, Inputs!BA$210, Inputs!BA$211) &lt; Inputs!$D159, Inputs!$E158, ""), "")</f>
        <v/>
      </c>
      <c r="BC156" s="7" t="str">
        <f>IF(IF(Inputs!$E$207 = 2, Inputs!BB$210, Inputs!BB$211) &gt;= Inputs!$D158, IF(IF(Inputs!$E$207 = 2, Inputs!BB$210, Inputs!BB$211) &lt; Inputs!$D159, Inputs!$E158, ""), "")</f>
        <v/>
      </c>
      <c r="BD156" s="7" t="str">
        <f>IF(IF(Inputs!$E$207 = 2, Inputs!BC$210, Inputs!BC$211) &gt;= Inputs!$D158, IF(IF(Inputs!$E$207 = 2, Inputs!BC$210, Inputs!BC$211) &lt; Inputs!$D159, Inputs!$E158, ""), "")</f>
        <v/>
      </c>
    </row>
    <row r="157" spans="3:56" ht="15" customHeight="1">
      <c r="D157" s="109" t="s">
        <v>404</v>
      </c>
      <c r="E157" s="18" t="s">
        <v>30</v>
      </c>
      <c r="G157" s="7" t="str">
        <f>IF(IF(Inputs!$E$207 = 2, Inputs!F$210, Inputs!F$211) &gt;= Inputs!$D159, IF(IF(Inputs!$E$207 = 2, Inputs!F$210, Inputs!F$211) &lt; Inputs!$D160, Inputs!$E159, ""), "")</f>
        <v/>
      </c>
      <c r="H157" s="7" t="str">
        <f>IF(IF(Inputs!$E$207 = 2, Inputs!G$210, Inputs!G$211) &gt;= Inputs!$D159, IF(IF(Inputs!$E$207 = 2, Inputs!G$210, Inputs!G$211) &lt; Inputs!$D160, Inputs!$E159, ""), "")</f>
        <v/>
      </c>
      <c r="I157" s="7" t="str">
        <f>IF(IF(Inputs!$E$207 = 2, Inputs!H$210, Inputs!H$211) &gt;= Inputs!$D159, IF(IF(Inputs!$E$207 = 2, Inputs!H$210, Inputs!H$211) &lt; Inputs!$D160, Inputs!$E159, ""), "")</f>
        <v/>
      </c>
      <c r="J157" s="7" t="str">
        <f>IF(IF(Inputs!$E$207 = 2, Inputs!I$210, Inputs!I$211) &gt;= Inputs!$D159, IF(IF(Inputs!$E$207 = 2, Inputs!I$210, Inputs!I$211) &lt; Inputs!$D160, Inputs!$E159, ""), "")</f>
        <v/>
      </c>
      <c r="K157" s="7" t="str">
        <f>IF(IF(Inputs!$E$207 = 2, Inputs!J$210, Inputs!J$211) &gt;= Inputs!$D159, IF(IF(Inputs!$E$207 = 2, Inputs!J$210, Inputs!J$211) &lt; Inputs!$D160, Inputs!$E159, ""), "")</f>
        <v/>
      </c>
      <c r="L157" s="7" t="str">
        <f>IF(IF(Inputs!$E$207 = 2, Inputs!K$210, Inputs!K$211) &gt;= Inputs!$D159, IF(IF(Inputs!$E$207 = 2, Inputs!K$210, Inputs!K$211) &lt; Inputs!$D160, Inputs!$E159, ""), "")</f>
        <v/>
      </c>
      <c r="M157" s="7" t="str">
        <f>IF(IF(Inputs!$E$207 = 2, Inputs!L$210, Inputs!L$211) &gt;= Inputs!$D159, IF(IF(Inputs!$E$207 = 2, Inputs!L$210, Inputs!L$211) &lt; Inputs!$D160, Inputs!$E159, ""), "")</f>
        <v/>
      </c>
      <c r="N157" s="7" t="str">
        <f>IF(IF(Inputs!$E$207 = 2, Inputs!M$210, Inputs!M$211) &gt;= Inputs!$D159, IF(IF(Inputs!$E$207 = 2, Inputs!M$210, Inputs!M$211) &lt; Inputs!$D160, Inputs!$E159, ""), "")</f>
        <v/>
      </c>
      <c r="O157" s="7" t="str">
        <f>IF(IF(Inputs!$E$207 = 2, Inputs!N$210, Inputs!N$211) &gt;= Inputs!$D159, IF(IF(Inputs!$E$207 = 2, Inputs!N$210, Inputs!N$211) &lt; Inputs!$D160, Inputs!$E159, ""), "")</f>
        <v/>
      </c>
      <c r="P157" s="7" t="str">
        <f>IF(IF(Inputs!$E$207 = 2, Inputs!O$210, Inputs!O$211) &gt;= Inputs!$D159, IF(IF(Inputs!$E$207 = 2, Inputs!O$210, Inputs!O$211) &lt; Inputs!$D160, Inputs!$E159, ""), "")</f>
        <v/>
      </c>
      <c r="Q157" s="7" t="str">
        <f>IF(IF(Inputs!$E$207 = 2, Inputs!P$210, Inputs!P$211) &gt;= Inputs!$D159, IF(IF(Inputs!$E$207 = 2, Inputs!P$210, Inputs!P$211) &lt; Inputs!$D160, Inputs!$E159, ""), "")</f>
        <v/>
      </c>
      <c r="R157" s="7" t="str">
        <f>IF(IF(Inputs!$E$207 = 2, Inputs!Q$210, Inputs!Q$211) &gt;= Inputs!$D159, IF(IF(Inputs!$E$207 = 2, Inputs!Q$210, Inputs!Q$211) &lt; Inputs!$D160, Inputs!$E159, ""), "")</f>
        <v/>
      </c>
      <c r="S157" s="7" t="str">
        <f>IF(IF(Inputs!$E$207 = 2, Inputs!R$210, Inputs!R$211) &gt;= Inputs!$D159, IF(IF(Inputs!$E$207 = 2, Inputs!R$210, Inputs!R$211) &lt; Inputs!$D160, Inputs!$E159, ""), "")</f>
        <v/>
      </c>
      <c r="T157" s="7" t="str">
        <f>IF(IF(Inputs!$E$207 = 2, Inputs!S$210, Inputs!S$211) &gt;= Inputs!$D159, IF(IF(Inputs!$E$207 = 2, Inputs!S$210, Inputs!S$211) &lt; Inputs!$D160, Inputs!$E159, ""), "")</f>
        <v/>
      </c>
      <c r="U157" s="7" t="str">
        <f>IF(IF(Inputs!$E$207 = 2, Inputs!T$210, Inputs!T$211) &gt;= Inputs!$D159, IF(IF(Inputs!$E$207 = 2, Inputs!T$210, Inputs!T$211) &lt; Inputs!$D160, Inputs!$E159, ""), "")</f>
        <v/>
      </c>
      <c r="V157" s="7" t="str">
        <f>IF(IF(Inputs!$E$207 = 2, Inputs!U$210, Inputs!U$211) &gt;= Inputs!$D159, IF(IF(Inputs!$E$207 = 2, Inputs!U$210, Inputs!U$211) &lt; Inputs!$D160, Inputs!$E159, ""), "")</f>
        <v/>
      </c>
      <c r="W157" s="7" t="str">
        <f>IF(IF(Inputs!$E$207 = 2, Inputs!V$210, Inputs!V$211) &gt;= Inputs!$D159, IF(IF(Inputs!$E$207 = 2, Inputs!V$210, Inputs!V$211) &lt; Inputs!$D160, Inputs!$E159, ""), "")</f>
        <v/>
      </c>
      <c r="X157" s="7" t="str">
        <f>IF(IF(Inputs!$E$207 = 2, Inputs!W$210, Inputs!W$211) &gt;= Inputs!$D159, IF(IF(Inputs!$E$207 = 2, Inputs!W$210, Inputs!W$211) &lt; Inputs!$D160, Inputs!$E159, ""), "")</f>
        <v/>
      </c>
      <c r="Y157" s="7" t="str">
        <f>IF(IF(Inputs!$E$207 = 2, Inputs!X$210, Inputs!X$211) &gt;= Inputs!$D159, IF(IF(Inputs!$E$207 = 2, Inputs!X$210, Inputs!X$211) &lt; Inputs!$D160, Inputs!$E159, ""), "")</f>
        <v/>
      </c>
      <c r="Z157" s="7" t="str">
        <f>IF(IF(Inputs!$E$207 = 2, Inputs!Y$210, Inputs!Y$211) &gt;= Inputs!$D159, IF(IF(Inputs!$E$207 = 2, Inputs!Y$210, Inputs!Y$211) &lt; Inputs!$D160, Inputs!$E159, ""), "")</f>
        <v/>
      </c>
      <c r="AA157" s="7" t="str">
        <f>IF(IF(Inputs!$E$207 = 2, Inputs!Z$210, Inputs!Z$211) &gt;= Inputs!$D159, IF(IF(Inputs!$E$207 = 2, Inputs!Z$210, Inputs!Z$211) &lt; Inputs!$D160, Inputs!$E159, ""), "")</f>
        <v/>
      </c>
      <c r="AB157" s="7" t="str">
        <f>IF(IF(Inputs!$E$207 = 2, Inputs!AA$210, Inputs!AA$211) &gt;= Inputs!$D159, IF(IF(Inputs!$E$207 = 2, Inputs!AA$210, Inputs!AA$211) &lt; Inputs!$D160, Inputs!$E159, ""), "")</f>
        <v/>
      </c>
      <c r="AC157" s="7" t="str">
        <f>IF(IF(Inputs!$E$207 = 2, Inputs!AB$210, Inputs!AB$211) &gt;= Inputs!$D159, IF(IF(Inputs!$E$207 = 2, Inputs!AB$210, Inputs!AB$211) &lt; Inputs!$D160, Inputs!$E159, ""), "")</f>
        <v/>
      </c>
      <c r="AD157" s="7" t="str">
        <f>IF(IF(Inputs!$E$207 = 2, Inputs!AC$210, Inputs!AC$211) &gt;= Inputs!$D159, IF(IF(Inputs!$E$207 = 2, Inputs!AC$210, Inputs!AC$211) &lt; Inputs!$D160, Inputs!$E159, ""), "")</f>
        <v/>
      </c>
      <c r="AE157" s="7" t="str">
        <f>IF(IF(Inputs!$E$207 = 2, Inputs!AD$210, Inputs!AD$211) &gt;= Inputs!$D159, IF(IF(Inputs!$E$207 = 2, Inputs!AD$210, Inputs!AD$211) &lt; Inputs!$D160, Inputs!$E159, ""), "")</f>
        <v/>
      </c>
      <c r="AF157" s="7" t="str">
        <f>IF(IF(Inputs!$E$207 = 2, Inputs!AE$210, Inputs!AE$211) &gt;= Inputs!$D159, IF(IF(Inputs!$E$207 = 2, Inputs!AE$210, Inputs!AE$211) &lt; Inputs!$D160, Inputs!$E159, ""), "")</f>
        <v/>
      </c>
      <c r="AG157" s="7" t="str">
        <f>IF(IF(Inputs!$E$207 = 2, Inputs!AF$210, Inputs!AF$211) &gt;= Inputs!$D159, IF(IF(Inputs!$E$207 = 2, Inputs!AF$210, Inputs!AF$211) &lt; Inputs!$D160, Inputs!$E159, ""), "")</f>
        <v/>
      </c>
      <c r="AH157" s="7" t="str">
        <f>IF(IF(Inputs!$E$207 = 2, Inputs!AG$210, Inputs!AG$211) &gt;= Inputs!$D159, IF(IF(Inputs!$E$207 = 2, Inputs!AG$210, Inputs!AG$211) &lt; Inputs!$D160, Inputs!$E159, ""), "")</f>
        <v/>
      </c>
      <c r="AI157" s="7" t="str">
        <f>IF(IF(Inputs!$E$207 = 2, Inputs!AH$210, Inputs!AH$211) &gt;= Inputs!$D159, IF(IF(Inputs!$E$207 = 2, Inputs!AH$210, Inputs!AH$211) &lt; Inputs!$D160, Inputs!$E159, ""), "")</f>
        <v/>
      </c>
      <c r="AJ157" s="7" t="str">
        <f>IF(IF(Inputs!$E$207 = 2, Inputs!AI$210, Inputs!AI$211) &gt;= Inputs!$D159, IF(IF(Inputs!$E$207 = 2, Inputs!AI$210, Inputs!AI$211) &lt; Inputs!$D160, Inputs!$E159, ""), "")</f>
        <v/>
      </c>
      <c r="AK157" s="7" t="str">
        <f>IF(IF(Inputs!$E$207 = 2, Inputs!AJ$210, Inputs!AJ$211) &gt;= Inputs!$D159, IF(IF(Inputs!$E$207 = 2, Inputs!AJ$210, Inputs!AJ$211) &lt; Inputs!$D160, Inputs!$E159, ""), "")</f>
        <v/>
      </c>
      <c r="AL157" s="7" t="str">
        <f>IF(IF(Inputs!$E$207 = 2, Inputs!AK$210, Inputs!AK$211) &gt;= Inputs!$D159, IF(IF(Inputs!$E$207 = 2, Inputs!AK$210, Inputs!AK$211) &lt; Inputs!$D160, Inputs!$E159, ""), "")</f>
        <v/>
      </c>
      <c r="AM157" s="7" t="str">
        <f>IF(IF(Inputs!$E$207 = 2, Inputs!AL$210, Inputs!AL$211) &gt;= Inputs!$D159, IF(IF(Inputs!$E$207 = 2, Inputs!AL$210, Inputs!AL$211) &lt; Inputs!$D160, Inputs!$E159, ""), "")</f>
        <v/>
      </c>
      <c r="AN157" s="7" t="str">
        <f>IF(IF(Inputs!$E$207 = 2, Inputs!AM$210, Inputs!AM$211) &gt;= Inputs!$D159, IF(IF(Inputs!$E$207 = 2, Inputs!AM$210, Inputs!AM$211) &lt; Inputs!$D160, Inputs!$E159, ""), "")</f>
        <v/>
      </c>
      <c r="AO157" s="7" t="str">
        <f>IF(IF(Inputs!$E$207 = 2, Inputs!AN$210, Inputs!AN$211) &gt;= Inputs!$D159, IF(IF(Inputs!$E$207 = 2, Inputs!AN$210, Inputs!AN$211) &lt; Inputs!$D160, Inputs!$E159, ""), "")</f>
        <v/>
      </c>
      <c r="AP157" s="7" t="str">
        <f>IF(IF(Inputs!$E$207 = 2, Inputs!AO$210, Inputs!AO$211) &gt;= Inputs!$D159, IF(IF(Inputs!$E$207 = 2, Inputs!AO$210, Inputs!AO$211) &lt; Inputs!$D160, Inputs!$E159, ""), "")</f>
        <v/>
      </c>
      <c r="AQ157" s="7" t="str">
        <f>IF(IF(Inputs!$E$207 = 2, Inputs!AP$210, Inputs!AP$211) &gt;= Inputs!$D159, IF(IF(Inputs!$E$207 = 2, Inputs!AP$210, Inputs!AP$211) &lt; Inputs!$D160, Inputs!$E159, ""), "")</f>
        <v/>
      </c>
      <c r="AR157" s="7" t="str">
        <f>IF(IF(Inputs!$E$207 = 2, Inputs!AQ$210, Inputs!AQ$211) &gt;= Inputs!$D159, IF(IF(Inputs!$E$207 = 2, Inputs!AQ$210, Inputs!AQ$211) &lt; Inputs!$D160, Inputs!$E159, ""), "")</f>
        <v/>
      </c>
      <c r="AS157" s="7" t="str">
        <f>IF(IF(Inputs!$E$207 = 2, Inputs!AR$210, Inputs!AR$211) &gt;= Inputs!$D159, IF(IF(Inputs!$E$207 = 2, Inputs!AR$210, Inputs!AR$211) &lt; Inputs!$D160, Inputs!$E159, ""), "")</f>
        <v/>
      </c>
      <c r="AT157" s="7" t="str">
        <f>IF(IF(Inputs!$E$207 = 2, Inputs!AS$210, Inputs!AS$211) &gt;= Inputs!$D159, IF(IF(Inputs!$E$207 = 2, Inputs!AS$210, Inputs!AS$211) &lt; Inputs!$D160, Inputs!$E159, ""), "")</f>
        <v/>
      </c>
      <c r="AU157" s="7" t="str">
        <f>IF(IF(Inputs!$E$207 = 2, Inputs!AT$210, Inputs!AT$211) &gt;= Inputs!$D159, IF(IF(Inputs!$E$207 = 2, Inputs!AT$210, Inputs!AT$211) &lt; Inputs!$D160, Inputs!$E159, ""), "")</f>
        <v/>
      </c>
      <c r="AV157" s="7" t="str">
        <f>IF(IF(Inputs!$E$207 = 2, Inputs!AU$210, Inputs!AU$211) &gt;= Inputs!$D159, IF(IF(Inputs!$E$207 = 2, Inputs!AU$210, Inputs!AU$211) &lt; Inputs!$D160, Inputs!$E159, ""), "")</f>
        <v/>
      </c>
      <c r="AW157" s="7" t="str">
        <f>IF(IF(Inputs!$E$207 = 2, Inputs!AV$210, Inputs!AV$211) &gt;= Inputs!$D159, IF(IF(Inputs!$E$207 = 2, Inputs!AV$210, Inputs!AV$211) &lt; Inputs!$D160, Inputs!$E159, ""), "")</f>
        <v/>
      </c>
      <c r="AX157" s="7" t="str">
        <f>IF(IF(Inputs!$E$207 = 2, Inputs!AW$210, Inputs!AW$211) &gt;= Inputs!$D159, IF(IF(Inputs!$E$207 = 2, Inputs!AW$210, Inputs!AW$211) &lt; Inputs!$D160, Inputs!$E159, ""), "")</f>
        <v/>
      </c>
      <c r="AY157" s="7" t="str">
        <f>IF(IF(Inputs!$E$207 = 2, Inputs!AX$210, Inputs!AX$211) &gt;= Inputs!$D159, IF(IF(Inputs!$E$207 = 2, Inputs!AX$210, Inputs!AX$211) &lt; Inputs!$D160, Inputs!$E159, ""), "")</f>
        <v/>
      </c>
      <c r="AZ157" s="7" t="str">
        <f>IF(IF(Inputs!$E$207 = 2, Inputs!AY$210, Inputs!AY$211) &gt;= Inputs!$D159, IF(IF(Inputs!$E$207 = 2, Inputs!AY$210, Inputs!AY$211) &lt; Inputs!$D160, Inputs!$E159, ""), "")</f>
        <v/>
      </c>
      <c r="BA157" s="7" t="str">
        <f>IF(IF(Inputs!$E$207 = 2, Inputs!AZ$210, Inputs!AZ$211) &gt;= Inputs!$D159, IF(IF(Inputs!$E$207 = 2, Inputs!AZ$210, Inputs!AZ$211) &lt; Inputs!$D160, Inputs!$E159, ""), "")</f>
        <v/>
      </c>
      <c r="BB157" s="7" t="str">
        <f>IF(IF(Inputs!$E$207 = 2, Inputs!BA$210, Inputs!BA$211) &gt;= Inputs!$D159, IF(IF(Inputs!$E$207 = 2, Inputs!BA$210, Inputs!BA$211) &lt; Inputs!$D160, Inputs!$E159, ""), "")</f>
        <v/>
      </c>
      <c r="BC157" s="7" t="str">
        <f>IF(IF(Inputs!$E$207 = 2, Inputs!BB$210, Inputs!BB$211) &gt;= Inputs!$D159, IF(IF(Inputs!$E$207 = 2, Inputs!BB$210, Inputs!BB$211) &lt; Inputs!$D160, Inputs!$E159, ""), "")</f>
        <v/>
      </c>
      <c r="BD157" s="7" t="str">
        <f>IF(IF(Inputs!$E$207 = 2, Inputs!BC$210, Inputs!BC$211) &gt;= Inputs!$D159, IF(IF(Inputs!$E$207 = 2, Inputs!BC$210, Inputs!BC$211) &lt; Inputs!$D160, Inputs!$E159, ""), "")</f>
        <v/>
      </c>
    </row>
    <row r="158" spans="3:56" ht="15" customHeight="1">
      <c r="D158" s="109" t="s">
        <v>405</v>
      </c>
      <c r="E158" s="18" t="s">
        <v>30</v>
      </c>
      <c r="G158" s="7">
        <f>IF(IF(Inputs!$E$207 = 2, Inputs!F$210, Inputs!F$211) &gt;= Inputs!$D$160, Inputs!$E$160,"")</f>
        <v>0</v>
      </c>
      <c r="H158" s="7">
        <f>IF(IF(Inputs!$E$207 = 2, Inputs!G$210, Inputs!G$211) &gt;= Inputs!$D$160, Inputs!$E$160,"")</f>
        <v>0</v>
      </c>
      <c r="I158" s="7">
        <f>IF(IF(Inputs!$E$207 = 2, Inputs!H$210, Inputs!H$211) &gt;= Inputs!$D$160, Inputs!$E$160,"")</f>
        <v>0</v>
      </c>
      <c r="J158" s="7">
        <f>IF(IF(Inputs!$E$207 = 2, Inputs!I$210, Inputs!I$211) &gt;= Inputs!$D$160, Inputs!$E$160,"")</f>
        <v>0</v>
      </c>
      <c r="K158" s="7">
        <f>IF(IF(Inputs!$E$207 = 2, Inputs!J$210, Inputs!J$211) &gt;= Inputs!$D$160, Inputs!$E$160,"")</f>
        <v>0</v>
      </c>
      <c r="L158" s="7">
        <f>IF(IF(Inputs!$E$207 = 2, Inputs!K$210, Inputs!K$211) &gt;= Inputs!$D$160, Inputs!$E$160,"")</f>
        <v>0</v>
      </c>
      <c r="M158" s="7">
        <f>IF(IF(Inputs!$E$207 = 2, Inputs!L$210, Inputs!L$211) &gt;= Inputs!$D$160, Inputs!$E$160,"")</f>
        <v>0</v>
      </c>
      <c r="N158" s="7">
        <f>IF(IF(Inputs!$E$207 = 2, Inputs!M$210, Inputs!M$211) &gt;= Inputs!$D$160, Inputs!$E$160,"")</f>
        <v>0</v>
      </c>
      <c r="O158" s="7">
        <f>IF(IF(Inputs!$E$207 = 2, Inputs!N$210, Inputs!N$211) &gt;= Inputs!$D$160, Inputs!$E$160,"")</f>
        <v>0</v>
      </c>
      <c r="P158" s="7">
        <f>IF(IF(Inputs!$E$207 = 2, Inputs!O$210, Inputs!O$211) &gt;= Inputs!$D$160, Inputs!$E$160,"")</f>
        <v>0</v>
      </c>
      <c r="Q158" s="7">
        <f>IF(IF(Inputs!$E$207 = 2, Inputs!P$210, Inputs!P$211) &gt;= Inputs!$D$160, Inputs!$E$160,"")</f>
        <v>0</v>
      </c>
      <c r="R158" s="7">
        <f>IF(IF(Inputs!$E$207 = 2, Inputs!Q$210, Inputs!Q$211) &gt;= Inputs!$D$160, Inputs!$E$160,"")</f>
        <v>0</v>
      </c>
      <c r="S158" s="7">
        <f>IF(IF(Inputs!$E$207 = 2, Inputs!R$210, Inputs!R$211) &gt;= Inputs!$D$160, Inputs!$E$160,"")</f>
        <v>0</v>
      </c>
      <c r="T158" s="7">
        <f>IF(IF(Inputs!$E$207 = 2, Inputs!S$210, Inputs!S$211) &gt;= Inputs!$D$160, Inputs!$E$160,"")</f>
        <v>0</v>
      </c>
      <c r="U158" s="7">
        <f>IF(IF(Inputs!$E$207 = 2, Inputs!T$210, Inputs!T$211) &gt;= Inputs!$D$160, Inputs!$E$160,"")</f>
        <v>0</v>
      </c>
      <c r="V158" s="7">
        <f>IF(IF(Inputs!$E$207 = 2, Inputs!U$210, Inputs!U$211) &gt;= Inputs!$D$160, Inputs!$E$160,"")</f>
        <v>0</v>
      </c>
      <c r="W158" s="7">
        <f>IF(IF(Inputs!$E$207 = 2, Inputs!V$210, Inputs!V$211) &gt;= Inputs!$D$160, Inputs!$E$160,"")</f>
        <v>0</v>
      </c>
      <c r="X158" s="7">
        <f>IF(IF(Inputs!$E$207 = 2, Inputs!W$210, Inputs!W$211) &gt;= Inputs!$D$160, Inputs!$E$160,"")</f>
        <v>0</v>
      </c>
      <c r="Y158" s="7">
        <f>IF(IF(Inputs!$E$207 = 2, Inputs!X$210, Inputs!X$211) &gt;= Inputs!$D$160, Inputs!$E$160,"")</f>
        <v>0</v>
      </c>
      <c r="Z158" s="7">
        <f>IF(IF(Inputs!$E$207 = 2, Inputs!Y$210, Inputs!Y$211) &gt;= Inputs!$D$160, Inputs!$E$160,"")</f>
        <v>0</v>
      </c>
      <c r="AA158" s="7">
        <f>IF(IF(Inputs!$E$207 = 2, Inputs!Z$210, Inputs!Z$211) &gt;= Inputs!$D$160, Inputs!$E$160,"")</f>
        <v>0</v>
      </c>
      <c r="AB158" s="7">
        <f>IF(IF(Inputs!$E$207 = 2, Inputs!AA$210, Inputs!AA$211) &gt;= Inputs!$D$160, Inputs!$E$160,"")</f>
        <v>0</v>
      </c>
      <c r="AC158" s="7">
        <f>IF(IF(Inputs!$E$207 = 2, Inputs!AB$210, Inputs!AB$211) &gt;= Inputs!$D$160, Inputs!$E$160,"")</f>
        <v>0</v>
      </c>
      <c r="AD158" s="7">
        <f>IF(IF(Inputs!$E$207 = 2, Inputs!AC$210, Inputs!AC$211) &gt;= Inputs!$D$160, Inputs!$E$160,"")</f>
        <v>0</v>
      </c>
      <c r="AE158" s="7">
        <f>IF(IF(Inputs!$E$207 = 2, Inputs!AD$210, Inputs!AD$211) &gt;= Inputs!$D$160, Inputs!$E$160,"")</f>
        <v>0</v>
      </c>
      <c r="AF158" s="7">
        <f>IF(IF(Inputs!$E$207 = 2, Inputs!AE$210, Inputs!AE$211) &gt;= Inputs!$D$160, Inputs!$E$160,"")</f>
        <v>0</v>
      </c>
      <c r="AG158" s="7">
        <f>IF(IF(Inputs!$E$207 = 2, Inputs!AF$210, Inputs!AF$211) &gt;= Inputs!$D$160, Inputs!$E$160,"")</f>
        <v>0</v>
      </c>
      <c r="AH158" s="7">
        <f>IF(IF(Inputs!$E$207 = 2, Inputs!AG$210, Inputs!AG$211) &gt;= Inputs!$D$160, Inputs!$E$160,"")</f>
        <v>0</v>
      </c>
      <c r="AI158" s="7">
        <f>IF(IF(Inputs!$E$207 = 2, Inputs!AH$210, Inputs!AH$211) &gt;= Inputs!$D$160, Inputs!$E$160,"")</f>
        <v>0</v>
      </c>
      <c r="AJ158" s="7">
        <f>IF(IF(Inputs!$E$207 = 2, Inputs!AI$210, Inputs!AI$211) &gt;= Inputs!$D$160, Inputs!$E$160,"")</f>
        <v>0</v>
      </c>
      <c r="AK158" s="7">
        <f>IF(IF(Inputs!$E$207 = 2, Inputs!AJ$210, Inputs!AJ$211) &gt;= Inputs!$D$160, Inputs!$E$160,"")</f>
        <v>0</v>
      </c>
      <c r="AL158" s="7">
        <f>IF(IF(Inputs!$E$207 = 2, Inputs!AK$210, Inputs!AK$211) &gt;= Inputs!$D$160, Inputs!$E$160,"")</f>
        <v>0</v>
      </c>
      <c r="AM158" s="7">
        <f>IF(IF(Inputs!$E$207 = 2, Inputs!AL$210, Inputs!AL$211) &gt;= Inputs!$D$160, Inputs!$E$160,"")</f>
        <v>0</v>
      </c>
      <c r="AN158" s="7">
        <f>IF(IF(Inputs!$E$207 = 2, Inputs!AM$210, Inputs!AM$211) &gt;= Inputs!$D$160, Inputs!$E$160,"")</f>
        <v>0</v>
      </c>
      <c r="AO158" s="7">
        <f>IF(IF(Inputs!$E$207 = 2, Inputs!AN$210, Inputs!AN$211) &gt;= Inputs!$D$160, Inputs!$E$160,"")</f>
        <v>0</v>
      </c>
      <c r="AP158" s="7">
        <f>IF(IF(Inputs!$E$207 = 2, Inputs!AO$210, Inputs!AO$211) &gt;= Inputs!$D$160, Inputs!$E$160,"")</f>
        <v>0</v>
      </c>
      <c r="AQ158" s="7">
        <f>IF(IF(Inputs!$E$207 = 2, Inputs!AP$210, Inputs!AP$211) &gt;= Inputs!$D$160, Inputs!$E$160,"")</f>
        <v>0</v>
      </c>
      <c r="AR158" s="7">
        <f>IF(IF(Inputs!$E$207 = 2, Inputs!AQ$210, Inputs!AQ$211) &gt;= Inputs!$D$160, Inputs!$E$160,"")</f>
        <v>0</v>
      </c>
      <c r="AS158" s="7">
        <f>IF(IF(Inputs!$E$207 = 2, Inputs!AR$210, Inputs!AR$211) &gt;= Inputs!$D$160, Inputs!$E$160,"")</f>
        <v>0</v>
      </c>
      <c r="AT158" s="7">
        <f>IF(IF(Inputs!$E$207 = 2, Inputs!AS$210, Inputs!AS$211) &gt;= Inputs!$D$160, Inputs!$E$160,"")</f>
        <v>0</v>
      </c>
      <c r="AU158" s="7">
        <f>IF(IF(Inputs!$E$207 = 2, Inputs!AT$210, Inputs!AT$211) &gt;= Inputs!$D$160, Inputs!$E$160,"")</f>
        <v>0</v>
      </c>
      <c r="AV158" s="7">
        <f>IF(IF(Inputs!$E$207 = 2, Inputs!AU$210, Inputs!AU$211) &gt;= Inputs!$D$160, Inputs!$E$160,"")</f>
        <v>0</v>
      </c>
      <c r="AW158" s="7">
        <f>IF(IF(Inputs!$E$207 = 2, Inputs!AV$210, Inputs!AV$211) &gt;= Inputs!$D$160, Inputs!$E$160,"")</f>
        <v>0</v>
      </c>
      <c r="AX158" s="7">
        <f>IF(IF(Inputs!$E$207 = 2, Inputs!AW$210, Inputs!AW$211) &gt;= Inputs!$D$160, Inputs!$E$160,"")</f>
        <v>0</v>
      </c>
      <c r="AY158" s="7">
        <f>IF(IF(Inputs!$E$207 = 2, Inputs!AX$210, Inputs!AX$211) &gt;= Inputs!$D$160, Inputs!$E$160,"")</f>
        <v>0</v>
      </c>
      <c r="AZ158" s="7">
        <f>IF(IF(Inputs!$E$207 = 2, Inputs!AY$210, Inputs!AY$211) &gt;= Inputs!$D$160, Inputs!$E$160,"")</f>
        <v>0</v>
      </c>
      <c r="BA158" s="7">
        <f>IF(IF(Inputs!$E$207 = 2, Inputs!AZ$210, Inputs!AZ$211) &gt;= Inputs!$D$160, Inputs!$E$160,"")</f>
        <v>0</v>
      </c>
      <c r="BB158" s="7">
        <f>IF(IF(Inputs!$E$207 = 2, Inputs!BA$210, Inputs!BA$211) &gt;= Inputs!$D$160, Inputs!$E$160,"")</f>
        <v>0</v>
      </c>
      <c r="BC158" s="7">
        <f>IF(IF(Inputs!$E$207 = 2, Inputs!BB$210, Inputs!BB$211) &gt;= Inputs!$D$160, Inputs!$E$160,"")</f>
        <v>0</v>
      </c>
      <c r="BD158" s="7">
        <f>IF(IF(Inputs!$E$207 = 2, Inputs!BC$210, Inputs!BC$211) &gt;= Inputs!$D$160, Inputs!$E$160,"")</f>
        <v>0</v>
      </c>
    </row>
    <row r="159" spans="3:56" ht="15" customHeight="1">
      <c r="D159" s="22"/>
      <c r="E159" s="18"/>
      <c r="G159" s="38"/>
    </row>
    <row r="160" spans="3:56" ht="15" customHeight="1">
      <c r="C160" s="21">
        <f>SUM(G160:BD160)</f>
        <v>0</v>
      </c>
      <c r="D160" s="109" t="s">
        <v>387</v>
      </c>
      <c r="E160" s="18" t="s">
        <v>333</v>
      </c>
      <c r="G160" s="146">
        <f>SUM(G145:G158)*G143</f>
        <v>0</v>
      </c>
      <c r="H160" s="146">
        <f t="shared" ref="H160:BD160" si="89">SUM(H145:H158)*H143</f>
        <v>0</v>
      </c>
      <c r="I160" s="146">
        <f t="shared" si="89"/>
        <v>0</v>
      </c>
      <c r="J160" s="146">
        <f>SUM(J145:J158)*J143</f>
        <v>0</v>
      </c>
      <c r="K160" s="146">
        <f t="shared" si="89"/>
        <v>0</v>
      </c>
      <c r="L160" s="146">
        <f t="shared" si="89"/>
        <v>0</v>
      </c>
      <c r="M160" s="146">
        <f t="shared" si="89"/>
        <v>0</v>
      </c>
      <c r="N160" s="146">
        <f t="shared" si="89"/>
        <v>0</v>
      </c>
      <c r="O160" s="146">
        <f t="shared" si="89"/>
        <v>0</v>
      </c>
      <c r="P160" s="146">
        <f t="shared" si="89"/>
        <v>0</v>
      </c>
      <c r="Q160" s="146">
        <f t="shared" si="89"/>
        <v>0</v>
      </c>
      <c r="R160" s="146">
        <f t="shared" si="89"/>
        <v>0</v>
      </c>
      <c r="S160" s="146">
        <f t="shared" si="89"/>
        <v>0</v>
      </c>
      <c r="T160" s="146">
        <f t="shared" si="89"/>
        <v>0</v>
      </c>
      <c r="U160" s="146">
        <f t="shared" si="89"/>
        <v>0</v>
      </c>
      <c r="V160" s="146">
        <f t="shared" si="89"/>
        <v>0</v>
      </c>
      <c r="W160" s="146">
        <f t="shared" si="89"/>
        <v>0</v>
      </c>
      <c r="X160" s="146">
        <f t="shared" si="89"/>
        <v>0</v>
      </c>
      <c r="Y160" s="146">
        <f t="shared" si="89"/>
        <v>0</v>
      </c>
      <c r="Z160" s="146">
        <f t="shared" si="89"/>
        <v>0</v>
      </c>
      <c r="AA160" s="146">
        <f t="shared" si="89"/>
        <v>0</v>
      </c>
      <c r="AB160" s="146">
        <f t="shared" si="89"/>
        <v>0</v>
      </c>
      <c r="AC160" s="146">
        <f t="shared" si="89"/>
        <v>0</v>
      </c>
      <c r="AD160" s="146">
        <f t="shared" si="89"/>
        <v>0</v>
      </c>
      <c r="AE160" s="146">
        <f t="shared" si="89"/>
        <v>0</v>
      </c>
      <c r="AF160" s="146">
        <f t="shared" si="89"/>
        <v>0</v>
      </c>
      <c r="AG160" s="146">
        <f t="shared" si="89"/>
        <v>0</v>
      </c>
      <c r="AH160" s="146">
        <f t="shared" si="89"/>
        <v>0</v>
      </c>
      <c r="AI160" s="146">
        <f t="shared" si="89"/>
        <v>0</v>
      </c>
      <c r="AJ160" s="146">
        <f t="shared" si="89"/>
        <v>0</v>
      </c>
      <c r="AK160" s="146">
        <f t="shared" si="89"/>
        <v>0</v>
      </c>
      <c r="AL160" s="146">
        <f t="shared" si="89"/>
        <v>0</v>
      </c>
      <c r="AM160" s="146">
        <f t="shared" si="89"/>
        <v>0</v>
      </c>
      <c r="AN160" s="146">
        <f t="shared" si="89"/>
        <v>0</v>
      </c>
      <c r="AO160" s="146">
        <f t="shared" si="89"/>
        <v>0</v>
      </c>
      <c r="AP160" s="146">
        <f t="shared" si="89"/>
        <v>0</v>
      </c>
      <c r="AQ160" s="146">
        <f t="shared" si="89"/>
        <v>0</v>
      </c>
      <c r="AR160" s="146">
        <f t="shared" si="89"/>
        <v>0</v>
      </c>
      <c r="AS160" s="146">
        <f t="shared" si="89"/>
        <v>0</v>
      </c>
      <c r="AT160" s="146">
        <f t="shared" si="89"/>
        <v>0</v>
      </c>
      <c r="AU160" s="146">
        <f t="shared" si="89"/>
        <v>0</v>
      </c>
      <c r="AV160" s="146">
        <f t="shared" si="89"/>
        <v>0</v>
      </c>
      <c r="AW160" s="146">
        <f t="shared" si="89"/>
        <v>0</v>
      </c>
      <c r="AX160" s="146">
        <f t="shared" si="89"/>
        <v>0</v>
      </c>
      <c r="AY160" s="146">
        <f t="shared" si="89"/>
        <v>0</v>
      </c>
      <c r="AZ160" s="146">
        <f t="shared" si="89"/>
        <v>0</v>
      </c>
      <c r="BA160" s="146">
        <f t="shared" si="89"/>
        <v>0</v>
      </c>
      <c r="BB160" s="146">
        <f t="shared" si="89"/>
        <v>0</v>
      </c>
      <c r="BC160" s="146">
        <f t="shared" si="89"/>
        <v>0</v>
      </c>
      <c r="BD160" s="146">
        <f t="shared" si="89"/>
        <v>0</v>
      </c>
    </row>
    <row r="161" spans="3:56" ht="15" customHeight="1">
      <c r="D161" s="109"/>
      <c r="E161" s="18"/>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row>
    <row r="162" spans="3:56" ht="15" customHeight="1">
      <c r="C162" s="299"/>
      <c r="D162" s="166"/>
      <c r="E162" s="238"/>
      <c r="F162" s="166"/>
      <c r="G162" s="298"/>
      <c r="H162" s="298"/>
      <c r="I162" s="298"/>
      <c r="J162" s="298"/>
      <c r="K162" s="298"/>
      <c r="L162" s="298"/>
      <c r="M162" s="298"/>
      <c r="N162" s="298"/>
      <c r="O162" s="298"/>
      <c r="P162" s="298"/>
      <c r="Q162" s="298"/>
      <c r="R162" s="298"/>
      <c r="S162" s="298"/>
      <c r="T162" s="298"/>
      <c r="U162" s="298"/>
      <c r="V162" s="298"/>
      <c r="W162" s="298"/>
      <c r="X162" s="298"/>
      <c r="Y162" s="298"/>
      <c r="Z162" s="298"/>
      <c r="AA162" s="298"/>
      <c r="AB162" s="298"/>
      <c r="AC162" s="298"/>
      <c r="AD162" s="298"/>
      <c r="AE162" s="298"/>
      <c r="AF162" s="298"/>
      <c r="AG162" s="298"/>
      <c r="AH162" s="298"/>
      <c r="AI162" s="298"/>
      <c r="AJ162" s="298"/>
      <c r="AK162" s="298"/>
      <c r="AL162" s="298"/>
      <c r="AM162" s="298"/>
      <c r="AN162" s="298"/>
      <c r="AO162" s="298"/>
      <c r="AP162" s="298"/>
      <c r="AQ162" s="298"/>
      <c r="AR162" s="298"/>
      <c r="AS162" s="298"/>
      <c r="AT162" s="298"/>
      <c r="AU162" s="298"/>
      <c r="AV162" s="298"/>
      <c r="AW162" s="298"/>
      <c r="AX162" s="298"/>
      <c r="AY162" s="298"/>
      <c r="AZ162" s="298"/>
      <c r="BA162" s="298"/>
      <c r="BB162" s="298"/>
      <c r="BC162" s="298"/>
      <c r="BD162" s="298"/>
    </row>
    <row r="163" spans="3:56" ht="15" customHeight="1">
      <c r="D163" s="112" t="s">
        <v>406</v>
      </c>
      <c r="E163" s="18"/>
    </row>
    <row r="164" spans="3:56" ht="15" customHeight="1">
      <c r="D164" s="11" t="s">
        <v>376</v>
      </c>
      <c r="E164" s="18"/>
      <c r="G164" s="113">
        <f t="shared" ref="G164:AL164" si="90">G110</f>
        <v>0</v>
      </c>
      <c r="H164" s="113">
        <f t="shared" si="90"/>
        <v>0</v>
      </c>
      <c r="I164" s="113">
        <f t="shared" si="90"/>
        <v>0</v>
      </c>
      <c r="J164" s="113">
        <f t="shared" si="90"/>
        <v>0</v>
      </c>
      <c r="K164" s="113">
        <f t="shared" si="90"/>
        <v>259.7837184</v>
      </c>
      <c r="L164" s="113">
        <f t="shared" si="90"/>
        <v>618.28524979200006</v>
      </c>
      <c r="M164" s="113">
        <f t="shared" si="90"/>
        <v>630.65095478784008</v>
      </c>
      <c r="N164" s="113">
        <f t="shared" si="90"/>
        <v>643.26397388359669</v>
      </c>
      <c r="O164" s="113">
        <f t="shared" si="90"/>
        <v>656.12925336126864</v>
      </c>
      <c r="P164" s="113">
        <f t="shared" si="90"/>
        <v>669.25183842849401</v>
      </c>
      <c r="Q164" s="113">
        <f t="shared" si="90"/>
        <v>682.636875197064</v>
      </c>
      <c r="R164" s="113">
        <f t="shared" si="90"/>
        <v>696.28961270100513</v>
      </c>
      <c r="S164" s="113">
        <f t="shared" si="90"/>
        <v>710.21540495502541</v>
      </c>
      <c r="T164" s="113">
        <f t="shared" si="90"/>
        <v>724.41971305412585</v>
      </c>
      <c r="U164" s="113">
        <f t="shared" si="90"/>
        <v>738.90810731520844</v>
      </c>
      <c r="V164" s="113">
        <f t="shared" si="90"/>
        <v>753.68626946151232</v>
      </c>
      <c r="W164" s="113">
        <f t="shared" si="90"/>
        <v>768.75999485074271</v>
      </c>
      <c r="X164" s="113">
        <f t="shared" si="90"/>
        <v>784.13519474775762</v>
      </c>
      <c r="Y164" s="113">
        <f t="shared" si="90"/>
        <v>799.81789864271275</v>
      </c>
      <c r="Z164" s="113">
        <f t="shared" si="90"/>
        <v>815.81425661556693</v>
      </c>
      <c r="AA164" s="113">
        <f t="shared" si="90"/>
        <v>832.1305417478784</v>
      </c>
      <c r="AB164" s="113">
        <f t="shared" si="90"/>
        <v>848.77315258283591</v>
      </c>
      <c r="AC164" s="113">
        <f t="shared" si="90"/>
        <v>865.74861563449269</v>
      </c>
      <c r="AD164" s="113">
        <f t="shared" si="90"/>
        <v>883.06358794718233</v>
      </c>
      <c r="AE164" s="113">
        <f t="shared" si="90"/>
        <v>900.72485970612604</v>
      </c>
      <c r="AF164" s="113">
        <f t="shared" si="90"/>
        <v>918.73935690024859</v>
      </c>
      <c r="AG164" s="113">
        <f t="shared" si="90"/>
        <v>937.11414403825358</v>
      </c>
      <c r="AH164" s="113">
        <f t="shared" si="90"/>
        <v>409.65275439386505</v>
      </c>
      <c r="AI164" s="113">
        <f t="shared" si="90"/>
        <v>0</v>
      </c>
      <c r="AJ164" s="113">
        <f t="shared" si="90"/>
        <v>0</v>
      </c>
      <c r="AK164" s="113">
        <f t="shared" si="90"/>
        <v>0</v>
      </c>
      <c r="AL164" s="113">
        <f t="shared" si="90"/>
        <v>0</v>
      </c>
      <c r="AM164" s="113">
        <f t="shared" ref="AM164:BD164" si="91">AM110</f>
        <v>0</v>
      </c>
      <c r="AN164" s="113">
        <f t="shared" si="91"/>
        <v>0</v>
      </c>
      <c r="AO164" s="113">
        <f t="shared" si="91"/>
        <v>0</v>
      </c>
      <c r="AP164" s="113">
        <f t="shared" si="91"/>
        <v>0</v>
      </c>
      <c r="AQ164" s="113">
        <f t="shared" si="91"/>
        <v>0</v>
      </c>
      <c r="AR164" s="113">
        <f t="shared" si="91"/>
        <v>0</v>
      </c>
      <c r="AS164" s="113">
        <f t="shared" si="91"/>
        <v>0</v>
      </c>
      <c r="AT164" s="113">
        <f t="shared" si="91"/>
        <v>0</v>
      </c>
      <c r="AU164" s="113">
        <f t="shared" si="91"/>
        <v>0</v>
      </c>
      <c r="AV164" s="113">
        <f t="shared" si="91"/>
        <v>0</v>
      </c>
      <c r="AW164" s="113">
        <f t="shared" si="91"/>
        <v>0</v>
      </c>
      <c r="AX164" s="113">
        <f t="shared" si="91"/>
        <v>0</v>
      </c>
      <c r="AY164" s="113">
        <f t="shared" si="91"/>
        <v>0</v>
      </c>
      <c r="AZ164" s="113">
        <f t="shared" si="91"/>
        <v>0</v>
      </c>
      <c r="BA164" s="113">
        <f t="shared" si="91"/>
        <v>0</v>
      </c>
      <c r="BB164" s="113">
        <f t="shared" si="91"/>
        <v>0</v>
      </c>
      <c r="BC164" s="113">
        <f t="shared" si="91"/>
        <v>0</v>
      </c>
      <c r="BD164" s="113">
        <f t="shared" si="91"/>
        <v>0</v>
      </c>
    </row>
    <row r="165" spans="3:56" ht="15" customHeight="1">
      <c r="E165" s="18"/>
    </row>
    <row r="166" spans="3:56" ht="15" customHeight="1">
      <c r="D166" s="109" t="s">
        <v>392</v>
      </c>
      <c r="E166" s="18" t="s">
        <v>407</v>
      </c>
      <c r="G166" s="295">
        <f>MIN(IF(Inputs!$E$207 = 2, Inputs!F210, Inputs!F211), Inputs!$D148 - Inputs!$D147)</f>
        <v>0</v>
      </c>
      <c r="H166" s="295">
        <f>MIN(IF(Inputs!$E$207 = 2, Inputs!G210, Inputs!G211), Inputs!$D148 - Inputs!$D147)</f>
        <v>0</v>
      </c>
      <c r="I166" s="295">
        <f>MIN(IF(Inputs!$E$207 = 2, Inputs!H210, Inputs!H211), Inputs!$D148 - Inputs!$D147)</f>
        <v>0</v>
      </c>
      <c r="J166" s="295">
        <f>MIN(IF(Inputs!$E$207 = 2, Inputs!I210, Inputs!I211), Inputs!$D148 - Inputs!$D147)</f>
        <v>0</v>
      </c>
      <c r="K166" s="295">
        <f>MIN(IF(Inputs!$E$207 = 2, Inputs!J210, Inputs!J211), Inputs!$D148 - Inputs!$D147)</f>
        <v>0</v>
      </c>
      <c r="L166" s="295">
        <f>MIN(IF(Inputs!$E$207 = 2, Inputs!K210, Inputs!K211), Inputs!$D148 - Inputs!$D147)</f>
        <v>0</v>
      </c>
      <c r="M166" s="295">
        <f>MIN(IF(Inputs!$E$207 = 2, Inputs!L210, Inputs!L211), Inputs!$D148 - Inputs!$D147)</f>
        <v>0</v>
      </c>
      <c r="N166" s="295">
        <f>MIN(IF(Inputs!$E$207 = 2, Inputs!M210, Inputs!M211), Inputs!$D148 - Inputs!$D147)</f>
        <v>0</v>
      </c>
      <c r="O166" s="295">
        <f>MIN(IF(Inputs!$E$207 = 2, Inputs!N210, Inputs!N211), Inputs!$D148 - Inputs!$D147)</f>
        <v>0</v>
      </c>
      <c r="P166" s="295">
        <f>MIN(IF(Inputs!$E$207 = 2, Inputs!O210, Inputs!O211), Inputs!$D148 - Inputs!$D147)</f>
        <v>0</v>
      </c>
      <c r="Q166" s="295">
        <f>MIN(IF(Inputs!$E$207 = 2, Inputs!P210, Inputs!P211), Inputs!$D148 - Inputs!$D147)</f>
        <v>0</v>
      </c>
      <c r="R166" s="295">
        <f>MIN(IF(Inputs!$E$207 = 2, Inputs!Q210, Inputs!Q211), Inputs!$D148 - Inputs!$D147)</f>
        <v>0</v>
      </c>
      <c r="S166" s="295">
        <f>MIN(IF(Inputs!$E$207 = 2, Inputs!R210, Inputs!R211), Inputs!$D148 - Inputs!$D147)</f>
        <v>0</v>
      </c>
      <c r="T166" s="295">
        <f>MIN(IF(Inputs!$E$207 = 2, Inputs!S210, Inputs!S211), Inputs!$D148 - Inputs!$D147)</f>
        <v>0</v>
      </c>
      <c r="U166" s="295">
        <f>MIN(IF(Inputs!$E$207 = 2, Inputs!T210, Inputs!T211), Inputs!$D148 - Inputs!$D147)</f>
        <v>0</v>
      </c>
      <c r="V166" s="295">
        <f>MIN(IF(Inputs!$E$207 = 2, Inputs!U210, Inputs!U211), Inputs!$D148 - Inputs!$D147)</f>
        <v>0</v>
      </c>
      <c r="W166" s="295">
        <f>MIN(IF(Inputs!$E$207 = 2, Inputs!V210, Inputs!V211), Inputs!$D148 - Inputs!$D147)</f>
        <v>0</v>
      </c>
      <c r="X166" s="295">
        <f>MIN(IF(Inputs!$E$207 = 2, Inputs!W210, Inputs!W211), Inputs!$D148 - Inputs!$D147)</f>
        <v>0</v>
      </c>
      <c r="Y166" s="295">
        <f>MIN(IF(Inputs!$E$207 = 2, Inputs!X210, Inputs!X211), Inputs!$D148 - Inputs!$D147)</f>
        <v>0</v>
      </c>
      <c r="Z166" s="295">
        <f>MIN(IF(Inputs!$E$207 = 2, Inputs!Y210, Inputs!Y211), Inputs!$D148 - Inputs!$D147)</f>
        <v>0</v>
      </c>
      <c r="AA166" s="295">
        <f>MIN(IF(Inputs!$E$207 = 2, Inputs!Z210, Inputs!Z211), Inputs!$D148 - Inputs!$D147)</f>
        <v>0</v>
      </c>
      <c r="AB166" s="295">
        <f>MIN(IF(Inputs!$E$207 = 2, Inputs!AA210, Inputs!AA211), Inputs!$D148 - Inputs!$D147)</f>
        <v>0</v>
      </c>
      <c r="AC166" s="295">
        <f>MIN(IF(Inputs!$E$207 = 2, Inputs!AB210, Inputs!AB211), Inputs!$D148 - Inputs!$D147)</f>
        <v>0</v>
      </c>
      <c r="AD166" s="295">
        <f>MIN(IF(Inputs!$E$207 = 2, Inputs!AC210, Inputs!AC211), Inputs!$D148 - Inputs!$D147)</f>
        <v>0</v>
      </c>
      <c r="AE166" s="295">
        <f>MIN(IF(Inputs!$E$207 = 2, Inputs!AD210, Inputs!AD211), Inputs!$D148 - Inputs!$D147)</f>
        <v>0</v>
      </c>
      <c r="AF166" s="295">
        <f>MIN(IF(Inputs!$E$207 = 2, Inputs!AE210, Inputs!AE211), Inputs!$D148 - Inputs!$D147)</f>
        <v>0</v>
      </c>
      <c r="AG166" s="295">
        <f>MIN(IF(Inputs!$E$207 = 2, Inputs!AF210, Inputs!AF211), Inputs!$D148 - Inputs!$D147)</f>
        <v>0</v>
      </c>
      <c r="AH166" s="295">
        <f>MIN(IF(Inputs!$E$207 = 2, Inputs!AG210, Inputs!AG211), Inputs!$D148 - Inputs!$D147)</f>
        <v>0</v>
      </c>
      <c r="AI166" s="295">
        <f>MIN(IF(Inputs!$E$207 = 2, Inputs!AH210, Inputs!AH211), Inputs!$D148 - Inputs!$D147)</f>
        <v>0</v>
      </c>
      <c r="AJ166" s="295">
        <f>MIN(IF(Inputs!$E$207 = 2, Inputs!AI210, Inputs!AI211), Inputs!$D148 - Inputs!$D147)</f>
        <v>0</v>
      </c>
      <c r="AK166" s="295">
        <f>MIN(IF(Inputs!$E$207 = 2, Inputs!AJ210, Inputs!AJ211), Inputs!$D148 - Inputs!$D147)</f>
        <v>0</v>
      </c>
      <c r="AL166" s="295">
        <f>MIN(IF(Inputs!$E$207 = 2, Inputs!AK210, Inputs!AK211), Inputs!$D148 - Inputs!$D147)</f>
        <v>0</v>
      </c>
      <c r="AM166" s="295">
        <f>MIN(IF(Inputs!$E$207 = 2, Inputs!AL210, Inputs!AL211), Inputs!$D148 - Inputs!$D147)</f>
        <v>0</v>
      </c>
      <c r="AN166" s="295">
        <f>MIN(IF(Inputs!$E$207 = 2, Inputs!AM210, Inputs!AM211), Inputs!$D148 - Inputs!$D147)</f>
        <v>0</v>
      </c>
      <c r="AO166" s="295">
        <f>MIN(IF(Inputs!$E$207 = 2, Inputs!AN210, Inputs!AN211), Inputs!$D148 - Inputs!$D147)</f>
        <v>0</v>
      </c>
      <c r="AP166" s="295">
        <f>MIN(IF(Inputs!$E$207 = 2, Inputs!AO210, Inputs!AO211), Inputs!$D148 - Inputs!$D147)</f>
        <v>0</v>
      </c>
      <c r="AQ166" s="295">
        <f>MIN(IF(Inputs!$E$207 = 2, Inputs!AP210, Inputs!AP211), Inputs!$D148 - Inputs!$D147)</f>
        <v>0</v>
      </c>
      <c r="AR166" s="295">
        <f>MIN(IF(Inputs!$E$207 = 2, Inputs!AQ210, Inputs!AQ211), Inputs!$D148 - Inputs!$D147)</f>
        <v>0</v>
      </c>
      <c r="AS166" s="295">
        <f>MIN(IF(Inputs!$E$207 = 2, Inputs!AR210, Inputs!AR211), Inputs!$D148 - Inputs!$D147)</f>
        <v>0</v>
      </c>
      <c r="AT166" s="295">
        <f>MIN(IF(Inputs!$E$207 = 2, Inputs!AS210, Inputs!AS211), Inputs!$D148 - Inputs!$D147)</f>
        <v>0</v>
      </c>
      <c r="AU166" s="295">
        <f>MIN(IF(Inputs!$E$207 = 2, Inputs!AT210, Inputs!AT211), Inputs!$D148 - Inputs!$D147)</f>
        <v>0</v>
      </c>
      <c r="AV166" s="295">
        <f>MIN(IF(Inputs!$E$207 = 2, Inputs!AU210, Inputs!AU211), Inputs!$D148 - Inputs!$D147)</f>
        <v>0</v>
      </c>
      <c r="AW166" s="295">
        <f>MIN(IF(Inputs!$E$207 = 2, Inputs!AV210, Inputs!AV211), Inputs!$D148 - Inputs!$D147)</f>
        <v>0</v>
      </c>
      <c r="AX166" s="295">
        <f>MIN(IF(Inputs!$E$207 = 2, Inputs!AW210, Inputs!AW211), Inputs!$D148 - Inputs!$D147)</f>
        <v>0</v>
      </c>
      <c r="AY166" s="295">
        <f>MIN(IF(Inputs!$E$207 = 2, Inputs!AX210, Inputs!AX211), Inputs!$D148 - Inputs!$D147)</f>
        <v>0</v>
      </c>
      <c r="AZ166" s="295">
        <f>MIN(IF(Inputs!$E$207 = 2, Inputs!AY210, Inputs!AY211), Inputs!$D148 - Inputs!$D147)</f>
        <v>0</v>
      </c>
      <c r="BA166" s="295">
        <f>MIN(IF(Inputs!$E$207 = 2, Inputs!AZ210, Inputs!AZ211), Inputs!$D148 - Inputs!$D147)</f>
        <v>0</v>
      </c>
      <c r="BB166" s="295">
        <f>MIN(IF(Inputs!$E$207 = 2, Inputs!BA210, Inputs!BA211), Inputs!$D148 - Inputs!$D147)</f>
        <v>0</v>
      </c>
      <c r="BC166" s="295">
        <f>MIN(IF(Inputs!$E$207 = 2, Inputs!BB210, Inputs!BB211), Inputs!$D148 - Inputs!$D147)</f>
        <v>0</v>
      </c>
      <c r="BD166" s="295">
        <f>MIN(IF(Inputs!$E$207 = 2, Inputs!BC210, Inputs!BC211), Inputs!$D148 - Inputs!$D147)</f>
        <v>0</v>
      </c>
    </row>
    <row r="167" spans="3:56" ht="15" customHeight="1">
      <c r="D167" s="109" t="s">
        <v>393</v>
      </c>
      <c r="E167" s="18" t="s">
        <v>407</v>
      </c>
      <c r="G167" s="295">
        <f>IF(IF(Inputs!$E$207 = 2, Inputs!F210, Inputs!F211) &gt; Inputs!$D148, MIN(IF(Inputs!$E$207 = 2, Inputs!F210, Inputs!F211) - Inputs!$D148, Inputs!$D149 - Inputs!$D148),0)</f>
        <v>0</v>
      </c>
      <c r="H167" s="295">
        <f>IF(IF(Inputs!$E$207 = 2, Inputs!G210, Inputs!G211) &gt; Inputs!$D148, MIN(IF(Inputs!$E$207 = 2, Inputs!G210, Inputs!G211) - Inputs!$D148, Inputs!$D149 - Inputs!$D148),0)</f>
        <v>0</v>
      </c>
      <c r="I167" s="295">
        <f>IF(IF(Inputs!$E$207 = 2, Inputs!H210, Inputs!H211) &gt; Inputs!$D148, MIN(IF(Inputs!$E$207 = 2, Inputs!H210, Inputs!H211) - Inputs!$D148, Inputs!$D149 - Inputs!$D148),0)</f>
        <v>0</v>
      </c>
      <c r="J167" s="295">
        <f>IF(IF(Inputs!$E$207 = 2, Inputs!I210, Inputs!I211) &gt; Inputs!$D148, MIN(IF(Inputs!$E$207 = 2, Inputs!I210, Inputs!I211) - Inputs!$D148, Inputs!$D149 - Inputs!$D148),0)</f>
        <v>0</v>
      </c>
      <c r="K167" s="295">
        <f>IF(IF(Inputs!$E$207 = 2, Inputs!J210, Inputs!J211) &gt; Inputs!$D148, MIN(IF(Inputs!$E$207 = 2, Inputs!J210, Inputs!J211) - Inputs!$D148, Inputs!$D149 - Inputs!$D148),0)</f>
        <v>0</v>
      </c>
      <c r="L167" s="295">
        <f>IF(IF(Inputs!$E$207 = 2, Inputs!K210, Inputs!K211) &gt; Inputs!$D148, MIN(IF(Inputs!$E$207 = 2, Inputs!K210, Inputs!K211) - Inputs!$D148, Inputs!$D149 - Inputs!$D148),0)</f>
        <v>0</v>
      </c>
      <c r="M167" s="295">
        <f>IF(IF(Inputs!$E$207 = 2, Inputs!L210, Inputs!L211) &gt; Inputs!$D148, MIN(IF(Inputs!$E$207 = 2, Inputs!L210, Inputs!L211) - Inputs!$D148, Inputs!$D149 - Inputs!$D148),0)</f>
        <v>0</v>
      </c>
      <c r="N167" s="295">
        <f>IF(IF(Inputs!$E$207 = 2, Inputs!M210, Inputs!M211) &gt; Inputs!$D148, MIN(IF(Inputs!$E$207 = 2, Inputs!M210, Inputs!M211) - Inputs!$D148, Inputs!$D149 - Inputs!$D148),0)</f>
        <v>0</v>
      </c>
      <c r="O167" s="295">
        <f>IF(IF(Inputs!$E$207 = 2, Inputs!N210, Inputs!N211) &gt; Inputs!$D148, MIN(IF(Inputs!$E$207 = 2, Inputs!N210, Inputs!N211) - Inputs!$D148, Inputs!$D149 - Inputs!$D148),0)</f>
        <v>0</v>
      </c>
      <c r="P167" s="295">
        <f>IF(IF(Inputs!$E$207 = 2, Inputs!O210, Inputs!O211) &gt; Inputs!$D148, MIN(IF(Inputs!$E$207 = 2, Inputs!O210, Inputs!O211) - Inputs!$D148, Inputs!$D149 - Inputs!$D148),0)</f>
        <v>0</v>
      </c>
      <c r="Q167" s="295">
        <f>IF(IF(Inputs!$E$207 = 2, Inputs!P210, Inputs!P211) &gt; Inputs!$D148, MIN(IF(Inputs!$E$207 = 2, Inputs!P210, Inputs!P211) - Inputs!$D148, Inputs!$D149 - Inputs!$D148),0)</f>
        <v>0</v>
      </c>
      <c r="R167" s="295">
        <f>IF(IF(Inputs!$E$207 = 2, Inputs!Q210, Inputs!Q211) &gt; Inputs!$D148, MIN(IF(Inputs!$E$207 = 2, Inputs!Q210, Inputs!Q211) - Inputs!$D148, Inputs!$D149 - Inputs!$D148),0)</f>
        <v>0</v>
      </c>
      <c r="S167" s="295">
        <f>IF(IF(Inputs!$E$207 = 2, Inputs!R210, Inputs!R211) &gt; Inputs!$D148, MIN(IF(Inputs!$E$207 = 2, Inputs!R210, Inputs!R211) - Inputs!$D148, Inputs!$D149 - Inputs!$D148),0)</f>
        <v>0</v>
      </c>
      <c r="T167" s="295">
        <f>IF(IF(Inputs!$E$207 = 2, Inputs!S210, Inputs!S211) &gt; Inputs!$D148, MIN(IF(Inputs!$E$207 = 2, Inputs!S210, Inputs!S211) - Inputs!$D148, Inputs!$D149 - Inputs!$D148),0)</f>
        <v>0</v>
      </c>
      <c r="U167" s="295">
        <f>IF(IF(Inputs!$E$207 = 2, Inputs!T210, Inputs!T211) &gt; Inputs!$D148, MIN(IF(Inputs!$E$207 = 2, Inputs!T210, Inputs!T211) - Inputs!$D148, Inputs!$D149 - Inputs!$D148),0)</f>
        <v>0</v>
      </c>
      <c r="V167" s="295">
        <f>IF(IF(Inputs!$E$207 = 2, Inputs!U210, Inputs!U211) &gt; Inputs!$D148, MIN(IF(Inputs!$E$207 = 2, Inputs!U210, Inputs!U211) - Inputs!$D148, Inputs!$D149 - Inputs!$D148),0)</f>
        <v>0</v>
      </c>
      <c r="W167" s="295">
        <f>IF(IF(Inputs!$E$207 = 2, Inputs!V210, Inputs!V211) &gt; Inputs!$D148, MIN(IF(Inputs!$E$207 = 2, Inputs!V210, Inputs!V211) - Inputs!$D148, Inputs!$D149 - Inputs!$D148),0)</f>
        <v>0</v>
      </c>
      <c r="X167" s="295">
        <f>IF(IF(Inputs!$E$207 = 2, Inputs!W210, Inputs!W211) &gt; Inputs!$D148, MIN(IF(Inputs!$E$207 = 2, Inputs!W210, Inputs!W211) - Inputs!$D148, Inputs!$D149 - Inputs!$D148),0)</f>
        <v>0</v>
      </c>
      <c r="Y167" s="295">
        <f>IF(IF(Inputs!$E$207 = 2, Inputs!X210, Inputs!X211) &gt; Inputs!$D148, MIN(IF(Inputs!$E$207 = 2, Inputs!X210, Inputs!X211) - Inputs!$D148, Inputs!$D149 - Inputs!$D148),0)</f>
        <v>0</v>
      </c>
      <c r="Z167" s="295">
        <f>IF(IF(Inputs!$E$207 = 2, Inputs!Y210, Inputs!Y211) &gt; Inputs!$D148, MIN(IF(Inputs!$E$207 = 2, Inputs!Y210, Inputs!Y211) - Inputs!$D148, Inputs!$D149 - Inputs!$D148),0)</f>
        <v>0</v>
      </c>
      <c r="AA167" s="295">
        <f>IF(IF(Inputs!$E$207 = 2, Inputs!Z210, Inputs!Z211) &gt; Inputs!$D148, MIN(IF(Inputs!$E$207 = 2, Inputs!Z210, Inputs!Z211) - Inputs!$D148, Inputs!$D149 - Inputs!$D148),0)</f>
        <v>0</v>
      </c>
      <c r="AB167" s="295">
        <f>IF(IF(Inputs!$E$207 = 2, Inputs!AA210, Inputs!AA211) &gt; Inputs!$D148, MIN(IF(Inputs!$E$207 = 2, Inputs!AA210, Inputs!AA211) - Inputs!$D148, Inputs!$D149 - Inputs!$D148),0)</f>
        <v>0</v>
      </c>
      <c r="AC167" s="295">
        <f>IF(IF(Inputs!$E$207 = 2, Inputs!AB210, Inputs!AB211) &gt; Inputs!$D148, MIN(IF(Inputs!$E$207 = 2, Inputs!AB210, Inputs!AB211) - Inputs!$D148, Inputs!$D149 - Inputs!$D148),0)</f>
        <v>0</v>
      </c>
      <c r="AD167" s="295">
        <f>IF(IF(Inputs!$E$207 = 2, Inputs!AC210, Inputs!AC211) &gt; Inputs!$D148, MIN(IF(Inputs!$E$207 = 2, Inputs!AC210, Inputs!AC211) - Inputs!$D148, Inputs!$D149 - Inputs!$D148),0)</f>
        <v>0</v>
      </c>
      <c r="AE167" s="295">
        <f>IF(IF(Inputs!$E$207 = 2, Inputs!AD210, Inputs!AD211) &gt; Inputs!$D148, MIN(IF(Inputs!$E$207 = 2, Inputs!AD210, Inputs!AD211) - Inputs!$D148, Inputs!$D149 - Inputs!$D148),0)</f>
        <v>0</v>
      </c>
      <c r="AF167" s="295">
        <f>IF(IF(Inputs!$E$207 = 2, Inputs!AE210, Inputs!AE211) &gt; Inputs!$D148, MIN(IF(Inputs!$E$207 = 2, Inputs!AE210, Inputs!AE211) - Inputs!$D148, Inputs!$D149 - Inputs!$D148),0)</f>
        <v>0</v>
      </c>
      <c r="AG167" s="295">
        <f>IF(IF(Inputs!$E$207 = 2, Inputs!AF210, Inputs!AF211) &gt; Inputs!$D148, MIN(IF(Inputs!$E$207 = 2, Inputs!AF210, Inputs!AF211) - Inputs!$D148, Inputs!$D149 - Inputs!$D148),0)</f>
        <v>0</v>
      </c>
      <c r="AH167" s="295">
        <f>IF(IF(Inputs!$E$207 = 2, Inputs!AG210, Inputs!AG211) &gt; Inputs!$D148, MIN(IF(Inputs!$E$207 = 2, Inputs!AG210, Inputs!AG211) - Inputs!$D148, Inputs!$D149 - Inputs!$D148),0)</f>
        <v>0</v>
      </c>
      <c r="AI167" s="295">
        <f>IF(IF(Inputs!$E$207 = 2, Inputs!AH210, Inputs!AH211) &gt; Inputs!$D148, MIN(IF(Inputs!$E$207 = 2, Inputs!AH210, Inputs!AH211) - Inputs!$D148, Inputs!$D149 - Inputs!$D148),0)</f>
        <v>0</v>
      </c>
      <c r="AJ167" s="295">
        <f>IF(IF(Inputs!$E$207 = 2, Inputs!AI210, Inputs!AI211) &gt; Inputs!$D148, MIN(IF(Inputs!$E$207 = 2, Inputs!AI210, Inputs!AI211) - Inputs!$D148, Inputs!$D149 - Inputs!$D148),0)</f>
        <v>0</v>
      </c>
      <c r="AK167" s="295">
        <f>IF(IF(Inputs!$E$207 = 2, Inputs!AJ210, Inputs!AJ211) &gt; Inputs!$D148, MIN(IF(Inputs!$E$207 = 2, Inputs!AJ210, Inputs!AJ211) - Inputs!$D148, Inputs!$D149 - Inputs!$D148),0)</f>
        <v>0</v>
      </c>
      <c r="AL167" s="295">
        <f>IF(IF(Inputs!$E$207 = 2, Inputs!AK210, Inputs!AK211) &gt; Inputs!$D148, MIN(IF(Inputs!$E$207 = 2, Inputs!AK210, Inputs!AK211) - Inputs!$D148, Inputs!$D149 - Inputs!$D148),0)</f>
        <v>0</v>
      </c>
      <c r="AM167" s="295">
        <f>IF(IF(Inputs!$E$207 = 2, Inputs!AL210, Inputs!AL211) &gt; Inputs!$D148, MIN(IF(Inputs!$E$207 = 2, Inputs!AL210, Inputs!AL211) - Inputs!$D148, Inputs!$D149 - Inputs!$D148),0)</f>
        <v>0</v>
      </c>
      <c r="AN167" s="295">
        <f>IF(IF(Inputs!$E$207 = 2, Inputs!AM210, Inputs!AM211) &gt; Inputs!$D148, MIN(IF(Inputs!$E$207 = 2, Inputs!AM210, Inputs!AM211) - Inputs!$D148, Inputs!$D149 - Inputs!$D148),0)</f>
        <v>0</v>
      </c>
      <c r="AO167" s="295">
        <f>IF(IF(Inputs!$E$207 = 2, Inputs!AN210, Inputs!AN211) &gt; Inputs!$D148, MIN(IF(Inputs!$E$207 = 2, Inputs!AN210, Inputs!AN211) - Inputs!$D148, Inputs!$D149 - Inputs!$D148),0)</f>
        <v>0</v>
      </c>
      <c r="AP167" s="295">
        <f>IF(IF(Inputs!$E$207 = 2, Inputs!AO210, Inputs!AO211) &gt; Inputs!$D148, MIN(IF(Inputs!$E$207 = 2, Inputs!AO210, Inputs!AO211) - Inputs!$D148, Inputs!$D149 - Inputs!$D148),0)</f>
        <v>0</v>
      </c>
      <c r="AQ167" s="295">
        <f>IF(IF(Inputs!$E$207 = 2, Inputs!AP210, Inputs!AP211) &gt; Inputs!$D148, MIN(IF(Inputs!$E$207 = 2, Inputs!AP210, Inputs!AP211) - Inputs!$D148, Inputs!$D149 - Inputs!$D148),0)</f>
        <v>0</v>
      </c>
      <c r="AR167" s="295">
        <f>IF(IF(Inputs!$E$207 = 2, Inputs!AQ210, Inputs!AQ211) &gt; Inputs!$D148, MIN(IF(Inputs!$E$207 = 2, Inputs!AQ210, Inputs!AQ211) - Inputs!$D148, Inputs!$D149 - Inputs!$D148),0)</f>
        <v>0</v>
      </c>
      <c r="AS167" s="295">
        <f>IF(IF(Inputs!$E$207 = 2, Inputs!AR210, Inputs!AR211) &gt; Inputs!$D148, MIN(IF(Inputs!$E$207 = 2, Inputs!AR210, Inputs!AR211) - Inputs!$D148, Inputs!$D149 - Inputs!$D148),0)</f>
        <v>0</v>
      </c>
      <c r="AT167" s="295">
        <f>IF(IF(Inputs!$E$207 = 2, Inputs!AS210, Inputs!AS211) &gt; Inputs!$D148, MIN(IF(Inputs!$E$207 = 2, Inputs!AS210, Inputs!AS211) - Inputs!$D148, Inputs!$D149 - Inputs!$D148),0)</f>
        <v>0</v>
      </c>
      <c r="AU167" s="295">
        <f>IF(IF(Inputs!$E$207 = 2, Inputs!AT210, Inputs!AT211) &gt; Inputs!$D148, MIN(IF(Inputs!$E$207 = 2, Inputs!AT210, Inputs!AT211) - Inputs!$D148, Inputs!$D149 - Inputs!$D148),0)</f>
        <v>0</v>
      </c>
      <c r="AV167" s="295">
        <f>IF(IF(Inputs!$E$207 = 2, Inputs!AU210, Inputs!AU211) &gt; Inputs!$D148, MIN(IF(Inputs!$E$207 = 2, Inputs!AU210, Inputs!AU211) - Inputs!$D148, Inputs!$D149 - Inputs!$D148),0)</f>
        <v>0</v>
      </c>
      <c r="AW167" s="295">
        <f>IF(IF(Inputs!$E$207 = 2, Inputs!AV210, Inputs!AV211) &gt; Inputs!$D148, MIN(IF(Inputs!$E$207 = 2, Inputs!AV210, Inputs!AV211) - Inputs!$D148, Inputs!$D149 - Inputs!$D148),0)</f>
        <v>0</v>
      </c>
      <c r="AX167" s="295">
        <f>IF(IF(Inputs!$E$207 = 2, Inputs!AW210, Inputs!AW211) &gt; Inputs!$D148, MIN(IF(Inputs!$E$207 = 2, Inputs!AW210, Inputs!AW211) - Inputs!$D148, Inputs!$D149 - Inputs!$D148),0)</f>
        <v>0</v>
      </c>
      <c r="AY167" s="295">
        <f>IF(IF(Inputs!$E$207 = 2, Inputs!AX210, Inputs!AX211) &gt; Inputs!$D148, MIN(IF(Inputs!$E$207 = 2, Inputs!AX210, Inputs!AX211) - Inputs!$D148, Inputs!$D149 - Inputs!$D148),0)</f>
        <v>0</v>
      </c>
      <c r="AZ167" s="295">
        <f>IF(IF(Inputs!$E$207 = 2, Inputs!AY210, Inputs!AY211) &gt; Inputs!$D148, MIN(IF(Inputs!$E$207 = 2, Inputs!AY210, Inputs!AY211) - Inputs!$D148, Inputs!$D149 - Inputs!$D148),0)</f>
        <v>0</v>
      </c>
      <c r="BA167" s="295">
        <f>IF(IF(Inputs!$E$207 = 2, Inputs!AZ210, Inputs!AZ211) &gt; Inputs!$D148, MIN(IF(Inputs!$E$207 = 2, Inputs!AZ210, Inputs!AZ211) - Inputs!$D148, Inputs!$D149 - Inputs!$D148),0)</f>
        <v>0</v>
      </c>
      <c r="BB167" s="295">
        <f>IF(IF(Inputs!$E$207 = 2, Inputs!BA210, Inputs!BA211) &gt; Inputs!$D148, MIN(IF(Inputs!$E$207 = 2, Inputs!BA210, Inputs!BA211) - Inputs!$D148, Inputs!$D149 - Inputs!$D148),0)</f>
        <v>0</v>
      </c>
      <c r="BC167" s="295">
        <f>IF(IF(Inputs!$E$207 = 2, Inputs!BB210, Inputs!BB211) &gt; Inputs!$D148, MIN(IF(Inputs!$E$207 = 2, Inputs!BB210, Inputs!BB211) - Inputs!$D148, Inputs!$D149 - Inputs!$D148),0)</f>
        <v>0</v>
      </c>
      <c r="BD167" s="295">
        <f>IF(IF(Inputs!$E$207 = 2, Inputs!BC210, Inputs!BC211) &gt; Inputs!$D148, MIN(IF(Inputs!$E$207 = 2, Inputs!BC210, Inputs!BC211) - Inputs!$D148, Inputs!$D149 - Inputs!$D148),0)</f>
        <v>0</v>
      </c>
    </row>
    <row r="168" spans="3:56" ht="15" customHeight="1">
      <c r="D168" s="109" t="s">
        <v>394</v>
      </c>
      <c r="E168" s="18" t="s">
        <v>407</v>
      </c>
      <c r="G168" s="295">
        <f>IF(IF(Inputs!$E$207 = 2, Inputs!F210, Inputs!F211) &gt; Inputs!$D149, MIN(IF(Inputs!$E$207 = 2, Inputs!F210, Inputs!F211) - Inputs!$D149, Inputs!$D150 - Inputs!$D149), 0)</f>
        <v>0</v>
      </c>
      <c r="H168" s="295">
        <f>IF(IF(Inputs!$E$207 = 2, Inputs!G210, Inputs!G211) &gt; Inputs!$D149, MIN(IF(Inputs!$E$207 = 2, Inputs!G210, Inputs!G211) - Inputs!$D149, Inputs!$D150 - Inputs!$D149), 0)</f>
        <v>0</v>
      </c>
      <c r="I168" s="295">
        <f>IF(IF(Inputs!$E$207 = 2, Inputs!H210, Inputs!H211) &gt; Inputs!$D149, MIN(IF(Inputs!$E$207 = 2, Inputs!H210, Inputs!H211) - Inputs!$D149, Inputs!$D150 - Inputs!$D149), 0)</f>
        <v>0</v>
      </c>
      <c r="J168" s="295">
        <f>IF(IF(Inputs!$E$207 = 2, Inputs!I210, Inputs!I211) &gt; Inputs!$D149, MIN(IF(Inputs!$E$207 = 2, Inputs!I210, Inputs!I211) - Inputs!$D149, Inputs!$D150 - Inputs!$D149), 0)</f>
        <v>0</v>
      </c>
      <c r="K168" s="295">
        <f>IF(IF(Inputs!$E$207 = 2, Inputs!J210, Inputs!J211) &gt; Inputs!$D149, MIN(IF(Inputs!$E$207 = 2, Inputs!J210, Inputs!J211) - Inputs!$D149, Inputs!$D150 - Inputs!$D149), 0)</f>
        <v>0</v>
      </c>
      <c r="L168" s="295">
        <f>IF(IF(Inputs!$E$207 = 2, Inputs!K210, Inputs!K211) &gt; Inputs!$D149, MIN(IF(Inputs!$E$207 = 2, Inputs!K210, Inputs!K211) - Inputs!$D149, Inputs!$D150 - Inputs!$D149), 0)</f>
        <v>0</v>
      </c>
      <c r="M168" s="295">
        <f>IF(IF(Inputs!$E$207 = 2, Inputs!L210, Inputs!L211) &gt; Inputs!$D149, MIN(IF(Inputs!$E$207 = 2, Inputs!L210, Inputs!L211) - Inputs!$D149, Inputs!$D150 - Inputs!$D149), 0)</f>
        <v>0</v>
      </c>
      <c r="N168" s="295">
        <f>IF(IF(Inputs!$E$207 = 2, Inputs!M210, Inputs!M211) &gt; Inputs!$D149, MIN(IF(Inputs!$E$207 = 2, Inputs!M210, Inputs!M211) - Inputs!$D149, Inputs!$D150 - Inputs!$D149), 0)</f>
        <v>0</v>
      </c>
      <c r="O168" s="295">
        <f>IF(IF(Inputs!$E$207 = 2, Inputs!N210, Inputs!N211) &gt; Inputs!$D149, MIN(IF(Inputs!$E$207 = 2, Inputs!N210, Inputs!N211) - Inputs!$D149, Inputs!$D150 - Inputs!$D149), 0)</f>
        <v>0</v>
      </c>
      <c r="P168" s="295">
        <f>IF(IF(Inputs!$E$207 = 2, Inputs!O210, Inputs!O211) &gt; Inputs!$D149, MIN(IF(Inputs!$E$207 = 2, Inputs!O210, Inputs!O211) - Inputs!$D149, Inputs!$D150 - Inputs!$D149), 0)</f>
        <v>0</v>
      </c>
      <c r="Q168" s="295">
        <f>IF(IF(Inputs!$E$207 = 2, Inputs!P210, Inputs!P211) &gt; Inputs!$D149, MIN(IF(Inputs!$E$207 = 2, Inputs!P210, Inputs!P211) - Inputs!$D149, Inputs!$D150 - Inputs!$D149), 0)</f>
        <v>0</v>
      </c>
      <c r="R168" s="295">
        <f>IF(IF(Inputs!$E$207 = 2, Inputs!Q210, Inputs!Q211) &gt; Inputs!$D149, MIN(IF(Inputs!$E$207 = 2, Inputs!Q210, Inputs!Q211) - Inputs!$D149, Inputs!$D150 - Inputs!$D149), 0)</f>
        <v>0</v>
      </c>
      <c r="S168" s="295">
        <f>IF(IF(Inputs!$E$207 = 2, Inputs!R210, Inputs!R211) &gt; Inputs!$D149, MIN(IF(Inputs!$E$207 = 2, Inputs!R210, Inputs!R211) - Inputs!$D149, Inputs!$D150 - Inputs!$D149), 0)</f>
        <v>0</v>
      </c>
      <c r="T168" s="295">
        <f>IF(IF(Inputs!$E$207 = 2, Inputs!S210, Inputs!S211) &gt; Inputs!$D149, MIN(IF(Inputs!$E$207 = 2, Inputs!S210, Inputs!S211) - Inputs!$D149, Inputs!$D150 - Inputs!$D149), 0)</f>
        <v>0</v>
      </c>
      <c r="U168" s="295">
        <f>IF(IF(Inputs!$E$207 = 2, Inputs!T210, Inputs!T211) &gt; Inputs!$D149, MIN(IF(Inputs!$E$207 = 2, Inputs!T210, Inputs!T211) - Inputs!$D149, Inputs!$D150 - Inputs!$D149), 0)</f>
        <v>0</v>
      </c>
      <c r="V168" s="295">
        <f>IF(IF(Inputs!$E$207 = 2, Inputs!U210, Inputs!U211) &gt; Inputs!$D149, MIN(IF(Inputs!$E$207 = 2, Inputs!U210, Inputs!U211) - Inputs!$D149, Inputs!$D150 - Inputs!$D149), 0)</f>
        <v>0</v>
      </c>
      <c r="W168" s="295">
        <f>IF(IF(Inputs!$E$207 = 2, Inputs!V210, Inputs!V211) &gt; Inputs!$D149, MIN(IF(Inputs!$E$207 = 2, Inputs!V210, Inputs!V211) - Inputs!$D149, Inputs!$D150 - Inputs!$D149), 0)</f>
        <v>0</v>
      </c>
      <c r="X168" s="295">
        <f>IF(IF(Inputs!$E$207 = 2, Inputs!W210, Inputs!W211) &gt; Inputs!$D149, MIN(IF(Inputs!$E$207 = 2, Inputs!W210, Inputs!W211) - Inputs!$D149, Inputs!$D150 - Inputs!$D149), 0)</f>
        <v>0</v>
      </c>
      <c r="Y168" s="295">
        <f>IF(IF(Inputs!$E$207 = 2, Inputs!X210, Inputs!X211) &gt; Inputs!$D149, MIN(IF(Inputs!$E$207 = 2, Inputs!X210, Inputs!X211) - Inputs!$D149, Inputs!$D150 - Inputs!$D149), 0)</f>
        <v>0</v>
      </c>
      <c r="Z168" s="295">
        <f>IF(IF(Inputs!$E$207 = 2, Inputs!Y210, Inputs!Y211) &gt; Inputs!$D149, MIN(IF(Inputs!$E$207 = 2, Inputs!Y210, Inputs!Y211) - Inputs!$D149, Inputs!$D150 - Inputs!$D149), 0)</f>
        <v>0</v>
      </c>
      <c r="AA168" s="295">
        <f>IF(IF(Inputs!$E$207 = 2, Inputs!Z210, Inputs!Z211) &gt; Inputs!$D149, MIN(IF(Inputs!$E$207 = 2, Inputs!Z210, Inputs!Z211) - Inputs!$D149, Inputs!$D150 - Inputs!$D149), 0)</f>
        <v>0</v>
      </c>
      <c r="AB168" s="295">
        <f>IF(IF(Inputs!$E$207 = 2, Inputs!AA210, Inputs!AA211) &gt; Inputs!$D149, MIN(IF(Inputs!$E$207 = 2, Inputs!AA210, Inputs!AA211) - Inputs!$D149, Inputs!$D150 - Inputs!$D149), 0)</f>
        <v>0</v>
      </c>
      <c r="AC168" s="295">
        <f>IF(IF(Inputs!$E$207 = 2, Inputs!AB210, Inputs!AB211) &gt; Inputs!$D149, MIN(IF(Inputs!$E$207 = 2, Inputs!AB210, Inputs!AB211) - Inputs!$D149, Inputs!$D150 - Inputs!$D149), 0)</f>
        <v>0</v>
      </c>
      <c r="AD168" s="295">
        <f>IF(IF(Inputs!$E$207 = 2, Inputs!AC210, Inputs!AC211) &gt; Inputs!$D149, MIN(IF(Inputs!$E$207 = 2, Inputs!AC210, Inputs!AC211) - Inputs!$D149, Inputs!$D150 - Inputs!$D149), 0)</f>
        <v>0</v>
      </c>
      <c r="AE168" s="295">
        <f>IF(IF(Inputs!$E$207 = 2, Inputs!AD210, Inputs!AD211) &gt; Inputs!$D149, MIN(IF(Inputs!$E$207 = 2, Inputs!AD210, Inputs!AD211) - Inputs!$D149, Inputs!$D150 - Inputs!$D149), 0)</f>
        <v>0</v>
      </c>
      <c r="AF168" s="295">
        <f>IF(IF(Inputs!$E$207 = 2, Inputs!AE210, Inputs!AE211) &gt; Inputs!$D149, MIN(IF(Inputs!$E$207 = 2, Inputs!AE210, Inputs!AE211) - Inputs!$D149, Inputs!$D150 - Inputs!$D149), 0)</f>
        <v>0</v>
      </c>
      <c r="AG168" s="295">
        <f>IF(IF(Inputs!$E$207 = 2, Inputs!AF210, Inputs!AF211) &gt; Inputs!$D149, MIN(IF(Inputs!$E$207 = 2, Inputs!AF210, Inputs!AF211) - Inputs!$D149, Inputs!$D150 - Inputs!$D149), 0)</f>
        <v>0</v>
      </c>
      <c r="AH168" s="295">
        <f>IF(IF(Inputs!$E$207 = 2, Inputs!AG210, Inputs!AG211) &gt; Inputs!$D149, MIN(IF(Inputs!$E$207 = 2, Inputs!AG210, Inputs!AG211) - Inputs!$D149, Inputs!$D150 - Inputs!$D149), 0)</f>
        <v>0</v>
      </c>
      <c r="AI168" s="295">
        <f>IF(IF(Inputs!$E$207 = 2, Inputs!AH210, Inputs!AH211) &gt; Inputs!$D149, MIN(IF(Inputs!$E$207 = 2, Inputs!AH210, Inputs!AH211) - Inputs!$D149, Inputs!$D150 - Inputs!$D149), 0)</f>
        <v>0</v>
      </c>
      <c r="AJ168" s="295">
        <f>IF(IF(Inputs!$E$207 = 2, Inputs!AI210, Inputs!AI211) &gt; Inputs!$D149, MIN(IF(Inputs!$E$207 = 2, Inputs!AI210, Inputs!AI211) - Inputs!$D149, Inputs!$D150 - Inputs!$D149), 0)</f>
        <v>0</v>
      </c>
      <c r="AK168" s="295">
        <f>IF(IF(Inputs!$E$207 = 2, Inputs!AJ210, Inputs!AJ211) &gt; Inputs!$D149, MIN(IF(Inputs!$E$207 = 2, Inputs!AJ210, Inputs!AJ211) - Inputs!$D149, Inputs!$D150 - Inputs!$D149), 0)</f>
        <v>0</v>
      </c>
      <c r="AL168" s="295">
        <f>IF(IF(Inputs!$E$207 = 2, Inputs!AK210, Inputs!AK211) &gt; Inputs!$D149, MIN(IF(Inputs!$E$207 = 2, Inputs!AK210, Inputs!AK211) - Inputs!$D149, Inputs!$D150 - Inputs!$D149), 0)</f>
        <v>0</v>
      </c>
      <c r="AM168" s="295">
        <f>IF(IF(Inputs!$E$207 = 2, Inputs!AL210, Inputs!AL211) &gt; Inputs!$D149, MIN(IF(Inputs!$E$207 = 2, Inputs!AL210, Inputs!AL211) - Inputs!$D149, Inputs!$D150 - Inputs!$D149), 0)</f>
        <v>0</v>
      </c>
      <c r="AN168" s="295">
        <f>IF(IF(Inputs!$E$207 = 2, Inputs!AM210, Inputs!AM211) &gt; Inputs!$D149, MIN(IF(Inputs!$E$207 = 2, Inputs!AM210, Inputs!AM211) - Inputs!$D149, Inputs!$D150 - Inputs!$D149), 0)</f>
        <v>0</v>
      </c>
      <c r="AO168" s="295">
        <f>IF(IF(Inputs!$E$207 = 2, Inputs!AN210, Inputs!AN211) &gt; Inputs!$D149, MIN(IF(Inputs!$E$207 = 2, Inputs!AN210, Inputs!AN211) - Inputs!$D149, Inputs!$D150 - Inputs!$D149), 0)</f>
        <v>0</v>
      </c>
      <c r="AP168" s="295">
        <f>IF(IF(Inputs!$E$207 = 2, Inputs!AO210, Inputs!AO211) &gt; Inputs!$D149, MIN(IF(Inputs!$E$207 = 2, Inputs!AO210, Inputs!AO211) - Inputs!$D149, Inputs!$D150 - Inputs!$D149), 0)</f>
        <v>0</v>
      </c>
      <c r="AQ168" s="295">
        <f>IF(IF(Inputs!$E$207 = 2, Inputs!AP210, Inputs!AP211) &gt; Inputs!$D149, MIN(IF(Inputs!$E$207 = 2, Inputs!AP210, Inputs!AP211) - Inputs!$D149, Inputs!$D150 - Inputs!$D149), 0)</f>
        <v>0</v>
      </c>
      <c r="AR168" s="295">
        <f>IF(IF(Inputs!$E$207 = 2, Inputs!AQ210, Inputs!AQ211) &gt; Inputs!$D149, MIN(IF(Inputs!$E$207 = 2, Inputs!AQ210, Inputs!AQ211) - Inputs!$D149, Inputs!$D150 - Inputs!$D149), 0)</f>
        <v>0</v>
      </c>
      <c r="AS168" s="295">
        <f>IF(IF(Inputs!$E$207 = 2, Inputs!AR210, Inputs!AR211) &gt; Inputs!$D149, MIN(IF(Inputs!$E$207 = 2, Inputs!AR210, Inputs!AR211) - Inputs!$D149, Inputs!$D150 - Inputs!$D149), 0)</f>
        <v>0</v>
      </c>
      <c r="AT168" s="295">
        <f>IF(IF(Inputs!$E$207 = 2, Inputs!AS210, Inputs!AS211) &gt; Inputs!$D149, MIN(IF(Inputs!$E$207 = 2, Inputs!AS210, Inputs!AS211) - Inputs!$D149, Inputs!$D150 - Inputs!$D149), 0)</f>
        <v>0</v>
      </c>
      <c r="AU168" s="295">
        <f>IF(IF(Inputs!$E$207 = 2, Inputs!AT210, Inputs!AT211) &gt; Inputs!$D149, MIN(IF(Inputs!$E$207 = 2, Inputs!AT210, Inputs!AT211) - Inputs!$D149, Inputs!$D150 - Inputs!$D149), 0)</f>
        <v>0</v>
      </c>
      <c r="AV168" s="295">
        <f>IF(IF(Inputs!$E$207 = 2, Inputs!AU210, Inputs!AU211) &gt; Inputs!$D149, MIN(IF(Inputs!$E$207 = 2, Inputs!AU210, Inputs!AU211) - Inputs!$D149, Inputs!$D150 - Inputs!$D149), 0)</f>
        <v>0</v>
      </c>
      <c r="AW168" s="295">
        <f>IF(IF(Inputs!$E$207 = 2, Inputs!AV210, Inputs!AV211) &gt; Inputs!$D149, MIN(IF(Inputs!$E$207 = 2, Inputs!AV210, Inputs!AV211) - Inputs!$D149, Inputs!$D150 - Inputs!$D149), 0)</f>
        <v>0</v>
      </c>
      <c r="AX168" s="295">
        <f>IF(IF(Inputs!$E$207 = 2, Inputs!AW210, Inputs!AW211) &gt; Inputs!$D149, MIN(IF(Inputs!$E$207 = 2, Inputs!AW210, Inputs!AW211) - Inputs!$D149, Inputs!$D150 - Inputs!$D149), 0)</f>
        <v>0</v>
      </c>
      <c r="AY168" s="295">
        <f>IF(IF(Inputs!$E$207 = 2, Inputs!AX210, Inputs!AX211) &gt; Inputs!$D149, MIN(IF(Inputs!$E$207 = 2, Inputs!AX210, Inputs!AX211) - Inputs!$D149, Inputs!$D150 - Inputs!$D149), 0)</f>
        <v>0</v>
      </c>
      <c r="AZ168" s="295">
        <f>IF(IF(Inputs!$E$207 = 2, Inputs!AY210, Inputs!AY211) &gt; Inputs!$D149, MIN(IF(Inputs!$E$207 = 2, Inputs!AY210, Inputs!AY211) - Inputs!$D149, Inputs!$D150 - Inputs!$D149), 0)</f>
        <v>0</v>
      </c>
      <c r="BA168" s="295">
        <f>IF(IF(Inputs!$E$207 = 2, Inputs!AZ210, Inputs!AZ211) &gt; Inputs!$D149, MIN(IF(Inputs!$E$207 = 2, Inputs!AZ210, Inputs!AZ211) - Inputs!$D149, Inputs!$D150 - Inputs!$D149), 0)</f>
        <v>0</v>
      </c>
      <c r="BB168" s="295">
        <f>IF(IF(Inputs!$E$207 = 2, Inputs!BA210, Inputs!BA211) &gt; Inputs!$D149, MIN(IF(Inputs!$E$207 = 2, Inputs!BA210, Inputs!BA211) - Inputs!$D149, Inputs!$D150 - Inputs!$D149), 0)</f>
        <v>0</v>
      </c>
      <c r="BC168" s="295">
        <f>IF(IF(Inputs!$E$207 = 2, Inputs!BB210, Inputs!BB211) &gt; Inputs!$D149, MIN(IF(Inputs!$E$207 = 2, Inputs!BB210, Inputs!BB211) - Inputs!$D149, Inputs!$D150 - Inputs!$D149), 0)</f>
        <v>0</v>
      </c>
      <c r="BD168" s="295">
        <f>IF(IF(Inputs!$E$207 = 2, Inputs!BC210, Inputs!BC211) &gt; Inputs!$D149, MIN(IF(Inputs!$E$207 = 2, Inputs!BC210, Inputs!BC211) - Inputs!$D149, Inputs!$D150 - Inputs!$D149), 0)</f>
        <v>0</v>
      </c>
    </row>
    <row r="169" spans="3:56" ht="15" customHeight="1">
      <c r="D169" s="109" t="s">
        <v>395</v>
      </c>
      <c r="E169" s="18" t="s">
        <v>407</v>
      </c>
      <c r="G169" s="295">
        <f>IF(IF(Inputs!$E$207 = 2, Inputs!F210, Inputs!F211) &gt; Inputs!$D150, MIN(IF(Inputs!$E$207 = 2, Inputs!F210, Inputs!F211) - Inputs!$D150, Inputs!$D151 - Inputs!$D150), 0)</f>
        <v>0</v>
      </c>
      <c r="H169" s="295">
        <f>IF(IF(Inputs!$E$207 = 2, Inputs!G210, Inputs!G211) &gt; Inputs!$D150, MIN(IF(Inputs!$E$207 = 2, Inputs!G210, Inputs!G211) - Inputs!$D150, Inputs!$D151 - Inputs!$D150), 0)</f>
        <v>0</v>
      </c>
      <c r="I169" s="295">
        <f>IF(IF(Inputs!$E$207 = 2, Inputs!H210, Inputs!H211) &gt; Inputs!$D150, MIN(IF(Inputs!$E$207 = 2, Inputs!H210, Inputs!H211) - Inputs!$D150, Inputs!$D151 - Inputs!$D150), 0)</f>
        <v>0</v>
      </c>
      <c r="J169" s="295">
        <f>IF(IF(Inputs!$E$207 = 2, Inputs!I210, Inputs!I211) &gt; Inputs!$D150, MIN(IF(Inputs!$E$207 = 2, Inputs!I210, Inputs!I211) - Inputs!$D150, Inputs!$D151 - Inputs!$D150), 0)</f>
        <v>0</v>
      </c>
      <c r="K169" s="295">
        <f>IF(IF(Inputs!$E$207 = 2, Inputs!J210, Inputs!J211) &gt; Inputs!$D150, MIN(IF(Inputs!$E$207 = 2, Inputs!J210, Inputs!J211) - Inputs!$D150, Inputs!$D151 - Inputs!$D150), 0)</f>
        <v>0</v>
      </c>
      <c r="L169" s="295">
        <f>IF(IF(Inputs!$E$207 = 2, Inputs!K210, Inputs!K211) &gt; Inputs!$D150, MIN(IF(Inputs!$E$207 = 2, Inputs!K210, Inputs!K211) - Inputs!$D150, Inputs!$D151 - Inputs!$D150), 0)</f>
        <v>0</v>
      </c>
      <c r="M169" s="295">
        <f>IF(IF(Inputs!$E$207 = 2, Inputs!L210, Inputs!L211) &gt; Inputs!$D150, MIN(IF(Inputs!$E$207 = 2, Inputs!L210, Inputs!L211) - Inputs!$D150, Inputs!$D151 - Inputs!$D150), 0)</f>
        <v>0</v>
      </c>
      <c r="N169" s="295">
        <f>IF(IF(Inputs!$E$207 = 2, Inputs!M210, Inputs!M211) &gt; Inputs!$D150, MIN(IF(Inputs!$E$207 = 2, Inputs!M210, Inputs!M211) - Inputs!$D150, Inputs!$D151 - Inputs!$D150), 0)</f>
        <v>0</v>
      </c>
      <c r="O169" s="295">
        <f>IF(IF(Inputs!$E$207 = 2, Inputs!N210, Inputs!N211) &gt; Inputs!$D150, MIN(IF(Inputs!$E$207 = 2, Inputs!N210, Inputs!N211) - Inputs!$D150, Inputs!$D151 - Inputs!$D150), 0)</f>
        <v>0</v>
      </c>
      <c r="P169" s="295">
        <f>IF(IF(Inputs!$E$207 = 2, Inputs!O210, Inputs!O211) &gt; Inputs!$D150, MIN(IF(Inputs!$E$207 = 2, Inputs!O210, Inputs!O211) - Inputs!$D150, Inputs!$D151 - Inputs!$D150), 0)</f>
        <v>0</v>
      </c>
      <c r="Q169" s="295">
        <f>IF(IF(Inputs!$E$207 = 2, Inputs!P210, Inputs!P211) &gt; Inputs!$D150, MIN(IF(Inputs!$E$207 = 2, Inputs!P210, Inputs!P211) - Inputs!$D150, Inputs!$D151 - Inputs!$D150), 0)</f>
        <v>0</v>
      </c>
      <c r="R169" s="295">
        <f>IF(IF(Inputs!$E$207 = 2, Inputs!Q210, Inputs!Q211) &gt; Inputs!$D150, MIN(IF(Inputs!$E$207 = 2, Inputs!Q210, Inputs!Q211) - Inputs!$D150, Inputs!$D151 - Inputs!$D150), 0)</f>
        <v>0</v>
      </c>
      <c r="S169" s="295">
        <f>IF(IF(Inputs!$E$207 = 2, Inputs!R210, Inputs!R211) &gt; Inputs!$D150, MIN(IF(Inputs!$E$207 = 2, Inputs!R210, Inputs!R211) - Inputs!$D150, Inputs!$D151 - Inputs!$D150), 0)</f>
        <v>0</v>
      </c>
      <c r="T169" s="295">
        <f>IF(IF(Inputs!$E$207 = 2, Inputs!S210, Inputs!S211) &gt; Inputs!$D150, MIN(IF(Inputs!$E$207 = 2, Inputs!S210, Inputs!S211) - Inputs!$D150, Inputs!$D151 - Inputs!$D150), 0)</f>
        <v>0</v>
      </c>
      <c r="U169" s="295">
        <f>IF(IF(Inputs!$E$207 = 2, Inputs!T210, Inputs!T211) &gt; Inputs!$D150, MIN(IF(Inputs!$E$207 = 2, Inputs!T210, Inputs!T211) - Inputs!$D150, Inputs!$D151 - Inputs!$D150), 0)</f>
        <v>0</v>
      </c>
      <c r="V169" s="295">
        <f>IF(IF(Inputs!$E$207 = 2, Inputs!U210, Inputs!U211) &gt; Inputs!$D150, MIN(IF(Inputs!$E$207 = 2, Inputs!U210, Inputs!U211) - Inputs!$D150, Inputs!$D151 - Inputs!$D150), 0)</f>
        <v>0</v>
      </c>
      <c r="W169" s="295">
        <f>IF(IF(Inputs!$E$207 = 2, Inputs!V210, Inputs!V211) &gt; Inputs!$D150, MIN(IF(Inputs!$E$207 = 2, Inputs!V210, Inputs!V211) - Inputs!$D150, Inputs!$D151 - Inputs!$D150), 0)</f>
        <v>0</v>
      </c>
      <c r="X169" s="295">
        <f>IF(IF(Inputs!$E$207 = 2, Inputs!W210, Inputs!W211) &gt; Inputs!$D150, MIN(IF(Inputs!$E$207 = 2, Inputs!W210, Inputs!W211) - Inputs!$D150, Inputs!$D151 - Inputs!$D150), 0)</f>
        <v>0</v>
      </c>
      <c r="Y169" s="295">
        <f>IF(IF(Inputs!$E$207 = 2, Inputs!X210, Inputs!X211) &gt; Inputs!$D150, MIN(IF(Inputs!$E$207 = 2, Inputs!X210, Inputs!X211) - Inputs!$D150, Inputs!$D151 - Inputs!$D150), 0)</f>
        <v>0</v>
      </c>
      <c r="Z169" s="295">
        <f>IF(IF(Inputs!$E$207 = 2, Inputs!Y210, Inputs!Y211) &gt; Inputs!$D150, MIN(IF(Inputs!$E$207 = 2, Inputs!Y210, Inputs!Y211) - Inputs!$D150, Inputs!$D151 - Inputs!$D150), 0)</f>
        <v>0</v>
      </c>
      <c r="AA169" s="295">
        <f>IF(IF(Inputs!$E$207 = 2, Inputs!Z210, Inputs!Z211) &gt; Inputs!$D150, MIN(IF(Inputs!$E$207 = 2, Inputs!Z210, Inputs!Z211) - Inputs!$D150, Inputs!$D151 - Inputs!$D150), 0)</f>
        <v>0</v>
      </c>
      <c r="AB169" s="295">
        <f>IF(IF(Inputs!$E$207 = 2, Inputs!AA210, Inputs!AA211) &gt; Inputs!$D150, MIN(IF(Inputs!$E$207 = 2, Inputs!AA210, Inputs!AA211) - Inputs!$D150, Inputs!$D151 - Inputs!$D150), 0)</f>
        <v>0</v>
      </c>
      <c r="AC169" s="295">
        <f>IF(IF(Inputs!$E$207 = 2, Inputs!AB210, Inputs!AB211) &gt; Inputs!$D150, MIN(IF(Inputs!$E$207 = 2, Inputs!AB210, Inputs!AB211) - Inputs!$D150, Inputs!$D151 - Inputs!$D150), 0)</f>
        <v>0</v>
      </c>
      <c r="AD169" s="295">
        <f>IF(IF(Inputs!$E$207 = 2, Inputs!AC210, Inputs!AC211) &gt; Inputs!$D150, MIN(IF(Inputs!$E$207 = 2, Inputs!AC210, Inputs!AC211) - Inputs!$D150, Inputs!$D151 - Inputs!$D150), 0)</f>
        <v>0</v>
      </c>
      <c r="AE169" s="295">
        <f>IF(IF(Inputs!$E$207 = 2, Inputs!AD210, Inputs!AD211) &gt; Inputs!$D150, MIN(IF(Inputs!$E$207 = 2, Inputs!AD210, Inputs!AD211) - Inputs!$D150, Inputs!$D151 - Inputs!$D150), 0)</f>
        <v>0</v>
      </c>
      <c r="AF169" s="295">
        <f>IF(IF(Inputs!$E$207 = 2, Inputs!AE210, Inputs!AE211) &gt; Inputs!$D150, MIN(IF(Inputs!$E$207 = 2, Inputs!AE210, Inputs!AE211) - Inputs!$D150, Inputs!$D151 - Inputs!$D150), 0)</f>
        <v>0</v>
      </c>
      <c r="AG169" s="295">
        <f>IF(IF(Inputs!$E$207 = 2, Inputs!AF210, Inputs!AF211) &gt; Inputs!$D150, MIN(IF(Inputs!$E$207 = 2, Inputs!AF210, Inputs!AF211) - Inputs!$D150, Inputs!$D151 - Inputs!$D150), 0)</f>
        <v>0</v>
      </c>
      <c r="AH169" s="295">
        <f>IF(IF(Inputs!$E$207 = 2, Inputs!AG210, Inputs!AG211) &gt; Inputs!$D150, MIN(IF(Inputs!$E$207 = 2, Inputs!AG210, Inputs!AG211) - Inputs!$D150, Inputs!$D151 - Inputs!$D150), 0)</f>
        <v>0</v>
      </c>
      <c r="AI169" s="295">
        <f>IF(IF(Inputs!$E$207 = 2, Inputs!AH210, Inputs!AH211) &gt; Inputs!$D150, MIN(IF(Inputs!$E$207 = 2, Inputs!AH210, Inputs!AH211) - Inputs!$D150, Inputs!$D151 - Inputs!$D150), 0)</f>
        <v>0</v>
      </c>
      <c r="AJ169" s="295">
        <f>IF(IF(Inputs!$E$207 = 2, Inputs!AI210, Inputs!AI211) &gt; Inputs!$D150, MIN(IF(Inputs!$E$207 = 2, Inputs!AI210, Inputs!AI211) - Inputs!$D150, Inputs!$D151 - Inputs!$D150), 0)</f>
        <v>0</v>
      </c>
      <c r="AK169" s="295">
        <f>IF(IF(Inputs!$E$207 = 2, Inputs!AJ210, Inputs!AJ211) &gt; Inputs!$D150, MIN(IF(Inputs!$E$207 = 2, Inputs!AJ210, Inputs!AJ211) - Inputs!$D150, Inputs!$D151 - Inputs!$D150), 0)</f>
        <v>0</v>
      </c>
      <c r="AL169" s="295">
        <f>IF(IF(Inputs!$E$207 = 2, Inputs!AK210, Inputs!AK211) &gt; Inputs!$D150, MIN(IF(Inputs!$E$207 = 2, Inputs!AK210, Inputs!AK211) - Inputs!$D150, Inputs!$D151 - Inputs!$D150), 0)</f>
        <v>0</v>
      </c>
      <c r="AM169" s="295">
        <f>IF(IF(Inputs!$E$207 = 2, Inputs!AL210, Inputs!AL211) &gt; Inputs!$D150, MIN(IF(Inputs!$E$207 = 2, Inputs!AL210, Inputs!AL211) - Inputs!$D150, Inputs!$D151 - Inputs!$D150), 0)</f>
        <v>0</v>
      </c>
      <c r="AN169" s="295">
        <f>IF(IF(Inputs!$E$207 = 2, Inputs!AM210, Inputs!AM211) &gt; Inputs!$D150, MIN(IF(Inputs!$E$207 = 2, Inputs!AM210, Inputs!AM211) - Inputs!$D150, Inputs!$D151 - Inputs!$D150), 0)</f>
        <v>0</v>
      </c>
      <c r="AO169" s="295">
        <f>IF(IF(Inputs!$E$207 = 2, Inputs!AN210, Inputs!AN211) &gt; Inputs!$D150, MIN(IF(Inputs!$E$207 = 2, Inputs!AN210, Inputs!AN211) - Inputs!$D150, Inputs!$D151 - Inputs!$D150), 0)</f>
        <v>0</v>
      </c>
      <c r="AP169" s="295">
        <f>IF(IF(Inputs!$E$207 = 2, Inputs!AO210, Inputs!AO211) &gt; Inputs!$D150, MIN(IF(Inputs!$E$207 = 2, Inputs!AO210, Inputs!AO211) - Inputs!$D150, Inputs!$D151 - Inputs!$D150), 0)</f>
        <v>0</v>
      </c>
      <c r="AQ169" s="295">
        <f>IF(IF(Inputs!$E$207 = 2, Inputs!AP210, Inputs!AP211) &gt; Inputs!$D150, MIN(IF(Inputs!$E$207 = 2, Inputs!AP210, Inputs!AP211) - Inputs!$D150, Inputs!$D151 - Inputs!$D150), 0)</f>
        <v>0</v>
      </c>
      <c r="AR169" s="295">
        <f>IF(IF(Inputs!$E$207 = 2, Inputs!AQ210, Inputs!AQ211) &gt; Inputs!$D150, MIN(IF(Inputs!$E$207 = 2, Inputs!AQ210, Inputs!AQ211) - Inputs!$D150, Inputs!$D151 - Inputs!$D150), 0)</f>
        <v>0</v>
      </c>
      <c r="AS169" s="295">
        <f>IF(IF(Inputs!$E$207 = 2, Inputs!AR210, Inputs!AR211) &gt; Inputs!$D150, MIN(IF(Inputs!$E$207 = 2, Inputs!AR210, Inputs!AR211) - Inputs!$D150, Inputs!$D151 - Inputs!$D150), 0)</f>
        <v>0</v>
      </c>
      <c r="AT169" s="295">
        <f>IF(IF(Inputs!$E$207 = 2, Inputs!AS210, Inputs!AS211) &gt; Inputs!$D150, MIN(IF(Inputs!$E$207 = 2, Inputs!AS210, Inputs!AS211) - Inputs!$D150, Inputs!$D151 - Inputs!$D150), 0)</f>
        <v>0</v>
      </c>
      <c r="AU169" s="295">
        <f>IF(IF(Inputs!$E$207 = 2, Inputs!AT210, Inputs!AT211) &gt; Inputs!$D150, MIN(IF(Inputs!$E$207 = 2, Inputs!AT210, Inputs!AT211) - Inputs!$D150, Inputs!$D151 - Inputs!$D150), 0)</f>
        <v>0</v>
      </c>
      <c r="AV169" s="295">
        <f>IF(IF(Inputs!$E$207 = 2, Inputs!AU210, Inputs!AU211) &gt; Inputs!$D150, MIN(IF(Inputs!$E$207 = 2, Inputs!AU210, Inputs!AU211) - Inputs!$D150, Inputs!$D151 - Inputs!$D150), 0)</f>
        <v>0</v>
      </c>
      <c r="AW169" s="295">
        <f>IF(IF(Inputs!$E$207 = 2, Inputs!AV210, Inputs!AV211) &gt; Inputs!$D150, MIN(IF(Inputs!$E$207 = 2, Inputs!AV210, Inputs!AV211) - Inputs!$D150, Inputs!$D151 - Inputs!$D150), 0)</f>
        <v>0</v>
      </c>
      <c r="AX169" s="295">
        <f>IF(IF(Inputs!$E$207 = 2, Inputs!AW210, Inputs!AW211) &gt; Inputs!$D150, MIN(IF(Inputs!$E$207 = 2, Inputs!AW210, Inputs!AW211) - Inputs!$D150, Inputs!$D151 - Inputs!$D150), 0)</f>
        <v>0</v>
      </c>
      <c r="AY169" s="295">
        <f>IF(IF(Inputs!$E$207 = 2, Inputs!AX210, Inputs!AX211) &gt; Inputs!$D150, MIN(IF(Inputs!$E$207 = 2, Inputs!AX210, Inputs!AX211) - Inputs!$D150, Inputs!$D151 - Inputs!$D150), 0)</f>
        <v>0</v>
      </c>
      <c r="AZ169" s="295">
        <f>IF(IF(Inputs!$E$207 = 2, Inputs!AY210, Inputs!AY211) &gt; Inputs!$D150, MIN(IF(Inputs!$E$207 = 2, Inputs!AY210, Inputs!AY211) - Inputs!$D150, Inputs!$D151 - Inputs!$D150), 0)</f>
        <v>0</v>
      </c>
      <c r="BA169" s="295">
        <f>IF(IF(Inputs!$E$207 = 2, Inputs!AZ210, Inputs!AZ211) &gt; Inputs!$D150, MIN(IF(Inputs!$E$207 = 2, Inputs!AZ210, Inputs!AZ211) - Inputs!$D150, Inputs!$D151 - Inputs!$D150), 0)</f>
        <v>0</v>
      </c>
      <c r="BB169" s="295">
        <f>IF(IF(Inputs!$E$207 = 2, Inputs!BA210, Inputs!BA211) &gt; Inputs!$D150, MIN(IF(Inputs!$E$207 = 2, Inputs!BA210, Inputs!BA211) - Inputs!$D150, Inputs!$D151 - Inputs!$D150), 0)</f>
        <v>0</v>
      </c>
      <c r="BC169" s="295">
        <f>IF(IF(Inputs!$E$207 = 2, Inputs!BB210, Inputs!BB211) &gt; Inputs!$D150, MIN(IF(Inputs!$E$207 = 2, Inputs!BB210, Inputs!BB211) - Inputs!$D150, Inputs!$D151 - Inputs!$D150), 0)</f>
        <v>0</v>
      </c>
      <c r="BD169" s="295">
        <f>IF(IF(Inputs!$E$207 = 2, Inputs!BC210, Inputs!BC211) &gt; Inputs!$D150, MIN(IF(Inputs!$E$207 = 2, Inputs!BC210, Inputs!BC211) - Inputs!$D150, Inputs!$D151 - Inputs!$D150), 0)</f>
        <v>0</v>
      </c>
    </row>
    <row r="170" spans="3:56" ht="15" customHeight="1">
      <c r="D170" s="109" t="s">
        <v>396</v>
      </c>
      <c r="E170" s="18" t="s">
        <v>407</v>
      </c>
      <c r="G170" s="295">
        <f>IF(IF(Inputs!$E$207 = 2, Inputs!F210, Inputs!F211) &gt; Inputs!$D151, MIN(IF(Inputs!$E$207 = 2, Inputs!F210, Inputs!F211) - Inputs!$D151, Inputs!$D152 - Inputs!$D151), 0)</f>
        <v>0</v>
      </c>
      <c r="H170" s="295">
        <f>IF(IF(Inputs!$E$207 = 2, Inputs!G210, Inputs!G211) &gt; Inputs!$D151, MIN(IF(Inputs!$E$207 = 2, Inputs!G210, Inputs!G211) - Inputs!$D151, Inputs!$D152 - Inputs!$D151), 0)</f>
        <v>0</v>
      </c>
      <c r="I170" s="295">
        <f>IF(IF(Inputs!$E$207 = 2, Inputs!H210, Inputs!H211) &gt; Inputs!$D151, MIN(IF(Inputs!$E$207 = 2, Inputs!H210, Inputs!H211) - Inputs!$D151, Inputs!$D152 - Inputs!$D151), 0)</f>
        <v>0</v>
      </c>
      <c r="J170" s="295">
        <f>IF(IF(Inputs!$E$207 = 2, Inputs!I210, Inputs!I211) &gt; Inputs!$D151, MIN(IF(Inputs!$E$207 = 2, Inputs!I210, Inputs!I211) - Inputs!$D151, Inputs!$D152 - Inputs!$D151), 0)</f>
        <v>0</v>
      </c>
      <c r="K170" s="295">
        <f>IF(IF(Inputs!$E$207 = 2, Inputs!J210, Inputs!J211) &gt; Inputs!$D151, MIN(IF(Inputs!$E$207 = 2, Inputs!J210, Inputs!J211) - Inputs!$D151, Inputs!$D152 - Inputs!$D151), 0)</f>
        <v>0</v>
      </c>
      <c r="L170" s="295">
        <f>IF(IF(Inputs!$E$207 = 2, Inputs!K210, Inputs!K211) &gt; Inputs!$D151, MIN(IF(Inputs!$E$207 = 2, Inputs!K210, Inputs!K211) - Inputs!$D151, Inputs!$D152 - Inputs!$D151), 0)</f>
        <v>0</v>
      </c>
      <c r="M170" s="295">
        <f>IF(IF(Inputs!$E$207 = 2, Inputs!L210, Inputs!L211) &gt; Inputs!$D151, MIN(IF(Inputs!$E$207 = 2, Inputs!L210, Inputs!L211) - Inputs!$D151, Inputs!$D152 - Inputs!$D151), 0)</f>
        <v>0</v>
      </c>
      <c r="N170" s="295">
        <f>IF(IF(Inputs!$E$207 = 2, Inputs!M210, Inputs!M211) &gt; Inputs!$D151, MIN(IF(Inputs!$E$207 = 2, Inputs!M210, Inputs!M211) - Inputs!$D151, Inputs!$D152 - Inputs!$D151), 0)</f>
        <v>0</v>
      </c>
      <c r="O170" s="295">
        <f>IF(IF(Inputs!$E$207 = 2, Inputs!N210, Inputs!N211) &gt; Inputs!$D151, MIN(IF(Inputs!$E$207 = 2, Inputs!N210, Inputs!N211) - Inputs!$D151, Inputs!$D152 - Inputs!$D151), 0)</f>
        <v>0</v>
      </c>
      <c r="P170" s="295">
        <f>IF(IF(Inputs!$E$207 = 2, Inputs!O210, Inputs!O211) &gt; Inputs!$D151, MIN(IF(Inputs!$E$207 = 2, Inputs!O210, Inputs!O211) - Inputs!$D151, Inputs!$D152 - Inputs!$D151), 0)</f>
        <v>0</v>
      </c>
      <c r="Q170" s="295">
        <f>IF(IF(Inputs!$E$207 = 2, Inputs!P210, Inputs!P211) &gt; Inputs!$D151, MIN(IF(Inputs!$E$207 = 2, Inputs!P210, Inputs!P211) - Inputs!$D151, Inputs!$D152 - Inputs!$D151), 0)</f>
        <v>0</v>
      </c>
      <c r="R170" s="295">
        <f>IF(IF(Inputs!$E$207 = 2, Inputs!Q210, Inputs!Q211) &gt; Inputs!$D151, MIN(IF(Inputs!$E$207 = 2, Inputs!Q210, Inputs!Q211) - Inputs!$D151, Inputs!$D152 - Inputs!$D151), 0)</f>
        <v>0</v>
      </c>
      <c r="S170" s="295">
        <f>IF(IF(Inputs!$E$207 = 2, Inputs!R210, Inputs!R211) &gt; Inputs!$D151, MIN(IF(Inputs!$E$207 = 2, Inputs!R210, Inputs!R211) - Inputs!$D151, Inputs!$D152 - Inputs!$D151), 0)</f>
        <v>0</v>
      </c>
      <c r="T170" s="295">
        <f>IF(IF(Inputs!$E$207 = 2, Inputs!S210, Inputs!S211) &gt; Inputs!$D151, MIN(IF(Inputs!$E$207 = 2, Inputs!S210, Inputs!S211) - Inputs!$D151, Inputs!$D152 - Inputs!$D151), 0)</f>
        <v>0</v>
      </c>
      <c r="U170" s="295">
        <f>IF(IF(Inputs!$E$207 = 2, Inputs!T210, Inputs!T211) &gt; Inputs!$D151, MIN(IF(Inputs!$E$207 = 2, Inputs!T210, Inputs!T211) - Inputs!$D151, Inputs!$D152 - Inputs!$D151), 0)</f>
        <v>0</v>
      </c>
      <c r="V170" s="295">
        <f>IF(IF(Inputs!$E$207 = 2, Inputs!U210, Inputs!U211) &gt; Inputs!$D151, MIN(IF(Inputs!$E$207 = 2, Inputs!U210, Inputs!U211) - Inputs!$D151, Inputs!$D152 - Inputs!$D151), 0)</f>
        <v>0</v>
      </c>
      <c r="W170" s="295">
        <f>IF(IF(Inputs!$E$207 = 2, Inputs!V210, Inputs!V211) &gt; Inputs!$D151, MIN(IF(Inputs!$E$207 = 2, Inputs!V210, Inputs!V211) - Inputs!$D151, Inputs!$D152 - Inputs!$D151), 0)</f>
        <v>0</v>
      </c>
      <c r="X170" s="295">
        <f>IF(IF(Inputs!$E$207 = 2, Inputs!W210, Inputs!W211) &gt; Inputs!$D151, MIN(IF(Inputs!$E$207 = 2, Inputs!W210, Inputs!W211) - Inputs!$D151, Inputs!$D152 - Inputs!$D151), 0)</f>
        <v>0</v>
      </c>
      <c r="Y170" s="295">
        <f>IF(IF(Inputs!$E$207 = 2, Inputs!X210, Inputs!X211) &gt; Inputs!$D151, MIN(IF(Inputs!$E$207 = 2, Inputs!X210, Inputs!X211) - Inputs!$D151, Inputs!$D152 - Inputs!$D151), 0)</f>
        <v>0</v>
      </c>
      <c r="Z170" s="295">
        <f>IF(IF(Inputs!$E$207 = 2, Inputs!Y210, Inputs!Y211) &gt; Inputs!$D151, MIN(IF(Inputs!$E$207 = 2, Inputs!Y210, Inputs!Y211) - Inputs!$D151, Inputs!$D152 - Inputs!$D151), 0)</f>
        <v>0</v>
      </c>
      <c r="AA170" s="295">
        <f>IF(IF(Inputs!$E$207 = 2, Inputs!Z210, Inputs!Z211) &gt; Inputs!$D151, MIN(IF(Inputs!$E$207 = 2, Inputs!Z210, Inputs!Z211) - Inputs!$D151, Inputs!$D152 - Inputs!$D151), 0)</f>
        <v>0</v>
      </c>
      <c r="AB170" s="295">
        <f>IF(IF(Inputs!$E$207 = 2, Inputs!AA210, Inputs!AA211) &gt; Inputs!$D151, MIN(IF(Inputs!$E$207 = 2, Inputs!AA210, Inputs!AA211) - Inputs!$D151, Inputs!$D152 - Inputs!$D151), 0)</f>
        <v>0</v>
      </c>
      <c r="AC170" s="295">
        <f>IF(IF(Inputs!$E$207 = 2, Inputs!AB210, Inputs!AB211) &gt; Inputs!$D151, MIN(IF(Inputs!$E$207 = 2, Inputs!AB210, Inputs!AB211) - Inputs!$D151, Inputs!$D152 - Inputs!$D151), 0)</f>
        <v>0</v>
      </c>
      <c r="AD170" s="295">
        <f>IF(IF(Inputs!$E$207 = 2, Inputs!AC210, Inputs!AC211) &gt; Inputs!$D151, MIN(IF(Inputs!$E$207 = 2, Inputs!AC210, Inputs!AC211) - Inputs!$D151, Inputs!$D152 - Inputs!$D151), 0)</f>
        <v>0</v>
      </c>
      <c r="AE170" s="295">
        <f>IF(IF(Inputs!$E$207 = 2, Inputs!AD210, Inputs!AD211) &gt; Inputs!$D151, MIN(IF(Inputs!$E$207 = 2, Inputs!AD210, Inputs!AD211) - Inputs!$D151, Inputs!$D152 - Inputs!$D151), 0)</f>
        <v>0</v>
      </c>
      <c r="AF170" s="295">
        <f>IF(IF(Inputs!$E$207 = 2, Inputs!AE210, Inputs!AE211) &gt; Inputs!$D151, MIN(IF(Inputs!$E$207 = 2, Inputs!AE210, Inputs!AE211) - Inputs!$D151, Inputs!$D152 - Inputs!$D151), 0)</f>
        <v>0</v>
      </c>
      <c r="AG170" s="295">
        <f>IF(IF(Inputs!$E$207 = 2, Inputs!AF210, Inputs!AF211) &gt; Inputs!$D151, MIN(IF(Inputs!$E$207 = 2, Inputs!AF210, Inputs!AF211) - Inputs!$D151, Inputs!$D152 - Inputs!$D151), 0)</f>
        <v>0</v>
      </c>
      <c r="AH170" s="295">
        <f>IF(IF(Inputs!$E$207 = 2, Inputs!AG210, Inputs!AG211) &gt; Inputs!$D151, MIN(IF(Inputs!$E$207 = 2, Inputs!AG210, Inputs!AG211) - Inputs!$D151, Inputs!$D152 - Inputs!$D151), 0)</f>
        <v>0</v>
      </c>
      <c r="AI170" s="295">
        <f>IF(IF(Inputs!$E$207 = 2, Inputs!AH210, Inputs!AH211) &gt; Inputs!$D151, MIN(IF(Inputs!$E$207 = 2, Inputs!AH210, Inputs!AH211) - Inputs!$D151, Inputs!$D152 - Inputs!$D151), 0)</f>
        <v>0</v>
      </c>
      <c r="AJ170" s="295">
        <f>IF(IF(Inputs!$E$207 = 2, Inputs!AI210, Inputs!AI211) &gt; Inputs!$D151, MIN(IF(Inputs!$E$207 = 2, Inputs!AI210, Inputs!AI211) - Inputs!$D151, Inputs!$D152 - Inputs!$D151), 0)</f>
        <v>0</v>
      </c>
      <c r="AK170" s="295">
        <f>IF(IF(Inputs!$E$207 = 2, Inputs!AJ210, Inputs!AJ211) &gt; Inputs!$D151, MIN(IF(Inputs!$E$207 = 2, Inputs!AJ210, Inputs!AJ211) - Inputs!$D151, Inputs!$D152 - Inputs!$D151), 0)</f>
        <v>0</v>
      </c>
      <c r="AL170" s="295">
        <f>IF(IF(Inputs!$E$207 = 2, Inputs!AK210, Inputs!AK211) &gt; Inputs!$D151, MIN(IF(Inputs!$E$207 = 2, Inputs!AK210, Inputs!AK211) - Inputs!$D151, Inputs!$D152 - Inputs!$D151), 0)</f>
        <v>0</v>
      </c>
      <c r="AM170" s="295">
        <f>IF(IF(Inputs!$E$207 = 2, Inputs!AL210, Inputs!AL211) &gt; Inputs!$D151, MIN(IF(Inputs!$E$207 = 2, Inputs!AL210, Inputs!AL211) - Inputs!$D151, Inputs!$D152 - Inputs!$D151), 0)</f>
        <v>0</v>
      </c>
      <c r="AN170" s="295">
        <f>IF(IF(Inputs!$E$207 = 2, Inputs!AM210, Inputs!AM211) &gt; Inputs!$D151, MIN(IF(Inputs!$E$207 = 2, Inputs!AM210, Inputs!AM211) - Inputs!$D151, Inputs!$D152 - Inputs!$D151), 0)</f>
        <v>0</v>
      </c>
      <c r="AO170" s="295">
        <f>IF(IF(Inputs!$E$207 = 2, Inputs!AN210, Inputs!AN211) &gt; Inputs!$D151, MIN(IF(Inputs!$E$207 = 2, Inputs!AN210, Inputs!AN211) - Inputs!$D151, Inputs!$D152 - Inputs!$D151), 0)</f>
        <v>0</v>
      </c>
      <c r="AP170" s="295">
        <f>IF(IF(Inputs!$E$207 = 2, Inputs!AO210, Inputs!AO211) &gt; Inputs!$D151, MIN(IF(Inputs!$E$207 = 2, Inputs!AO210, Inputs!AO211) - Inputs!$D151, Inputs!$D152 - Inputs!$D151), 0)</f>
        <v>0</v>
      </c>
      <c r="AQ170" s="295">
        <f>IF(IF(Inputs!$E$207 = 2, Inputs!AP210, Inputs!AP211) &gt; Inputs!$D151, MIN(IF(Inputs!$E$207 = 2, Inputs!AP210, Inputs!AP211) - Inputs!$D151, Inputs!$D152 - Inputs!$D151), 0)</f>
        <v>0</v>
      </c>
      <c r="AR170" s="295">
        <f>IF(IF(Inputs!$E$207 = 2, Inputs!AQ210, Inputs!AQ211) &gt; Inputs!$D151, MIN(IF(Inputs!$E$207 = 2, Inputs!AQ210, Inputs!AQ211) - Inputs!$D151, Inputs!$D152 - Inputs!$D151), 0)</f>
        <v>0</v>
      </c>
      <c r="AS170" s="295">
        <f>IF(IF(Inputs!$E$207 = 2, Inputs!AR210, Inputs!AR211) &gt; Inputs!$D151, MIN(IF(Inputs!$E$207 = 2, Inputs!AR210, Inputs!AR211) - Inputs!$D151, Inputs!$D152 - Inputs!$D151), 0)</f>
        <v>0</v>
      </c>
      <c r="AT170" s="295">
        <f>IF(IF(Inputs!$E$207 = 2, Inputs!AS210, Inputs!AS211) &gt; Inputs!$D151, MIN(IF(Inputs!$E$207 = 2, Inputs!AS210, Inputs!AS211) - Inputs!$D151, Inputs!$D152 - Inputs!$D151), 0)</f>
        <v>0</v>
      </c>
      <c r="AU170" s="295">
        <f>IF(IF(Inputs!$E$207 = 2, Inputs!AT210, Inputs!AT211) &gt; Inputs!$D151, MIN(IF(Inputs!$E$207 = 2, Inputs!AT210, Inputs!AT211) - Inputs!$D151, Inputs!$D152 - Inputs!$D151), 0)</f>
        <v>0</v>
      </c>
      <c r="AV170" s="295">
        <f>IF(IF(Inputs!$E$207 = 2, Inputs!AU210, Inputs!AU211) &gt; Inputs!$D151, MIN(IF(Inputs!$E$207 = 2, Inputs!AU210, Inputs!AU211) - Inputs!$D151, Inputs!$D152 - Inputs!$D151), 0)</f>
        <v>0</v>
      </c>
      <c r="AW170" s="295">
        <f>IF(IF(Inputs!$E$207 = 2, Inputs!AV210, Inputs!AV211) &gt; Inputs!$D151, MIN(IF(Inputs!$E$207 = 2, Inputs!AV210, Inputs!AV211) - Inputs!$D151, Inputs!$D152 - Inputs!$D151), 0)</f>
        <v>0</v>
      </c>
      <c r="AX170" s="295">
        <f>IF(IF(Inputs!$E$207 = 2, Inputs!AW210, Inputs!AW211) &gt; Inputs!$D151, MIN(IF(Inputs!$E$207 = 2, Inputs!AW210, Inputs!AW211) - Inputs!$D151, Inputs!$D152 - Inputs!$D151), 0)</f>
        <v>0</v>
      </c>
      <c r="AY170" s="295">
        <f>IF(IF(Inputs!$E$207 = 2, Inputs!AX210, Inputs!AX211) &gt; Inputs!$D151, MIN(IF(Inputs!$E$207 = 2, Inputs!AX210, Inputs!AX211) - Inputs!$D151, Inputs!$D152 - Inputs!$D151), 0)</f>
        <v>0</v>
      </c>
      <c r="AZ170" s="295">
        <f>IF(IF(Inputs!$E$207 = 2, Inputs!AY210, Inputs!AY211) &gt; Inputs!$D151, MIN(IF(Inputs!$E$207 = 2, Inputs!AY210, Inputs!AY211) - Inputs!$D151, Inputs!$D152 - Inputs!$D151), 0)</f>
        <v>0</v>
      </c>
      <c r="BA170" s="295">
        <f>IF(IF(Inputs!$E$207 = 2, Inputs!AZ210, Inputs!AZ211) &gt; Inputs!$D151, MIN(IF(Inputs!$E$207 = 2, Inputs!AZ210, Inputs!AZ211) - Inputs!$D151, Inputs!$D152 - Inputs!$D151), 0)</f>
        <v>0</v>
      </c>
      <c r="BB170" s="295">
        <f>IF(IF(Inputs!$E$207 = 2, Inputs!BA210, Inputs!BA211) &gt; Inputs!$D151, MIN(IF(Inputs!$E$207 = 2, Inputs!BA210, Inputs!BA211) - Inputs!$D151, Inputs!$D152 - Inputs!$D151), 0)</f>
        <v>0</v>
      </c>
      <c r="BC170" s="295">
        <f>IF(IF(Inputs!$E$207 = 2, Inputs!BB210, Inputs!BB211) &gt; Inputs!$D151, MIN(IF(Inputs!$E$207 = 2, Inputs!BB210, Inputs!BB211) - Inputs!$D151, Inputs!$D152 - Inputs!$D151), 0)</f>
        <v>0</v>
      </c>
      <c r="BD170" s="295">
        <f>IF(IF(Inputs!$E$207 = 2, Inputs!BC210, Inputs!BC211) &gt; Inputs!$D151, MIN(IF(Inputs!$E$207 = 2, Inputs!BC210, Inputs!BC211) - Inputs!$D151, Inputs!$D152 - Inputs!$D151), 0)</f>
        <v>0</v>
      </c>
    </row>
    <row r="171" spans="3:56" ht="15" customHeight="1">
      <c r="D171" s="109" t="s">
        <v>397</v>
      </c>
      <c r="E171" s="18" t="s">
        <v>407</v>
      </c>
      <c r="G171" s="295">
        <f>IF(IF(Inputs!$E$207 = 2, Inputs!F210, Inputs!F211) &gt; Inputs!$D152, MIN(IF(Inputs!$E$207 = 2, Inputs!F210, Inputs!F211) - Inputs!$D152, Inputs!$D153 - Inputs!$D152), 0)</f>
        <v>0</v>
      </c>
      <c r="H171" s="295">
        <f>IF(IF(Inputs!$E$207 = 2, Inputs!G210, Inputs!G211) &gt; Inputs!$D152, MIN(IF(Inputs!$E$207 = 2, Inputs!G210, Inputs!G211) - Inputs!$D152, Inputs!$D153 - Inputs!$D152), 0)</f>
        <v>0</v>
      </c>
      <c r="I171" s="295">
        <f>IF(IF(Inputs!$E$207 = 2, Inputs!H210, Inputs!H211) &gt; Inputs!$D152, MIN(IF(Inputs!$E$207 = 2, Inputs!H210, Inputs!H211) - Inputs!$D152, Inputs!$D153 - Inputs!$D152), 0)</f>
        <v>0</v>
      </c>
      <c r="J171" s="295">
        <f>IF(IF(Inputs!$E$207 = 2, Inputs!I210, Inputs!I211) &gt; Inputs!$D152, MIN(IF(Inputs!$E$207 = 2, Inputs!I210, Inputs!I211) - Inputs!$D152, Inputs!$D153 - Inputs!$D152), 0)</f>
        <v>0</v>
      </c>
      <c r="K171" s="295">
        <f>IF(IF(Inputs!$E$207 = 2, Inputs!J210, Inputs!J211) &gt; Inputs!$D152, MIN(IF(Inputs!$E$207 = 2, Inputs!J210, Inputs!J211) - Inputs!$D152, Inputs!$D153 - Inputs!$D152), 0)</f>
        <v>0</v>
      </c>
      <c r="L171" s="295">
        <f>IF(IF(Inputs!$E$207 = 2, Inputs!K210, Inputs!K211) &gt; Inputs!$D152, MIN(IF(Inputs!$E$207 = 2, Inputs!K210, Inputs!K211) - Inputs!$D152, Inputs!$D153 - Inputs!$D152), 0)</f>
        <v>0</v>
      </c>
      <c r="M171" s="295">
        <f>IF(IF(Inputs!$E$207 = 2, Inputs!L210, Inputs!L211) &gt; Inputs!$D152, MIN(IF(Inputs!$E$207 = 2, Inputs!L210, Inputs!L211) - Inputs!$D152, Inputs!$D153 - Inputs!$D152), 0)</f>
        <v>0</v>
      </c>
      <c r="N171" s="295">
        <f>IF(IF(Inputs!$E$207 = 2, Inputs!M210, Inputs!M211) &gt; Inputs!$D152, MIN(IF(Inputs!$E$207 = 2, Inputs!M210, Inputs!M211) - Inputs!$D152, Inputs!$D153 - Inputs!$D152), 0)</f>
        <v>0</v>
      </c>
      <c r="O171" s="295">
        <f>IF(IF(Inputs!$E$207 = 2, Inputs!N210, Inputs!N211) &gt; Inputs!$D152, MIN(IF(Inputs!$E$207 = 2, Inputs!N210, Inputs!N211) - Inputs!$D152, Inputs!$D153 - Inputs!$D152), 0)</f>
        <v>0</v>
      </c>
      <c r="P171" s="295">
        <f>IF(IF(Inputs!$E$207 = 2, Inputs!O210, Inputs!O211) &gt; Inputs!$D152, MIN(IF(Inputs!$E$207 = 2, Inputs!O210, Inputs!O211) - Inputs!$D152, Inputs!$D153 - Inputs!$D152), 0)</f>
        <v>0</v>
      </c>
      <c r="Q171" s="295">
        <f>IF(IF(Inputs!$E$207 = 2, Inputs!P210, Inputs!P211) &gt; Inputs!$D152, MIN(IF(Inputs!$E$207 = 2, Inputs!P210, Inputs!P211) - Inputs!$D152, Inputs!$D153 - Inputs!$D152), 0)</f>
        <v>0</v>
      </c>
      <c r="R171" s="295">
        <f>IF(IF(Inputs!$E$207 = 2, Inputs!Q210, Inputs!Q211) &gt; Inputs!$D152, MIN(IF(Inputs!$E$207 = 2, Inputs!Q210, Inputs!Q211) - Inputs!$D152, Inputs!$D153 - Inputs!$D152), 0)</f>
        <v>0</v>
      </c>
      <c r="S171" s="295">
        <f>IF(IF(Inputs!$E$207 = 2, Inputs!R210, Inputs!R211) &gt; Inputs!$D152, MIN(IF(Inputs!$E$207 = 2, Inputs!R210, Inputs!R211) - Inputs!$D152, Inputs!$D153 - Inputs!$D152), 0)</f>
        <v>0</v>
      </c>
      <c r="T171" s="295">
        <f>IF(IF(Inputs!$E$207 = 2, Inputs!S210, Inputs!S211) &gt; Inputs!$D152, MIN(IF(Inputs!$E$207 = 2, Inputs!S210, Inputs!S211) - Inputs!$D152, Inputs!$D153 - Inputs!$D152), 0)</f>
        <v>0</v>
      </c>
      <c r="U171" s="295">
        <f>IF(IF(Inputs!$E$207 = 2, Inputs!T210, Inputs!T211) &gt; Inputs!$D152, MIN(IF(Inputs!$E$207 = 2, Inputs!T210, Inputs!T211) - Inputs!$D152, Inputs!$D153 - Inputs!$D152), 0)</f>
        <v>0</v>
      </c>
      <c r="V171" s="295">
        <f>IF(IF(Inputs!$E$207 = 2, Inputs!U210, Inputs!U211) &gt; Inputs!$D152, MIN(IF(Inputs!$E$207 = 2, Inputs!U210, Inputs!U211) - Inputs!$D152, Inputs!$D153 - Inputs!$D152), 0)</f>
        <v>0</v>
      </c>
      <c r="W171" s="295">
        <f>IF(IF(Inputs!$E$207 = 2, Inputs!V210, Inputs!V211) &gt; Inputs!$D152, MIN(IF(Inputs!$E$207 = 2, Inputs!V210, Inputs!V211) - Inputs!$D152, Inputs!$D153 - Inputs!$D152), 0)</f>
        <v>0</v>
      </c>
      <c r="X171" s="295">
        <f>IF(IF(Inputs!$E$207 = 2, Inputs!W210, Inputs!W211) &gt; Inputs!$D152, MIN(IF(Inputs!$E$207 = 2, Inputs!W210, Inputs!W211) - Inputs!$D152, Inputs!$D153 - Inputs!$D152), 0)</f>
        <v>0</v>
      </c>
      <c r="Y171" s="295">
        <f>IF(IF(Inputs!$E$207 = 2, Inputs!X210, Inputs!X211) &gt; Inputs!$D152, MIN(IF(Inputs!$E$207 = 2, Inputs!X210, Inputs!X211) - Inputs!$D152, Inputs!$D153 - Inputs!$D152), 0)</f>
        <v>0</v>
      </c>
      <c r="Z171" s="295">
        <f>IF(IF(Inputs!$E$207 = 2, Inputs!Y210, Inputs!Y211) &gt; Inputs!$D152, MIN(IF(Inputs!$E$207 = 2, Inputs!Y210, Inputs!Y211) - Inputs!$D152, Inputs!$D153 - Inputs!$D152), 0)</f>
        <v>0</v>
      </c>
      <c r="AA171" s="295">
        <f>IF(IF(Inputs!$E$207 = 2, Inputs!Z210, Inputs!Z211) &gt; Inputs!$D152, MIN(IF(Inputs!$E$207 = 2, Inputs!Z210, Inputs!Z211) - Inputs!$D152, Inputs!$D153 - Inputs!$D152), 0)</f>
        <v>0</v>
      </c>
      <c r="AB171" s="295">
        <f>IF(IF(Inputs!$E$207 = 2, Inputs!AA210, Inputs!AA211) &gt; Inputs!$D152, MIN(IF(Inputs!$E$207 = 2, Inputs!AA210, Inputs!AA211) - Inputs!$D152, Inputs!$D153 - Inputs!$D152), 0)</f>
        <v>0</v>
      </c>
      <c r="AC171" s="295">
        <f>IF(IF(Inputs!$E$207 = 2, Inputs!AB210, Inputs!AB211) &gt; Inputs!$D152, MIN(IF(Inputs!$E$207 = 2, Inputs!AB210, Inputs!AB211) - Inputs!$D152, Inputs!$D153 - Inputs!$D152), 0)</f>
        <v>0</v>
      </c>
      <c r="AD171" s="295">
        <f>IF(IF(Inputs!$E$207 = 2, Inputs!AC210, Inputs!AC211) &gt; Inputs!$D152, MIN(IF(Inputs!$E$207 = 2, Inputs!AC210, Inputs!AC211) - Inputs!$D152, Inputs!$D153 - Inputs!$D152), 0)</f>
        <v>0</v>
      </c>
      <c r="AE171" s="295">
        <f>IF(IF(Inputs!$E$207 = 2, Inputs!AD210, Inputs!AD211) &gt; Inputs!$D152, MIN(IF(Inputs!$E$207 = 2, Inputs!AD210, Inputs!AD211) - Inputs!$D152, Inputs!$D153 - Inputs!$D152), 0)</f>
        <v>0</v>
      </c>
      <c r="AF171" s="295">
        <f>IF(IF(Inputs!$E$207 = 2, Inputs!AE210, Inputs!AE211) &gt; Inputs!$D152, MIN(IF(Inputs!$E$207 = 2, Inputs!AE210, Inputs!AE211) - Inputs!$D152, Inputs!$D153 - Inputs!$D152), 0)</f>
        <v>0</v>
      </c>
      <c r="AG171" s="295">
        <f>IF(IF(Inputs!$E$207 = 2, Inputs!AF210, Inputs!AF211) &gt; Inputs!$D152, MIN(IF(Inputs!$E$207 = 2, Inputs!AF210, Inputs!AF211) - Inputs!$D152, Inputs!$D153 - Inputs!$D152), 0)</f>
        <v>0</v>
      </c>
      <c r="AH171" s="295">
        <f>IF(IF(Inputs!$E$207 = 2, Inputs!AG210, Inputs!AG211) &gt; Inputs!$D152, MIN(IF(Inputs!$E$207 = 2, Inputs!AG210, Inputs!AG211) - Inputs!$D152, Inputs!$D153 - Inputs!$D152), 0)</f>
        <v>0</v>
      </c>
      <c r="AI171" s="295">
        <f>IF(IF(Inputs!$E$207 = 2, Inputs!AH210, Inputs!AH211) &gt; Inputs!$D152, MIN(IF(Inputs!$E$207 = 2, Inputs!AH210, Inputs!AH211) - Inputs!$D152, Inputs!$D153 - Inputs!$D152), 0)</f>
        <v>0</v>
      </c>
      <c r="AJ171" s="295">
        <f>IF(IF(Inputs!$E$207 = 2, Inputs!AI210, Inputs!AI211) &gt; Inputs!$D152, MIN(IF(Inputs!$E$207 = 2, Inputs!AI210, Inputs!AI211) - Inputs!$D152, Inputs!$D153 - Inputs!$D152), 0)</f>
        <v>0</v>
      </c>
      <c r="AK171" s="295">
        <f>IF(IF(Inputs!$E$207 = 2, Inputs!AJ210, Inputs!AJ211) &gt; Inputs!$D152, MIN(IF(Inputs!$E$207 = 2, Inputs!AJ210, Inputs!AJ211) - Inputs!$D152, Inputs!$D153 - Inputs!$D152), 0)</f>
        <v>0</v>
      </c>
      <c r="AL171" s="295">
        <f>IF(IF(Inputs!$E$207 = 2, Inputs!AK210, Inputs!AK211) &gt; Inputs!$D152, MIN(IF(Inputs!$E$207 = 2, Inputs!AK210, Inputs!AK211) - Inputs!$D152, Inputs!$D153 - Inputs!$D152), 0)</f>
        <v>0</v>
      </c>
      <c r="AM171" s="295">
        <f>IF(IF(Inputs!$E$207 = 2, Inputs!AL210, Inputs!AL211) &gt; Inputs!$D152, MIN(IF(Inputs!$E$207 = 2, Inputs!AL210, Inputs!AL211) - Inputs!$D152, Inputs!$D153 - Inputs!$D152), 0)</f>
        <v>0</v>
      </c>
      <c r="AN171" s="295">
        <f>IF(IF(Inputs!$E$207 = 2, Inputs!AM210, Inputs!AM211) &gt; Inputs!$D152, MIN(IF(Inputs!$E$207 = 2, Inputs!AM210, Inputs!AM211) - Inputs!$D152, Inputs!$D153 - Inputs!$D152), 0)</f>
        <v>0</v>
      </c>
      <c r="AO171" s="295">
        <f>IF(IF(Inputs!$E$207 = 2, Inputs!AN210, Inputs!AN211) &gt; Inputs!$D152, MIN(IF(Inputs!$E$207 = 2, Inputs!AN210, Inputs!AN211) - Inputs!$D152, Inputs!$D153 - Inputs!$D152), 0)</f>
        <v>0</v>
      </c>
      <c r="AP171" s="295">
        <f>IF(IF(Inputs!$E$207 = 2, Inputs!AO210, Inputs!AO211) &gt; Inputs!$D152, MIN(IF(Inputs!$E$207 = 2, Inputs!AO210, Inputs!AO211) - Inputs!$D152, Inputs!$D153 - Inputs!$D152), 0)</f>
        <v>0</v>
      </c>
      <c r="AQ171" s="295">
        <f>IF(IF(Inputs!$E$207 = 2, Inputs!AP210, Inputs!AP211) &gt; Inputs!$D152, MIN(IF(Inputs!$E$207 = 2, Inputs!AP210, Inputs!AP211) - Inputs!$D152, Inputs!$D153 - Inputs!$D152), 0)</f>
        <v>0</v>
      </c>
      <c r="AR171" s="295">
        <f>IF(IF(Inputs!$E$207 = 2, Inputs!AQ210, Inputs!AQ211) &gt; Inputs!$D152, MIN(IF(Inputs!$E$207 = 2, Inputs!AQ210, Inputs!AQ211) - Inputs!$D152, Inputs!$D153 - Inputs!$D152), 0)</f>
        <v>0</v>
      </c>
      <c r="AS171" s="295">
        <f>IF(IF(Inputs!$E$207 = 2, Inputs!AR210, Inputs!AR211) &gt; Inputs!$D152, MIN(IF(Inputs!$E$207 = 2, Inputs!AR210, Inputs!AR211) - Inputs!$D152, Inputs!$D153 - Inputs!$D152), 0)</f>
        <v>0</v>
      </c>
      <c r="AT171" s="295">
        <f>IF(IF(Inputs!$E$207 = 2, Inputs!AS210, Inputs!AS211) &gt; Inputs!$D152, MIN(IF(Inputs!$E$207 = 2, Inputs!AS210, Inputs!AS211) - Inputs!$D152, Inputs!$D153 - Inputs!$D152), 0)</f>
        <v>0</v>
      </c>
      <c r="AU171" s="295">
        <f>IF(IF(Inputs!$E$207 = 2, Inputs!AT210, Inputs!AT211) &gt; Inputs!$D152, MIN(IF(Inputs!$E$207 = 2, Inputs!AT210, Inputs!AT211) - Inputs!$D152, Inputs!$D153 - Inputs!$D152), 0)</f>
        <v>0</v>
      </c>
      <c r="AV171" s="295">
        <f>IF(IF(Inputs!$E$207 = 2, Inputs!AU210, Inputs!AU211) &gt; Inputs!$D152, MIN(IF(Inputs!$E$207 = 2, Inputs!AU210, Inputs!AU211) - Inputs!$D152, Inputs!$D153 - Inputs!$D152), 0)</f>
        <v>0</v>
      </c>
      <c r="AW171" s="295">
        <f>IF(IF(Inputs!$E$207 = 2, Inputs!AV210, Inputs!AV211) &gt; Inputs!$D152, MIN(IF(Inputs!$E$207 = 2, Inputs!AV210, Inputs!AV211) - Inputs!$D152, Inputs!$D153 - Inputs!$D152), 0)</f>
        <v>0</v>
      </c>
      <c r="AX171" s="295">
        <f>IF(IF(Inputs!$E$207 = 2, Inputs!AW210, Inputs!AW211) &gt; Inputs!$D152, MIN(IF(Inputs!$E$207 = 2, Inputs!AW210, Inputs!AW211) - Inputs!$D152, Inputs!$D153 - Inputs!$D152), 0)</f>
        <v>0</v>
      </c>
      <c r="AY171" s="295">
        <f>IF(IF(Inputs!$E$207 = 2, Inputs!AX210, Inputs!AX211) &gt; Inputs!$D152, MIN(IF(Inputs!$E$207 = 2, Inputs!AX210, Inputs!AX211) - Inputs!$D152, Inputs!$D153 - Inputs!$D152), 0)</f>
        <v>0</v>
      </c>
      <c r="AZ171" s="295">
        <f>IF(IF(Inputs!$E$207 = 2, Inputs!AY210, Inputs!AY211) &gt; Inputs!$D152, MIN(IF(Inputs!$E$207 = 2, Inputs!AY210, Inputs!AY211) - Inputs!$D152, Inputs!$D153 - Inputs!$D152), 0)</f>
        <v>0</v>
      </c>
      <c r="BA171" s="295">
        <f>IF(IF(Inputs!$E$207 = 2, Inputs!AZ210, Inputs!AZ211) &gt; Inputs!$D152, MIN(IF(Inputs!$E$207 = 2, Inputs!AZ210, Inputs!AZ211) - Inputs!$D152, Inputs!$D153 - Inputs!$D152), 0)</f>
        <v>0</v>
      </c>
      <c r="BB171" s="295">
        <f>IF(IF(Inputs!$E$207 = 2, Inputs!BA210, Inputs!BA211) &gt; Inputs!$D152, MIN(IF(Inputs!$E$207 = 2, Inputs!BA210, Inputs!BA211) - Inputs!$D152, Inputs!$D153 - Inputs!$D152), 0)</f>
        <v>0</v>
      </c>
      <c r="BC171" s="295">
        <f>IF(IF(Inputs!$E$207 = 2, Inputs!BB210, Inputs!BB211) &gt; Inputs!$D152, MIN(IF(Inputs!$E$207 = 2, Inputs!BB210, Inputs!BB211) - Inputs!$D152, Inputs!$D153 - Inputs!$D152), 0)</f>
        <v>0</v>
      </c>
      <c r="BD171" s="295">
        <f>IF(IF(Inputs!$E$207 = 2, Inputs!BC210, Inputs!BC211) &gt; Inputs!$D152, MIN(IF(Inputs!$E$207 = 2, Inputs!BC210, Inputs!BC211) - Inputs!$D152, Inputs!$D153 - Inputs!$D152), 0)</f>
        <v>0</v>
      </c>
    </row>
    <row r="172" spans="3:56" ht="15" customHeight="1">
      <c r="D172" s="109" t="s">
        <v>398</v>
      </c>
      <c r="E172" s="18" t="s">
        <v>407</v>
      </c>
      <c r="G172" s="295">
        <f>IF(IF(Inputs!$E$207 = 2, Inputs!F210, Inputs!F211) &gt; Inputs!$D153, MIN(IF(Inputs!$E$207 = 2, Inputs!F210, Inputs!F211) - Inputs!$D153, Inputs!$D154 - Inputs!$D153), 0)</f>
        <v>0</v>
      </c>
      <c r="H172" s="295">
        <f>IF(IF(Inputs!$E$207 = 2, Inputs!G210, Inputs!G211) &gt; Inputs!$D153, MIN(IF(Inputs!$E$207 = 2, Inputs!G210, Inputs!G211) - Inputs!$D153, Inputs!$D154 - Inputs!$D153), 0)</f>
        <v>0</v>
      </c>
      <c r="I172" s="295">
        <f>IF(IF(Inputs!$E$207 = 2, Inputs!H210, Inputs!H211) &gt; Inputs!$D153, MIN(IF(Inputs!$E$207 = 2, Inputs!H210, Inputs!H211) - Inputs!$D153, Inputs!$D154 - Inputs!$D153), 0)</f>
        <v>0</v>
      </c>
      <c r="J172" s="295">
        <f>IF(IF(Inputs!$E$207 = 2, Inputs!I210, Inputs!I211) &gt; Inputs!$D153, MIN(IF(Inputs!$E$207 = 2, Inputs!I210, Inputs!I211) - Inputs!$D153, Inputs!$D154 - Inputs!$D153), 0)</f>
        <v>0</v>
      </c>
      <c r="K172" s="295">
        <f>IF(IF(Inputs!$E$207 = 2, Inputs!J210, Inputs!J211) &gt; Inputs!$D153, MIN(IF(Inputs!$E$207 = 2, Inputs!J210, Inputs!J211) - Inputs!$D153, Inputs!$D154 - Inputs!$D153), 0)</f>
        <v>0</v>
      </c>
      <c r="L172" s="295">
        <f>IF(IF(Inputs!$E$207 = 2, Inputs!K210, Inputs!K211) &gt; Inputs!$D153, MIN(IF(Inputs!$E$207 = 2, Inputs!K210, Inputs!K211) - Inputs!$D153, Inputs!$D154 - Inputs!$D153), 0)</f>
        <v>0</v>
      </c>
      <c r="M172" s="295">
        <f>IF(IF(Inputs!$E$207 = 2, Inputs!L210, Inputs!L211) &gt; Inputs!$D153, MIN(IF(Inputs!$E$207 = 2, Inputs!L210, Inputs!L211) - Inputs!$D153, Inputs!$D154 - Inputs!$D153), 0)</f>
        <v>0</v>
      </c>
      <c r="N172" s="295">
        <f>IF(IF(Inputs!$E$207 = 2, Inputs!M210, Inputs!M211) &gt; Inputs!$D153, MIN(IF(Inputs!$E$207 = 2, Inputs!M210, Inputs!M211) - Inputs!$D153, Inputs!$D154 - Inputs!$D153), 0)</f>
        <v>0</v>
      </c>
      <c r="O172" s="295">
        <f>IF(IF(Inputs!$E$207 = 2, Inputs!N210, Inputs!N211) &gt; Inputs!$D153, MIN(IF(Inputs!$E$207 = 2, Inputs!N210, Inputs!N211) - Inputs!$D153, Inputs!$D154 - Inputs!$D153), 0)</f>
        <v>0</v>
      </c>
      <c r="P172" s="295">
        <f>IF(IF(Inputs!$E$207 = 2, Inputs!O210, Inputs!O211) &gt; Inputs!$D153, MIN(IF(Inputs!$E$207 = 2, Inputs!O210, Inputs!O211) - Inputs!$D153, Inputs!$D154 - Inputs!$D153), 0)</f>
        <v>0</v>
      </c>
      <c r="Q172" s="295">
        <f>IF(IF(Inputs!$E$207 = 2, Inputs!P210, Inputs!P211) &gt; Inputs!$D153, MIN(IF(Inputs!$E$207 = 2, Inputs!P210, Inputs!P211) - Inputs!$D153, Inputs!$D154 - Inputs!$D153), 0)</f>
        <v>0</v>
      </c>
      <c r="R172" s="295">
        <f>IF(IF(Inputs!$E$207 = 2, Inputs!Q210, Inputs!Q211) &gt; Inputs!$D153, MIN(IF(Inputs!$E$207 = 2, Inputs!Q210, Inputs!Q211) - Inputs!$D153, Inputs!$D154 - Inputs!$D153), 0)</f>
        <v>0</v>
      </c>
      <c r="S172" s="295">
        <f>IF(IF(Inputs!$E$207 = 2, Inputs!R210, Inputs!R211) &gt; Inputs!$D153, MIN(IF(Inputs!$E$207 = 2, Inputs!R210, Inputs!R211) - Inputs!$D153, Inputs!$D154 - Inputs!$D153), 0)</f>
        <v>0</v>
      </c>
      <c r="T172" s="295">
        <f>IF(IF(Inputs!$E$207 = 2, Inputs!S210, Inputs!S211) &gt; Inputs!$D153, MIN(IF(Inputs!$E$207 = 2, Inputs!S210, Inputs!S211) - Inputs!$D153, Inputs!$D154 - Inputs!$D153), 0)</f>
        <v>0</v>
      </c>
      <c r="U172" s="295">
        <f>IF(IF(Inputs!$E$207 = 2, Inputs!T210, Inputs!T211) &gt; Inputs!$D153, MIN(IF(Inputs!$E$207 = 2, Inputs!T210, Inputs!T211) - Inputs!$D153, Inputs!$D154 - Inputs!$D153), 0)</f>
        <v>0</v>
      </c>
      <c r="V172" s="295">
        <f>IF(IF(Inputs!$E$207 = 2, Inputs!U210, Inputs!U211) &gt; Inputs!$D153, MIN(IF(Inputs!$E$207 = 2, Inputs!U210, Inputs!U211) - Inputs!$D153, Inputs!$D154 - Inputs!$D153), 0)</f>
        <v>0</v>
      </c>
      <c r="W172" s="295">
        <f>IF(IF(Inputs!$E$207 = 2, Inputs!V210, Inputs!V211) &gt; Inputs!$D153, MIN(IF(Inputs!$E$207 = 2, Inputs!V210, Inputs!V211) - Inputs!$D153, Inputs!$D154 - Inputs!$D153), 0)</f>
        <v>0</v>
      </c>
      <c r="X172" s="295">
        <f>IF(IF(Inputs!$E$207 = 2, Inputs!W210, Inputs!W211) &gt; Inputs!$D153, MIN(IF(Inputs!$E$207 = 2, Inputs!W210, Inputs!W211) - Inputs!$D153, Inputs!$D154 - Inputs!$D153), 0)</f>
        <v>0</v>
      </c>
      <c r="Y172" s="295">
        <f>IF(IF(Inputs!$E$207 = 2, Inputs!X210, Inputs!X211) &gt; Inputs!$D153, MIN(IF(Inputs!$E$207 = 2, Inputs!X210, Inputs!X211) - Inputs!$D153, Inputs!$D154 - Inputs!$D153), 0)</f>
        <v>0</v>
      </c>
      <c r="Z172" s="295">
        <f>IF(IF(Inputs!$E$207 = 2, Inputs!Y210, Inputs!Y211) &gt; Inputs!$D153, MIN(IF(Inputs!$E$207 = 2, Inputs!Y210, Inputs!Y211) - Inputs!$D153, Inputs!$D154 - Inputs!$D153), 0)</f>
        <v>0</v>
      </c>
      <c r="AA172" s="295">
        <f>IF(IF(Inputs!$E$207 = 2, Inputs!Z210, Inputs!Z211) &gt; Inputs!$D153, MIN(IF(Inputs!$E$207 = 2, Inputs!Z210, Inputs!Z211) - Inputs!$D153, Inputs!$D154 - Inputs!$D153), 0)</f>
        <v>0</v>
      </c>
      <c r="AB172" s="295">
        <f>IF(IF(Inputs!$E$207 = 2, Inputs!AA210, Inputs!AA211) &gt; Inputs!$D153, MIN(IF(Inputs!$E$207 = 2, Inputs!AA210, Inputs!AA211) - Inputs!$D153, Inputs!$D154 - Inputs!$D153), 0)</f>
        <v>0</v>
      </c>
      <c r="AC172" s="295">
        <f>IF(IF(Inputs!$E$207 = 2, Inputs!AB210, Inputs!AB211) &gt; Inputs!$D153, MIN(IF(Inputs!$E$207 = 2, Inputs!AB210, Inputs!AB211) - Inputs!$D153, Inputs!$D154 - Inputs!$D153), 0)</f>
        <v>0</v>
      </c>
      <c r="AD172" s="295">
        <f>IF(IF(Inputs!$E$207 = 2, Inputs!AC210, Inputs!AC211) &gt; Inputs!$D153, MIN(IF(Inputs!$E$207 = 2, Inputs!AC210, Inputs!AC211) - Inputs!$D153, Inputs!$D154 - Inputs!$D153), 0)</f>
        <v>0</v>
      </c>
      <c r="AE172" s="295">
        <f>IF(IF(Inputs!$E$207 = 2, Inputs!AD210, Inputs!AD211) &gt; Inputs!$D153, MIN(IF(Inputs!$E$207 = 2, Inputs!AD210, Inputs!AD211) - Inputs!$D153, Inputs!$D154 - Inputs!$D153), 0)</f>
        <v>0</v>
      </c>
      <c r="AF172" s="295">
        <f>IF(IF(Inputs!$E$207 = 2, Inputs!AE210, Inputs!AE211) &gt; Inputs!$D153, MIN(IF(Inputs!$E$207 = 2, Inputs!AE210, Inputs!AE211) - Inputs!$D153, Inputs!$D154 - Inputs!$D153), 0)</f>
        <v>0</v>
      </c>
      <c r="AG172" s="295">
        <f>IF(IF(Inputs!$E$207 = 2, Inputs!AF210, Inputs!AF211) &gt; Inputs!$D153, MIN(IF(Inputs!$E$207 = 2, Inputs!AF210, Inputs!AF211) - Inputs!$D153, Inputs!$D154 - Inputs!$D153), 0)</f>
        <v>0</v>
      </c>
      <c r="AH172" s="295">
        <f>IF(IF(Inputs!$E$207 = 2, Inputs!AG210, Inputs!AG211) &gt; Inputs!$D153, MIN(IF(Inputs!$E$207 = 2, Inputs!AG210, Inputs!AG211) - Inputs!$D153, Inputs!$D154 - Inputs!$D153), 0)</f>
        <v>0</v>
      </c>
      <c r="AI172" s="295">
        <f>IF(IF(Inputs!$E$207 = 2, Inputs!AH210, Inputs!AH211) &gt; Inputs!$D153, MIN(IF(Inputs!$E$207 = 2, Inputs!AH210, Inputs!AH211) - Inputs!$D153, Inputs!$D154 - Inputs!$D153), 0)</f>
        <v>0</v>
      </c>
      <c r="AJ172" s="295">
        <f>IF(IF(Inputs!$E$207 = 2, Inputs!AI210, Inputs!AI211) &gt; Inputs!$D153, MIN(IF(Inputs!$E$207 = 2, Inputs!AI210, Inputs!AI211) - Inputs!$D153, Inputs!$D154 - Inputs!$D153), 0)</f>
        <v>0</v>
      </c>
      <c r="AK172" s="295">
        <f>IF(IF(Inputs!$E$207 = 2, Inputs!AJ210, Inputs!AJ211) &gt; Inputs!$D153, MIN(IF(Inputs!$E$207 = 2, Inputs!AJ210, Inputs!AJ211) - Inputs!$D153, Inputs!$D154 - Inputs!$D153), 0)</f>
        <v>0</v>
      </c>
      <c r="AL172" s="295">
        <f>IF(IF(Inputs!$E$207 = 2, Inputs!AK210, Inputs!AK211) &gt; Inputs!$D153, MIN(IF(Inputs!$E$207 = 2, Inputs!AK210, Inputs!AK211) - Inputs!$D153, Inputs!$D154 - Inputs!$D153), 0)</f>
        <v>0</v>
      </c>
      <c r="AM172" s="295">
        <f>IF(IF(Inputs!$E$207 = 2, Inputs!AL210, Inputs!AL211) &gt; Inputs!$D153, MIN(IF(Inputs!$E$207 = 2, Inputs!AL210, Inputs!AL211) - Inputs!$D153, Inputs!$D154 - Inputs!$D153), 0)</f>
        <v>0</v>
      </c>
      <c r="AN172" s="295">
        <f>IF(IF(Inputs!$E$207 = 2, Inputs!AM210, Inputs!AM211) &gt; Inputs!$D153, MIN(IF(Inputs!$E$207 = 2, Inputs!AM210, Inputs!AM211) - Inputs!$D153, Inputs!$D154 - Inputs!$D153), 0)</f>
        <v>0</v>
      </c>
      <c r="AO172" s="295">
        <f>IF(IF(Inputs!$E$207 = 2, Inputs!AN210, Inputs!AN211) &gt; Inputs!$D153, MIN(IF(Inputs!$E$207 = 2, Inputs!AN210, Inputs!AN211) - Inputs!$D153, Inputs!$D154 - Inputs!$D153), 0)</f>
        <v>0</v>
      </c>
      <c r="AP172" s="295">
        <f>IF(IF(Inputs!$E$207 = 2, Inputs!AO210, Inputs!AO211) &gt; Inputs!$D153, MIN(IF(Inputs!$E$207 = 2, Inputs!AO210, Inputs!AO211) - Inputs!$D153, Inputs!$D154 - Inputs!$D153), 0)</f>
        <v>0</v>
      </c>
      <c r="AQ172" s="295">
        <f>IF(IF(Inputs!$E$207 = 2, Inputs!AP210, Inputs!AP211) &gt; Inputs!$D153, MIN(IF(Inputs!$E$207 = 2, Inputs!AP210, Inputs!AP211) - Inputs!$D153, Inputs!$D154 - Inputs!$D153), 0)</f>
        <v>0</v>
      </c>
      <c r="AR172" s="295">
        <f>IF(IF(Inputs!$E$207 = 2, Inputs!AQ210, Inputs!AQ211) &gt; Inputs!$D153, MIN(IF(Inputs!$E$207 = 2, Inputs!AQ210, Inputs!AQ211) - Inputs!$D153, Inputs!$D154 - Inputs!$D153), 0)</f>
        <v>0</v>
      </c>
      <c r="AS172" s="295">
        <f>IF(IF(Inputs!$E$207 = 2, Inputs!AR210, Inputs!AR211) &gt; Inputs!$D153, MIN(IF(Inputs!$E$207 = 2, Inputs!AR210, Inputs!AR211) - Inputs!$D153, Inputs!$D154 - Inputs!$D153), 0)</f>
        <v>0</v>
      </c>
      <c r="AT172" s="295">
        <f>IF(IF(Inputs!$E$207 = 2, Inputs!AS210, Inputs!AS211) &gt; Inputs!$D153, MIN(IF(Inputs!$E$207 = 2, Inputs!AS210, Inputs!AS211) - Inputs!$D153, Inputs!$D154 - Inputs!$D153), 0)</f>
        <v>0</v>
      </c>
      <c r="AU172" s="295">
        <f>IF(IF(Inputs!$E$207 = 2, Inputs!AT210, Inputs!AT211) &gt; Inputs!$D153, MIN(IF(Inputs!$E$207 = 2, Inputs!AT210, Inputs!AT211) - Inputs!$D153, Inputs!$D154 - Inputs!$D153), 0)</f>
        <v>0</v>
      </c>
      <c r="AV172" s="295">
        <f>IF(IF(Inputs!$E$207 = 2, Inputs!AU210, Inputs!AU211) &gt; Inputs!$D153, MIN(IF(Inputs!$E$207 = 2, Inputs!AU210, Inputs!AU211) - Inputs!$D153, Inputs!$D154 - Inputs!$D153), 0)</f>
        <v>0</v>
      </c>
      <c r="AW172" s="295">
        <f>IF(IF(Inputs!$E$207 = 2, Inputs!AV210, Inputs!AV211) &gt; Inputs!$D153, MIN(IF(Inputs!$E$207 = 2, Inputs!AV210, Inputs!AV211) - Inputs!$D153, Inputs!$D154 - Inputs!$D153), 0)</f>
        <v>0</v>
      </c>
      <c r="AX172" s="295">
        <f>IF(IF(Inputs!$E$207 = 2, Inputs!AW210, Inputs!AW211) &gt; Inputs!$D153, MIN(IF(Inputs!$E$207 = 2, Inputs!AW210, Inputs!AW211) - Inputs!$D153, Inputs!$D154 - Inputs!$D153), 0)</f>
        <v>0</v>
      </c>
      <c r="AY172" s="295">
        <f>IF(IF(Inputs!$E$207 = 2, Inputs!AX210, Inputs!AX211) &gt; Inputs!$D153, MIN(IF(Inputs!$E$207 = 2, Inputs!AX210, Inputs!AX211) - Inputs!$D153, Inputs!$D154 - Inputs!$D153), 0)</f>
        <v>0</v>
      </c>
      <c r="AZ172" s="295">
        <f>IF(IF(Inputs!$E$207 = 2, Inputs!AY210, Inputs!AY211) &gt; Inputs!$D153, MIN(IF(Inputs!$E$207 = 2, Inputs!AY210, Inputs!AY211) - Inputs!$D153, Inputs!$D154 - Inputs!$D153), 0)</f>
        <v>0</v>
      </c>
      <c r="BA172" s="295">
        <f>IF(IF(Inputs!$E$207 = 2, Inputs!AZ210, Inputs!AZ211) &gt; Inputs!$D153, MIN(IF(Inputs!$E$207 = 2, Inputs!AZ210, Inputs!AZ211) - Inputs!$D153, Inputs!$D154 - Inputs!$D153), 0)</f>
        <v>0</v>
      </c>
      <c r="BB172" s="295">
        <f>IF(IF(Inputs!$E$207 = 2, Inputs!BA210, Inputs!BA211) &gt; Inputs!$D153, MIN(IF(Inputs!$E$207 = 2, Inputs!BA210, Inputs!BA211) - Inputs!$D153, Inputs!$D154 - Inputs!$D153), 0)</f>
        <v>0</v>
      </c>
      <c r="BC172" s="295">
        <f>IF(IF(Inputs!$E$207 = 2, Inputs!BB210, Inputs!BB211) &gt; Inputs!$D153, MIN(IF(Inputs!$E$207 = 2, Inputs!BB210, Inputs!BB211) - Inputs!$D153, Inputs!$D154 - Inputs!$D153), 0)</f>
        <v>0</v>
      </c>
      <c r="BD172" s="295">
        <f>IF(IF(Inputs!$E$207 = 2, Inputs!BC210, Inputs!BC211) &gt; Inputs!$D153, MIN(IF(Inputs!$E$207 = 2, Inputs!BC210, Inputs!BC211) - Inputs!$D153, Inputs!$D154 - Inputs!$D153), 0)</f>
        <v>0</v>
      </c>
    </row>
    <row r="173" spans="3:56" ht="15" customHeight="1">
      <c r="D173" s="109" t="s">
        <v>399</v>
      </c>
      <c r="E173" s="18" t="s">
        <v>407</v>
      </c>
      <c r="G173" s="295">
        <f>IF(IF(Inputs!$E$207 = 2, Inputs!F210, Inputs!F211) &gt; Inputs!$D154, MIN(IF(Inputs!$E$207 = 2, Inputs!F210, Inputs!F211) - Inputs!$D154, Inputs!$D155 - Inputs!$D154), 0)</f>
        <v>0</v>
      </c>
      <c r="H173" s="295">
        <f>IF(IF(Inputs!$E$207 = 2, Inputs!G210, Inputs!G211) &gt; Inputs!$D154, MIN(IF(Inputs!$E$207 = 2, Inputs!G210, Inputs!G211) - Inputs!$D154, Inputs!$D155 - Inputs!$D154), 0)</f>
        <v>0</v>
      </c>
      <c r="I173" s="295">
        <f>IF(IF(Inputs!$E$207 = 2, Inputs!H210, Inputs!H211) &gt; Inputs!$D154, MIN(IF(Inputs!$E$207 = 2, Inputs!H210, Inputs!H211) - Inputs!$D154, Inputs!$D155 - Inputs!$D154), 0)</f>
        <v>0</v>
      </c>
      <c r="J173" s="295">
        <f>IF(IF(Inputs!$E$207 = 2, Inputs!I210, Inputs!I211) &gt; Inputs!$D154, MIN(IF(Inputs!$E$207 = 2, Inputs!I210, Inputs!I211) - Inputs!$D154, Inputs!$D155 - Inputs!$D154), 0)</f>
        <v>0</v>
      </c>
      <c r="K173" s="295">
        <f>IF(IF(Inputs!$E$207 = 2, Inputs!J210, Inputs!J211) &gt; Inputs!$D154, MIN(IF(Inputs!$E$207 = 2, Inputs!J210, Inputs!J211) - Inputs!$D154, Inputs!$D155 - Inputs!$D154), 0)</f>
        <v>0</v>
      </c>
      <c r="L173" s="295">
        <f>IF(IF(Inputs!$E$207 = 2, Inputs!K210, Inputs!K211) &gt; Inputs!$D154, MIN(IF(Inputs!$E$207 = 2, Inputs!K210, Inputs!K211) - Inputs!$D154, Inputs!$D155 - Inputs!$D154), 0)</f>
        <v>0</v>
      </c>
      <c r="M173" s="295">
        <f>IF(IF(Inputs!$E$207 = 2, Inputs!L210, Inputs!L211) &gt; Inputs!$D154, MIN(IF(Inputs!$E$207 = 2, Inputs!L210, Inputs!L211) - Inputs!$D154, Inputs!$D155 - Inputs!$D154), 0)</f>
        <v>0</v>
      </c>
      <c r="N173" s="295">
        <f>IF(IF(Inputs!$E$207 = 2, Inputs!M210, Inputs!M211) &gt; Inputs!$D154, MIN(IF(Inputs!$E$207 = 2, Inputs!M210, Inputs!M211) - Inputs!$D154, Inputs!$D155 - Inputs!$D154), 0)</f>
        <v>0</v>
      </c>
      <c r="O173" s="295">
        <f>IF(IF(Inputs!$E$207 = 2, Inputs!N210, Inputs!N211) &gt; Inputs!$D154, MIN(IF(Inputs!$E$207 = 2, Inputs!N210, Inputs!N211) - Inputs!$D154, Inputs!$D155 - Inputs!$D154), 0)</f>
        <v>0</v>
      </c>
      <c r="P173" s="295">
        <f>IF(IF(Inputs!$E$207 = 2, Inputs!O210, Inputs!O211) &gt; Inputs!$D154, MIN(IF(Inputs!$E$207 = 2, Inputs!O210, Inputs!O211) - Inputs!$D154, Inputs!$D155 - Inputs!$D154), 0)</f>
        <v>0</v>
      </c>
      <c r="Q173" s="295">
        <f>IF(IF(Inputs!$E$207 = 2, Inputs!P210, Inputs!P211) &gt; Inputs!$D154, MIN(IF(Inputs!$E$207 = 2, Inputs!P210, Inputs!P211) - Inputs!$D154, Inputs!$D155 - Inputs!$D154), 0)</f>
        <v>0</v>
      </c>
      <c r="R173" s="295">
        <f>IF(IF(Inputs!$E$207 = 2, Inputs!Q210, Inputs!Q211) &gt; Inputs!$D154, MIN(IF(Inputs!$E$207 = 2, Inputs!Q210, Inputs!Q211) - Inputs!$D154, Inputs!$D155 - Inputs!$D154), 0)</f>
        <v>0</v>
      </c>
      <c r="S173" s="295">
        <f>IF(IF(Inputs!$E$207 = 2, Inputs!R210, Inputs!R211) &gt; Inputs!$D154, MIN(IF(Inputs!$E$207 = 2, Inputs!R210, Inputs!R211) - Inputs!$D154, Inputs!$D155 - Inputs!$D154), 0)</f>
        <v>0</v>
      </c>
      <c r="T173" s="295">
        <f>IF(IF(Inputs!$E$207 = 2, Inputs!S210, Inputs!S211) &gt; Inputs!$D154, MIN(IF(Inputs!$E$207 = 2, Inputs!S210, Inputs!S211) - Inputs!$D154, Inputs!$D155 - Inputs!$D154), 0)</f>
        <v>0</v>
      </c>
      <c r="U173" s="295">
        <f>IF(IF(Inputs!$E$207 = 2, Inputs!T210, Inputs!T211) &gt; Inputs!$D154, MIN(IF(Inputs!$E$207 = 2, Inputs!T210, Inputs!T211) - Inputs!$D154, Inputs!$D155 - Inputs!$D154), 0)</f>
        <v>0</v>
      </c>
      <c r="V173" s="295">
        <f>IF(IF(Inputs!$E$207 = 2, Inputs!U210, Inputs!U211) &gt; Inputs!$D154, MIN(IF(Inputs!$E$207 = 2, Inputs!U210, Inputs!U211) - Inputs!$D154, Inputs!$D155 - Inputs!$D154), 0)</f>
        <v>0</v>
      </c>
      <c r="W173" s="295">
        <f>IF(IF(Inputs!$E$207 = 2, Inputs!V210, Inputs!V211) &gt; Inputs!$D154, MIN(IF(Inputs!$E$207 = 2, Inputs!V210, Inputs!V211) - Inputs!$D154, Inputs!$D155 - Inputs!$D154), 0)</f>
        <v>0</v>
      </c>
      <c r="X173" s="295">
        <f>IF(IF(Inputs!$E$207 = 2, Inputs!W210, Inputs!W211) &gt; Inputs!$D154, MIN(IF(Inputs!$E$207 = 2, Inputs!W210, Inputs!W211) - Inputs!$D154, Inputs!$D155 - Inputs!$D154), 0)</f>
        <v>0</v>
      </c>
      <c r="Y173" s="295">
        <f>IF(IF(Inputs!$E$207 = 2, Inputs!X210, Inputs!X211) &gt; Inputs!$D154, MIN(IF(Inputs!$E$207 = 2, Inputs!X210, Inputs!X211) - Inputs!$D154, Inputs!$D155 - Inputs!$D154), 0)</f>
        <v>0</v>
      </c>
      <c r="Z173" s="295">
        <f>IF(IF(Inputs!$E$207 = 2, Inputs!Y210, Inputs!Y211) &gt; Inputs!$D154, MIN(IF(Inputs!$E$207 = 2, Inputs!Y210, Inputs!Y211) - Inputs!$D154, Inputs!$D155 - Inputs!$D154), 0)</f>
        <v>0</v>
      </c>
      <c r="AA173" s="295">
        <f>IF(IF(Inputs!$E$207 = 2, Inputs!Z210, Inputs!Z211) &gt; Inputs!$D154, MIN(IF(Inputs!$E$207 = 2, Inputs!Z210, Inputs!Z211) - Inputs!$D154, Inputs!$D155 - Inputs!$D154), 0)</f>
        <v>0</v>
      </c>
      <c r="AB173" s="295">
        <f>IF(IF(Inputs!$E$207 = 2, Inputs!AA210, Inputs!AA211) &gt; Inputs!$D154, MIN(IF(Inputs!$E$207 = 2, Inputs!AA210, Inputs!AA211) - Inputs!$D154, Inputs!$D155 - Inputs!$D154), 0)</f>
        <v>0</v>
      </c>
      <c r="AC173" s="295">
        <f>IF(IF(Inputs!$E$207 = 2, Inputs!AB210, Inputs!AB211) &gt; Inputs!$D154, MIN(IF(Inputs!$E$207 = 2, Inputs!AB210, Inputs!AB211) - Inputs!$D154, Inputs!$D155 - Inputs!$D154), 0)</f>
        <v>0</v>
      </c>
      <c r="AD173" s="295">
        <f>IF(IF(Inputs!$E$207 = 2, Inputs!AC210, Inputs!AC211) &gt; Inputs!$D154, MIN(IF(Inputs!$E$207 = 2, Inputs!AC210, Inputs!AC211) - Inputs!$D154, Inputs!$D155 - Inputs!$D154), 0)</f>
        <v>0</v>
      </c>
      <c r="AE173" s="295">
        <f>IF(IF(Inputs!$E$207 = 2, Inputs!AD210, Inputs!AD211) &gt; Inputs!$D154, MIN(IF(Inputs!$E$207 = 2, Inputs!AD210, Inputs!AD211) - Inputs!$D154, Inputs!$D155 - Inputs!$D154), 0)</f>
        <v>0</v>
      </c>
      <c r="AF173" s="295">
        <f>IF(IF(Inputs!$E$207 = 2, Inputs!AE210, Inputs!AE211) &gt; Inputs!$D154, MIN(IF(Inputs!$E$207 = 2, Inputs!AE210, Inputs!AE211) - Inputs!$D154, Inputs!$D155 - Inputs!$D154), 0)</f>
        <v>0</v>
      </c>
      <c r="AG173" s="295">
        <f>IF(IF(Inputs!$E$207 = 2, Inputs!AF210, Inputs!AF211) &gt; Inputs!$D154, MIN(IF(Inputs!$E$207 = 2, Inputs!AF210, Inputs!AF211) - Inputs!$D154, Inputs!$D155 - Inputs!$D154), 0)</f>
        <v>0</v>
      </c>
      <c r="AH173" s="295">
        <f>IF(IF(Inputs!$E$207 = 2, Inputs!AG210, Inputs!AG211) &gt; Inputs!$D154, MIN(IF(Inputs!$E$207 = 2, Inputs!AG210, Inputs!AG211) - Inputs!$D154, Inputs!$D155 - Inputs!$D154), 0)</f>
        <v>0</v>
      </c>
      <c r="AI173" s="295">
        <f>IF(IF(Inputs!$E$207 = 2, Inputs!AH210, Inputs!AH211) &gt; Inputs!$D154, MIN(IF(Inputs!$E$207 = 2, Inputs!AH210, Inputs!AH211) - Inputs!$D154, Inputs!$D155 - Inputs!$D154), 0)</f>
        <v>0</v>
      </c>
      <c r="AJ173" s="295">
        <f>IF(IF(Inputs!$E$207 = 2, Inputs!AI210, Inputs!AI211) &gt; Inputs!$D154, MIN(IF(Inputs!$E$207 = 2, Inputs!AI210, Inputs!AI211) - Inputs!$D154, Inputs!$D155 - Inputs!$D154), 0)</f>
        <v>0</v>
      </c>
      <c r="AK173" s="295">
        <f>IF(IF(Inputs!$E$207 = 2, Inputs!AJ210, Inputs!AJ211) &gt; Inputs!$D154, MIN(IF(Inputs!$E$207 = 2, Inputs!AJ210, Inputs!AJ211) - Inputs!$D154, Inputs!$D155 - Inputs!$D154), 0)</f>
        <v>0</v>
      </c>
      <c r="AL173" s="295">
        <f>IF(IF(Inputs!$E$207 = 2, Inputs!AK210, Inputs!AK211) &gt; Inputs!$D154, MIN(IF(Inputs!$E$207 = 2, Inputs!AK210, Inputs!AK211) - Inputs!$D154, Inputs!$D155 - Inputs!$D154), 0)</f>
        <v>0</v>
      </c>
      <c r="AM173" s="295">
        <f>IF(IF(Inputs!$E$207 = 2, Inputs!AL210, Inputs!AL211) &gt; Inputs!$D154, MIN(IF(Inputs!$E$207 = 2, Inputs!AL210, Inputs!AL211) - Inputs!$D154, Inputs!$D155 - Inputs!$D154), 0)</f>
        <v>0</v>
      </c>
      <c r="AN173" s="295">
        <f>IF(IF(Inputs!$E$207 = 2, Inputs!AM210, Inputs!AM211) &gt; Inputs!$D154, MIN(IF(Inputs!$E$207 = 2, Inputs!AM210, Inputs!AM211) - Inputs!$D154, Inputs!$D155 - Inputs!$D154), 0)</f>
        <v>0</v>
      </c>
      <c r="AO173" s="295">
        <f>IF(IF(Inputs!$E$207 = 2, Inputs!AN210, Inputs!AN211) &gt; Inputs!$D154, MIN(IF(Inputs!$E$207 = 2, Inputs!AN210, Inputs!AN211) - Inputs!$D154, Inputs!$D155 - Inputs!$D154), 0)</f>
        <v>0</v>
      </c>
      <c r="AP173" s="295">
        <f>IF(IF(Inputs!$E$207 = 2, Inputs!AO210, Inputs!AO211) &gt; Inputs!$D154, MIN(IF(Inputs!$E$207 = 2, Inputs!AO210, Inputs!AO211) - Inputs!$D154, Inputs!$D155 - Inputs!$D154), 0)</f>
        <v>0</v>
      </c>
      <c r="AQ173" s="295">
        <f>IF(IF(Inputs!$E$207 = 2, Inputs!AP210, Inputs!AP211) &gt; Inputs!$D154, MIN(IF(Inputs!$E$207 = 2, Inputs!AP210, Inputs!AP211) - Inputs!$D154, Inputs!$D155 - Inputs!$D154), 0)</f>
        <v>0</v>
      </c>
      <c r="AR173" s="295">
        <f>IF(IF(Inputs!$E$207 = 2, Inputs!AQ210, Inputs!AQ211) &gt; Inputs!$D154, MIN(IF(Inputs!$E$207 = 2, Inputs!AQ210, Inputs!AQ211) - Inputs!$D154, Inputs!$D155 - Inputs!$D154), 0)</f>
        <v>0</v>
      </c>
      <c r="AS173" s="295">
        <f>IF(IF(Inputs!$E$207 = 2, Inputs!AR210, Inputs!AR211) &gt; Inputs!$D154, MIN(IF(Inputs!$E$207 = 2, Inputs!AR210, Inputs!AR211) - Inputs!$D154, Inputs!$D155 - Inputs!$D154), 0)</f>
        <v>0</v>
      </c>
      <c r="AT173" s="295">
        <f>IF(IF(Inputs!$E$207 = 2, Inputs!AS210, Inputs!AS211) &gt; Inputs!$D154, MIN(IF(Inputs!$E$207 = 2, Inputs!AS210, Inputs!AS211) - Inputs!$D154, Inputs!$D155 - Inputs!$D154), 0)</f>
        <v>0</v>
      </c>
      <c r="AU173" s="295">
        <f>IF(IF(Inputs!$E$207 = 2, Inputs!AT210, Inputs!AT211) &gt; Inputs!$D154, MIN(IF(Inputs!$E$207 = 2, Inputs!AT210, Inputs!AT211) - Inputs!$D154, Inputs!$D155 - Inputs!$D154), 0)</f>
        <v>0</v>
      </c>
      <c r="AV173" s="295">
        <f>IF(IF(Inputs!$E$207 = 2, Inputs!AU210, Inputs!AU211) &gt; Inputs!$D154, MIN(IF(Inputs!$E$207 = 2, Inputs!AU210, Inputs!AU211) - Inputs!$D154, Inputs!$D155 - Inputs!$D154), 0)</f>
        <v>0</v>
      </c>
      <c r="AW173" s="295">
        <f>IF(IF(Inputs!$E$207 = 2, Inputs!AV210, Inputs!AV211) &gt; Inputs!$D154, MIN(IF(Inputs!$E$207 = 2, Inputs!AV210, Inputs!AV211) - Inputs!$D154, Inputs!$D155 - Inputs!$D154), 0)</f>
        <v>0</v>
      </c>
      <c r="AX173" s="295">
        <f>IF(IF(Inputs!$E$207 = 2, Inputs!AW210, Inputs!AW211) &gt; Inputs!$D154, MIN(IF(Inputs!$E$207 = 2, Inputs!AW210, Inputs!AW211) - Inputs!$D154, Inputs!$D155 - Inputs!$D154), 0)</f>
        <v>0</v>
      </c>
      <c r="AY173" s="295">
        <f>IF(IF(Inputs!$E$207 = 2, Inputs!AX210, Inputs!AX211) &gt; Inputs!$D154, MIN(IF(Inputs!$E$207 = 2, Inputs!AX210, Inputs!AX211) - Inputs!$D154, Inputs!$D155 - Inputs!$D154), 0)</f>
        <v>0</v>
      </c>
      <c r="AZ173" s="295">
        <f>IF(IF(Inputs!$E$207 = 2, Inputs!AY210, Inputs!AY211) &gt; Inputs!$D154, MIN(IF(Inputs!$E$207 = 2, Inputs!AY210, Inputs!AY211) - Inputs!$D154, Inputs!$D155 - Inputs!$D154), 0)</f>
        <v>0</v>
      </c>
      <c r="BA173" s="295">
        <f>IF(IF(Inputs!$E$207 = 2, Inputs!AZ210, Inputs!AZ211) &gt; Inputs!$D154, MIN(IF(Inputs!$E$207 = 2, Inputs!AZ210, Inputs!AZ211) - Inputs!$D154, Inputs!$D155 - Inputs!$D154), 0)</f>
        <v>0</v>
      </c>
      <c r="BB173" s="295">
        <f>IF(IF(Inputs!$E$207 = 2, Inputs!BA210, Inputs!BA211) &gt; Inputs!$D154, MIN(IF(Inputs!$E$207 = 2, Inputs!BA210, Inputs!BA211) - Inputs!$D154, Inputs!$D155 - Inputs!$D154), 0)</f>
        <v>0</v>
      </c>
      <c r="BC173" s="295">
        <f>IF(IF(Inputs!$E$207 = 2, Inputs!BB210, Inputs!BB211) &gt; Inputs!$D154, MIN(IF(Inputs!$E$207 = 2, Inputs!BB210, Inputs!BB211) - Inputs!$D154, Inputs!$D155 - Inputs!$D154), 0)</f>
        <v>0</v>
      </c>
      <c r="BD173" s="295">
        <f>IF(IF(Inputs!$E$207 = 2, Inputs!BC210, Inputs!BC211) &gt; Inputs!$D154, MIN(IF(Inputs!$E$207 = 2, Inputs!BC210, Inputs!BC211) - Inputs!$D154, Inputs!$D155 - Inputs!$D154), 0)</f>
        <v>0</v>
      </c>
    </row>
    <row r="174" spans="3:56" ht="15" customHeight="1">
      <c r="D174" s="109" t="s">
        <v>400</v>
      </c>
      <c r="E174" s="18" t="s">
        <v>407</v>
      </c>
      <c r="G174" s="295">
        <f>IF(IF(Inputs!$E$207 = 2, Inputs!F210, Inputs!F211) &gt; Inputs!$D155, MIN(IF(Inputs!$E$207 = 2, Inputs!F210, Inputs!F211) - Inputs!$D155, Inputs!$D156 - Inputs!$D155), 0)</f>
        <v>0</v>
      </c>
      <c r="H174" s="295">
        <f>IF(IF(Inputs!$E$207 = 2, Inputs!G210, Inputs!G211) &gt; Inputs!$D155, MIN(IF(Inputs!$E$207 = 2, Inputs!G210, Inputs!G211) - Inputs!$D155, Inputs!$D156 - Inputs!$D155), 0)</f>
        <v>0</v>
      </c>
      <c r="I174" s="295">
        <f>IF(IF(Inputs!$E$207 = 2, Inputs!H210, Inputs!H211) &gt; Inputs!$D155, MIN(IF(Inputs!$E$207 = 2, Inputs!H210, Inputs!H211) - Inputs!$D155, Inputs!$D156 - Inputs!$D155), 0)</f>
        <v>0</v>
      </c>
      <c r="J174" s="295">
        <f>IF(IF(Inputs!$E$207 = 2, Inputs!I210, Inputs!I211) &gt; Inputs!$D155, MIN(IF(Inputs!$E$207 = 2, Inputs!I210, Inputs!I211) - Inputs!$D155, Inputs!$D156 - Inputs!$D155), 0)</f>
        <v>0</v>
      </c>
      <c r="K174" s="295">
        <f>IF(IF(Inputs!$E$207 = 2, Inputs!J210, Inputs!J211) &gt; Inputs!$D155, MIN(IF(Inputs!$E$207 = 2, Inputs!J210, Inputs!J211) - Inputs!$D155, Inputs!$D156 - Inputs!$D155), 0)</f>
        <v>0</v>
      </c>
      <c r="L174" s="295">
        <f>IF(IF(Inputs!$E$207 = 2, Inputs!K210, Inputs!K211) &gt; Inputs!$D155, MIN(IF(Inputs!$E$207 = 2, Inputs!K210, Inputs!K211) - Inputs!$D155, Inputs!$D156 - Inputs!$D155), 0)</f>
        <v>0</v>
      </c>
      <c r="M174" s="295">
        <f>IF(IF(Inputs!$E$207 = 2, Inputs!L210, Inputs!L211) &gt; Inputs!$D155, MIN(IF(Inputs!$E$207 = 2, Inputs!L210, Inputs!L211) - Inputs!$D155, Inputs!$D156 - Inputs!$D155), 0)</f>
        <v>0</v>
      </c>
      <c r="N174" s="295">
        <f>IF(IF(Inputs!$E$207 = 2, Inputs!M210, Inputs!M211) &gt; Inputs!$D155, MIN(IF(Inputs!$E$207 = 2, Inputs!M210, Inputs!M211) - Inputs!$D155, Inputs!$D156 - Inputs!$D155), 0)</f>
        <v>0</v>
      </c>
      <c r="O174" s="295">
        <f>IF(IF(Inputs!$E$207 = 2, Inputs!N210, Inputs!N211) &gt; Inputs!$D155, MIN(IF(Inputs!$E$207 = 2, Inputs!N210, Inputs!N211) - Inputs!$D155, Inputs!$D156 - Inputs!$D155), 0)</f>
        <v>0</v>
      </c>
      <c r="P174" s="295">
        <f>IF(IF(Inputs!$E$207 = 2, Inputs!O210, Inputs!O211) &gt; Inputs!$D155, MIN(IF(Inputs!$E$207 = 2, Inputs!O210, Inputs!O211) - Inputs!$D155, Inputs!$D156 - Inputs!$D155), 0)</f>
        <v>0</v>
      </c>
      <c r="Q174" s="295">
        <f>IF(IF(Inputs!$E$207 = 2, Inputs!P210, Inputs!P211) &gt; Inputs!$D155, MIN(IF(Inputs!$E$207 = 2, Inputs!P210, Inputs!P211) - Inputs!$D155, Inputs!$D156 - Inputs!$D155), 0)</f>
        <v>0</v>
      </c>
      <c r="R174" s="295">
        <f>IF(IF(Inputs!$E$207 = 2, Inputs!Q210, Inputs!Q211) &gt; Inputs!$D155, MIN(IF(Inputs!$E$207 = 2, Inputs!Q210, Inputs!Q211) - Inputs!$D155, Inputs!$D156 - Inputs!$D155), 0)</f>
        <v>0</v>
      </c>
      <c r="S174" s="295">
        <f>IF(IF(Inputs!$E$207 = 2, Inputs!R210, Inputs!R211) &gt; Inputs!$D155, MIN(IF(Inputs!$E$207 = 2, Inputs!R210, Inputs!R211) - Inputs!$D155, Inputs!$D156 - Inputs!$D155), 0)</f>
        <v>0</v>
      </c>
      <c r="T174" s="295">
        <f>IF(IF(Inputs!$E$207 = 2, Inputs!S210, Inputs!S211) &gt; Inputs!$D155, MIN(IF(Inputs!$E$207 = 2, Inputs!S210, Inputs!S211) - Inputs!$D155, Inputs!$D156 - Inputs!$D155), 0)</f>
        <v>0</v>
      </c>
      <c r="U174" s="295">
        <f>IF(IF(Inputs!$E$207 = 2, Inputs!T210, Inputs!T211) &gt; Inputs!$D155, MIN(IF(Inputs!$E$207 = 2, Inputs!T210, Inputs!T211) - Inputs!$D155, Inputs!$D156 - Inputs!$D155), 0)</f>
        <v>0</v>
      </c>
      <c r="V174" s="295">
        <f>IF(IF(Inputs!$E$207 = 2, Inputs!U210, Inputs!U211) &gt; Inputs!$D155, MIN(IF(Inputs!$E$207 = 2, Inputs!U210, Inputs!U211) - Inputs!$D155, Inputs!$D156 - Inputs!$D155), 0)</f>
        <v>0</v>
      </c>
      <c r="W174" s="295">
        <f>IF(IF(Inputs!$E$207 = 2, Inputs!V210, Inputs!V211) &gt; Inputs!$D155, MIN(IF(Inputs!$E$207 = 2, Inputs!V210, Inputs!V211) - Inputs!$D155, Inputs!$D156 - Inputs!$D155), 0)</f>
        <v>0</v>
      </c>
      <c r="X174" s="295">
        <f>IF(IF(Inputs!$E$207 = 2, Inputs!W210, Inputs!W211) &gt; Inputs!$D155, MIN(IF(Inputs!$E$207 = 2, Inputs!W210, Inputs!W211) - Inputs!$D155, Inputs!$D156 - Inputs!$D155), 0)</f>
        <v>0</v>
      </c>
      <c r="Y174" s="295">
        <f>IF(IF(Inputs!$E$207 = 2, Inputs!X210, Inputs!X211) &gt; Inputs!$D155, MIN(IF(Inputs!$E$207 = 2, Inputs!X210, Inputs!X211) - Inputs!$D155, Inputs!$D156 - Inputs!$D155), 0)</f>
        <v>0</v>
      </c>
      <c r="Z174" s="295">
        <f>IF(IF(Inputs!$E$207 = 2, Inputs!Y210, Inputs!Y211) &gt; Inputs!$D155, MIN(IF(Inputs!$E$207 = 2, Inputs!Y210, Inputs!Y211) - Inputs!$D155, Inputs!$D156 - Inputs!$D155), 0)</f>
        <v>0</v>
      </c>
      <c r="AA174" s="295">
        <f>IF(IF(Inputs!$E$207 = 2, Inputs!Z210, Inputs!Z211) &gt; Inputs!$D155, MIN(IF(Inputs!$E$207 = 2, Inputs!Z210, Inputs!Z211) - Inputs!$D155, Inputs!$D156 - Inputs!$D155), 0)</f>
        <v>0</v>
      </c>
      <c r="AB174" s="295">
        <f>IF(IF(Inputs!$E$207 = 2, Inputs!AA210, Inputs!AA211) &gt; Inputs!$D155, MIN(IF(Inputs!$E$207 = 2, Inputs!AA210, Inputs!AA211) - Inputs!$D155, Inputs!$D156 - Inputs!$D155), 0)</f>
        <v>0</v>
      </c>
      <c r="AC174" s="295">
        <f>IF(IF(Inputs!$E$207 = 2, Inputs!AB210, Inputs!AB211) &gt; Inputs!$D155, MIN(IF(Inputs!$E$207 = 2, Inputs!AB210, Inputs!AB211) - Inputs!$D155, Inputs!$D156 - Inputs!$D155), 0)</f>
        <v>0</v>
      </c>
      <c r="AD174" s="295">
        <f>IF(IF(Inputs!$E$207 = 2, Inputs!AC210, Inputs!AC211) &gt; Inputs!$D155, MIN(IF(Inputs!$E$207 = 2, Inputs!AC210, Inputs!AC211) - Inputs!$D155, Inputs!$D156 - Inputs!$D155), 0)</f>
        <v>0</v>
      </c>
      <c r="AE174" s="295">
        <f>IF(IF(Inputs!$E$207 = 2, Inputs!AD210, Inputs!AD211) &gt; Inputs!$D155, MIN(IF(Inputs!$E$207 = 2, Inputs!AD210, Inputs!AD211) - Inputs!$D155, Inputs!$D156 - Inputs!$D155), 0)</f>
        <v>0</v>
      </c>
      <c r="AF174" s="295">
        <f>IF(IF(Inputs!$E$207 = 2, Inputs!AE210, Inputs!AE211) &gt; Inputs!$D155, MIN(IF(Inputs!$E$207 = 2, Inputs!AE210, Inputs!AE211) - Inputs!$D155, Inputs!$D156 - Inputs!$D155), 0)</f>
        <v>0</v>
      </c>
      <c r="AG174" s="295">
        <f>IF(IF(Inputs!$E$207 = 2, Inputs!AF210, Inputs!AF211) &gt; Inputs!$D155, MIN(IF(Inputs!$E$207 = 2, Inputs!AF210, Inputs!AF211) - Inputs!$D155, Inputs!$D156 - Inputs!$D155), 0)</f>
        <v>0</v>
      </c>
      <c r="AH174" s="295">
        <f>IF(IF(Inputs!$E$207 = 2, Inputs!AG210, Inputs!AG211) &gt; Inputs!$D155, MIN(IF(Inputs!$E$207 = 2, Inputs!AG210, Inputs!AG211) - Inputs!$D155, Inputs!$D156 - Inputs!$D155), 0)</f>
        <v>0</v>
      </c>
      <c r="AI174" s="295">
        <f>IF(IF(Inputs!$E$207 = 2, Inputs!AH210, Inputs!AH211) &gt; Inputs!$D155, MIN(IF(Inputs!$E$207 = 2, Inputs!AH210, Inputs!AH211) - Inputs!$D155, Inputs!$D156 - Inputs!$D155), 0)</f>
        <v>0</v>
      </c>
      <c r="AJ174" s="295">
        <f>IF(IF(Inputs!$E$207 = 2, Inputs!AI210, Inputs!AI211) &gt; Inputs!$D155, MIN(IF(Inputs!$E$207 = 2, Inputs!AI210, Inputs!AI211) - Inputs!$D155, Inputs!$D156 - Inputs!$D155), 0)</f>
        <v>0</v>
      </c>
      <c r="AK174" s="295">
        <f>IF(IF(Inputs!$E$207 = 2, Inputs!AJ210, Inputs!AJ211) &gt; Inputs!$D155, MIN(IF(Inputs!$E$207 = 2, Inputs!AJ210, Inputs!AJ211) - Inputs!$D155, Inputs!$D156 - Inputs!$D155), 0)</f>
        <v>0</v>
      </c>
      <c r="AL174" s="295">
        <f>IF(IF(Inputs!$E$207 = 2, Inputs!AK210, Inputs!AK211) &gt; Inputs!$D155, MIN(IF(Inputs!$E$207 = 2, Inputs!AK210, Inputs!AK211) - Inputs!$D155, Inputs!$D156 - Inputs!$D155), 0)</f>
        <v>0</v>
      </c>
      <c r="AM174" s="295">
        <f>IF(IF(Inputs!$E$207 = 2, Inputs!AL210, Inputs!AL211) &gt; Inputs!$D155, MIN(IF(Inputs!$E$207 = 2, Inputs!AL210, Inputs!AL211) - Inputs!$D155, Inputs!$D156 - Inputs!$D155), 0)</f>
        <v>0</v>
      </c>
      <c r="AN174" s="295">
        <f>IF(IF(Inputs!$E$207 = 2, Inputs!AM210, Inputs!AM211) &gt; Inputs!$D155, MIN(IF(Inputs!$E$207 = 2, Inputs!AM210, Inputs!AM211) - Inputs!$D155, Inputs!$D156 - Inputs!$D155), 0)</f>
        <v>0</v>
      </c>
      <c r="AO174" s="295">
        <f>IF(IF(Inputs!$E$207 = 2, Inputs!AN210, Inputs!AN211) &gt; Inputs!$D155, MIN(IF(Inputs!$E$207 = 2, Inputs!AN210, Inputs!AN211) - Inputs!$D155, Inputs!$D156 - Inputs!$D155), 0)</f>
        <v>0</v>
      </c>
      <c r="AP174" s="295">
        <f>IF(IF(Inputs!$E$207 = 2, Inputs!AO210, Inputs!AO211) &gt; Inputs!$D155, MIN(IF(Inputs!$E$207 = 2, Inputs!AO210, Inputs!AO211) - Inputs!$D155, Inputs!$D156 - Inputs!$D155), 0)</f>
        <v>0</v>
      </c>
      <c r="AQ174" s="295">
        <f>IF(IF(Inputs!$E$207 = 2, Inputs!AP210, Inputs!AP211) &gt; Inputs!$D155, MIN(IF(Inputs!$E$207 = 2, Inputs!AP210, Inputs!AP211) - Inputs!$D155, Inputs!$D156 - Inputs!$D155), 0)</f>
        <v>0</v>
      </c>
      <c r="AR174" s="295">
        <f>IF(IF(Inputs!$E$207 = 2, Inputs!AQ210, Inputs!AQ211) &gt; Inputs!$D155, MIN(IF(Inputs!$E$207 = 2, Inputs!AQ210, Inputs!AQ211) - Inputs!$D155, Inputs!$D156 - Inputs!$D155), 0)</f>
        <v>0</v>
      </c>
      <c r="AS174" s="295">
        <f>IF(IF(Inputs!$E$207 = 2, Inputs!AR210, Inputs!AR211) &gt; Inputs!$D155, MIN(IF(Inputs!$E$207 = 2, Inputs!AR210, Inputs!AR211) - Inputs!$D155, Inputs!$D156 - Inputs!$D155), 0)</f>
        <v>0</v>
      </c>
      <c r="AT174" s="295">
        <f>IF(IF(Inputs!$E$207 = 2, Inputs!AS210, Inputs!AS211) &gt; Inputs!$D155, MIN(IF(Inputs!$E$207 = 2, Inputs!AS210, Inputs!AS211) - Inputs!$D155, Inputs!$D156 - Inputs!$D155), 0)</f>
        <v>0</v>
      </c>
      <c r="AU174" s="295">
        <f>IF(IF(Inputs!$E$207 = 2, Inputs!AT210, Inputs!AT211) &gt; Inputs!$D155, MIN(IF(Inputs!$E$207 = 2, Inputs!AT210, Inputs!AT211) - Inputs!$D155, Inputs!$D156 - Inputs!$D155), 0)</f>
        <v>0</v>
      </c>
      <c r="AV174" s="295">
        <f>IF(IF(Inputs!$E$207 = 2, Inputs!AU210, Inputs!AU211) &gt; Inputs!$D155, MIN(IF(Inputs!$E$207 = 2, Inputs!AU210, Inputs!AU211) - Inputs!$D155, Inputs!$D156 - Inputs!$D155), 0)</f>
        <v>0</v>
      </c>
      <c r="AW174" s="295">
        <f>IF(IF(Inputs!$E$207 = 2, Inputs!AV210, Inputs!AV211) &gt; Inputs!$D155, MIN(IF(Inputs!$E$207 = 2, Inputs!AV210, Inputs!AV211) - Inputs!$D155, Inputs!$D156 - Inputs!$D155), 0)</f>
        <v>0</v>
      </c>
      <c r="AX174" s="295">
        <f>IF(IF(Inputs!$E$207 = 2, Inputs!AW210, Inputs!AW211) &gt; Inputs!$D155, MIN(IF(Inputs!$E$207 = 2, Inputs!AW210, Inputs!AW211) - Inputs!$D155, Inputs!$D156 - Inputs!$D155), 0)</f>
        <v>0</v>
      </c>
      <c r="AY174" s="295">
        <f>IF(IF(Inputs!$E$207 = 2, Inputs!AX210, Inputs!AX211) &gt; Inputs!$D155, MIN(IF(Inputs!$E$207 = 2, Inputs!AX210, Inputs!AX211) - Inputs!$D155, Inputs!$D156 - Inputs!$D155), 0)</f>
        <v>0</v>
      </c>
      <c r="AZ174" s="295">
        <f>IF(IF(Inputs!$E$207 = 2, Inputs!AY210, Inputs!AY211) &gt; Inputs!$D155, MIN(IF(Inputs!$E$207 = 2, Inputs!AY210, Inputs!AY211) - Inputs!$D155, Inputs!$D156 - Inputs!$D155), 0)</f>
        <v>0</v>
      </c>
      <c r="BA174" s="295">
        <f>IF(IF(Inputs!$E$207 = 2, Inputs!AZ210, Inputs!AZ211) &gt; Inputs!$D155, MIN(IF(Inputs!$E$207 = 2, Inputs!AZ210, Inputs!AZ211) - Inputs!$D155, Inputs!$D156 - Inputs!$D155), 0)</f>
        <v>0</v>
      </c>
      <c r="BB174" s="295">
        <f>IF(IF(Inputs!$E$207 = 2, Inputs!BA210, Inputs!BA211) &gt; Inputs!$D155, MIN(IF(Inputs!$E$207 = 2, Inputs!BA210, Inputs!BA211) - Inputs!$D155, Inputs!$D156 - Inputs!$D155), 0)</f>
        <v>0</v>
      </c>
      <c r="BC174" s="295">
        <f>IF(IF(Inputs!$E$207 = 2, Inputs!BB210, Inputs!BB211) &gt; Inputs!$D155, MIN(IF(Inputs!$E$207 = 2, Inputs!BB210, Inputs!BB211) - Inputs!$D155, Inputs!$D156 - Inputs!$D155), 0)</f>
        <v>0</v>
      </c>
      <c r="BD174" s="295">
        <f>IF(IF(Inputs!$E$207 = 2, Inputs!BC210, Inputs!BC211) &gt; Inputs!$D155, MIN(IF(Inputs!$E$207 = 2, Inputs!BC210, Inputs!BC211) - Inputs!$D155, Inputs!$D156 - Inputs!$D155), 0)</f>
        <v>0</v>
      </c>
    </row>
    <row r="175" spans="3:56" ht="15" customHeight="1">
      <c r="D175" s="109" t="s">
        <v>401</v>
      </c>
      <c r="E175" s="18" t="s">
        <v>407</v>
      </c>
      <c r="G175" s="295">
        <f>IF(IF(Inputs!$E$207 = 2, Inputs!F210, Inputs!F211) &gt; Inputs!$D156, MIN(IF(Inputs!$E$207 = 2, Inputs!F210, Inputs!F211) - Inputs!$D156, Inputs!$D157 - Inputs!$D156), 0)</f>
        <v>0</v>
      </c>
      <c r="H175" s="295">
        <f>IF(IF(Inputs!$E$207 = 2, Inputs!G210, Inputs!G211) &gt; Inputs!$D156, MIN(IF(Inputs!$E$207 = 2, Inputs!G210, Inputs!G211) - Inputs!$D156, Inputs!$D157 - Inputs!$D156), 0)</f>
        <v>0</v>
      </c>
      <c r="I175" s="295">
        <f>IF(IF(Inputs!$E$207 = 2, Inputs!H210, Inputs!H211) &gt; Inputs!$D156, MIN(IF(Inputs!$E$207 = 2, Inputs!H210, Inputs!H211) - Inputs!$D156, Inputs!$D157 - Inputs!$D156), 0)</f>
        <v>0</v>
      </c>
      <c r="J175" s="295">
        <f>IF(IF(Inputs!$E$207 = 2, Inputs!I210, Inputs!I211) &gt; Inputs!$D156, MIN(IF(Inputs!$E$207 = 2, Inputs!I210, Inputs!I211) - Inputs!$D156, Inputs!$D157 - Inputs!$D156), 0)</f>
        <v>0</v>
      </c>
      <c r="K175" s="295">
        <f>IF(IF(Inputs!$E$207 = 2, Inputs!J210, Inputs!J211) &gt; Inputs!$D156, MIN(IF(Inputs!$E$207 = 2, Inputs!J210, Inputs!J211) - Inputs!$D156, Inputs!$D157 - Inputs!$D156), 0)</f>
        <v>0</v>
      </c>
      <c r="L175" s="295">
        <f>IF(IF(Inputs!$E$207 = 2, Inputs!K210, Inputs!K211) &gt; Inputs!$D156, MIN(IF(Inputs!$E$207 = 2, Inputs!K210, Inputs!K211) - Inputs!$D156, Inputs!$D157 - Inputs!$D156), 0)</f>
        <v>0</v>
      </c>
      <c r="M175" s="295">
        <f>IF(IF(Inputs!$E$207 = 2, Inputs!L210, Inputs!L211) &gt; Inputs!$D156, MIN(IF(Inputs!$E$207 = 2, Inputs!L210, Inputs!L211) - Inputs!$D156, Inputs!$D157 - Inputs!$D156), 0)</f>
        <v>0</v>
      </c>
      <c r="N175" s="295">
        <f>IF(IF(Inputs!$E$207 = 2, Inputs!M210, Inputs!M211) &gt; Inputs!$D156, MIN(IF(Inputs!$E$207 = 2, Inputs!M210, Inputs!M211) - Inputs!$D156, Inputs!$D157 - Inputs!$D156), 0)</f>
        <v>0</v>
      </c>
      <c r="O175" s="295">
        <f>IF(IF(Inputs!$E$207 = 2, Inputs!N210, Inputs!N211) &gt; Inputs!$D156, MIN(IF(Inputs!$E$207 = 2, Inputs!N210, Inputs!N211) - Inputs!$D156, Inputs!$D157 - Inputs!$D156), 0)</f>
        <v>0</v>
      </c>
      <c r="P175" s="295">
        <f>IF(IF(Inputs!$E$207 = 2, Inputs!O210, Inputs!O211) &gt; Inputs!$D156, MIN(IF(Inputs!$E$207 = 2, Inputs!O210, Inputs!O211) - Inputs!$D156, Inputs!$D157 - Inputs!$D156), 0)</f>
        <v>0</v>
      </c>
      <c r="Q175" s="295">
        <f>IF(IF(Inputs!$E$207 = 2, Inputs!P210, Inputs!P211) &gt; Inputs!$D156, MIN(IF(Inputs!$E$207 = 2, Inputs!P210, Inputs!P211) - Inputs!$D156, Inputs!$D157 - Inputs!$D156), 0)</f>
        <v>0</v>
      </c>
      <c r="R175" s="295">
        <f>IF(IF(Inputs!$E$207 = 2, Inputs!Q210, Inputs!Q211) &gt; Inputs!$D156, MIN(IF(Inputs!$E$207 = 2, Inputs!Q210, Inputs!Q211) - Inputs!$D156, Inputs!$D157 - Inputs!$D156), 0)</f>
        <v>0</v>
      </c>
      <c r="S175" s="295">
        <f>IF(IF(Inputs!$E$207 = 2, Inputs!R210, Inputs!R211) &gt; Inputs!$D156, MIN(IF(Inputs!$E$207 = 2, Inputs!R210, Inputs!R211) - Inputs!$D156, Inputs!$D157 - Inputs!$D156), 0)</f>
        <v>0</v>
      </c>
      <c r="T175" s="295">
        <f>IF(IF(Inputs!$E$207 = 2, Inputs!S210, Inputs!S211) &gt; Inputs!$D156, MIN(IF(Inputs!$E$207 = 2, Inputs!S210, Inputs!S211) - Inputs!$D156, Inputs!$D157 - Inputs!$D156), 0)</f>
        <v>0</v>
      </c>
      <c r="U175" s="295">
        <f>IF(IF(Inputs!$E$207 = 2, Inputs!T210, Inputs!T211) &gt; Inputs!$D156, MIN(IF(Inputs!$E$207 = 2, Inputs!T210, Inputs!T211) - Inputs!$D156, Inputs!$D157 - Inputs!$D156), 0)</f>
        <v>0</v>
      </c>
      <c r="V175" s="295">
        <f>IF(IF(Inputs!$E$207 = 2, Inputs!U210, Inputs!U211) &gt; Inputs!$D156, MIN(IF(Inputs!$E$207 = 2, Inputs!U210, Inputs!U211) - Inputs!$D156, Inputs!$D157 - Inputs!$D156), 0)</f>
        <v>0</v>
      </c>
      <c r="W175" s="295">
        <f>IF(IF(Inputs!$E$207 = 2, Inputs!V210, Inputs!V211) &gt; Inputs!$D156, MIN(IF(Inputs!$E$207 = 2, Inputs!V210, Inputs!V211) - Inputs!$D156, Inputs!$D157 - Inputs!$D156), 0)</f>
        <v>0</v>
      </c>
      <c r="X175" s="295">
        <f>IF(IF(Inputs!$E$207 = 2, Inputs!W210, Inputs!W211) &gt; Inputs!$D156, MIN(IF(Inputs!$E$207 = 2, Inputs!W210, Inputs!W211) - Inputs!$D156, Inputs!$D157 - Inputs!$D156), 0)</f>
        <v>0</v>
      </c>
      <c r="Y175" s="295">
        <f>IF(IF(Inputs!$E$207 = 2, Inputs!X210, Inputs!X211) &gt; Inputs!$D156, MIN(IF(Inputs!$E$207 = 2, Inputs!X210, Inputs!X211) - Inputs!$D156, Inputs!$D157 - Inputs!$D156), 0)</f>
        <v>0</v>
      </c>
      <c r="Z175" s="295">
        <f>IF(IF(Inputs!$E$207 = 2, Inputs!Y210, Inputs!Y211) &gt; Inputs!$D156, MIN(IF(Inputs!$E$207 = 2, Inputs!Y210, Inputs!Y211) - Inputs!$D156, Inputs!$D157 - Inputs!$D156), 0)</f>
        <v>0</v>
      </c>
      <c r="AA175" s="295">
        <f>IF(IF(Inputs!$E$207 = 2, Inputs!Z210, Inputs!Z211) &gt; Inputs!$D156, MIN(IF(Inputs!$E$207 = 2, Inputs!Z210, Inputs!Z211) - Inputs!$D156, Inputs!$D157 - Inputs!$D156), 0)</f>
        <v>0</v>
      </c>
      <c r="AB175" s="295">
        <f>IF(IF(Inputs!$E$207 = 2, Inputs!AA210, Inputs!AA211) &gt; Inputs!$D156, MIN(IF(Inputs!$E$207 = 2, Inputs!AA210, Inputs!AA211) - Inputs!$D156, Inputs!$D157 - Inputs!$D156), 0)</f>
        <v>0</v>
      </c>
      <c r="AC175" s="295">
        <f>IF(IF(Inputs!$E$207 = 2, Inputs!AB210, Inputs!AB211) &gt; Inputs!$D156, MIN(IF(Inputs!$E$207 = 2, Inputs!AB210, Inputs!AB211) - Inputs!$D156, Inputs!$D157 - Inputs!$D156), 0)</f>
        <v>0</v>
      </c>
      <c r="AD175" s="295">
        <f>IF(IF(Inputs!$E$207 = 2, Inputs!AC210, Inputs!AC211) &gt; Inputs!$D156, MIN(IF(Inputs!$E$207 = 2, Inputs!AC210, Inputs!AC211) - Inputs!$D156, Inputs!$D157 - Inputs!$D156), 0)</f>
        <v>0</v>
      </c>
      <c r="AE175" s="295">
        <f>IF(IF(Inputs!$E$207 = 2, Inputs!AD210, Inputs!AD211) &gt; Inputs!$D156, MIN(IF(Inputs!$E$207 = 2, Inputs!AD210, Inputs!AD211) - Inputs!$D156, Inputs!$D157 - Inputs!$D156), 0)</f>
        <v>0</v>
      </c>
      <c r="AF175" s="295">
        <f>IF(IF(Inputs!$E$207 = 2, Inputs!AE210, Inputs!AE211) &gt; Inputs!$D156, MIN(IF(Inputs!$E$207 = 2, Inputs!AE210, Inputs!AE211) - Inputs!$D156, Inputs!$D157 - Inputs!$D156), 0)</f>
        <v>0</v>
      </c>
      <c r="AG175" s="295">
        <f>IF(IF(Inputs!$E$207 = 2, Inputs!AF210, Inputs!AF211) &gt; Inputs!$D156, MIN(IF(Inputs!$E$207 = 2, Inputs!AF210, Inputs!AF211) - Inputs!$D156, Inputs!$D157 - Inputs!$D156), 0)</f>
        <v>0</v>
      </c>
      <c r="AH175" s="295">
        <f>IF(IF(Inputs!$E$207 = 2, Inputs!AG210, Inputs!AG211) &gt; Inputs!$D156, MIN(IF(Inputs!$E$207 = 2, Inputs!AG210, Inputs!AG211) - Inputs!$D156, Inputs!$D157 - Inputs!$D156), 0)</f>
        <v>0</v>
      </c>
      <c r="AI175" s="295">
        <f>IF(IF(Inputs!$E$207 = 2, Inputs!AH210, Inputs!AH211) &gt; Inputs!$D156, MIN(IF(Inputs!$E$207 = 2, Inputs!AH210, Inputs!AH211) - Inputs!$D156, Inputs!$D157 - Inputs!$D156), 0)</f>
        <v>0</v>
      </c>
      <c r="AJ175" s="295">
        <f>IF(IF(Inputs!$E$207 = 2, Inputs!AI210, Inputs!AI211) &gt; Inputs!$D156, MIN(IF(Inputs!$E$207 = 2, Inputs!AI210, Inputs!AI211) - Inputs!$D156, Inputs!$D157 - Inputs!$D156), 0)</f>
        <v>0</v>
      </c>
      <c r="AK175" s="295">
        <f>IF(IF(Inputs!$E$207 = 2, Inputs!AJ210, Inputs!AJ211) &gt; Inputs!$D156, MIN(IF(Inputs!$E$207 = 2, Inputs!AJ210, Inputs!AJ211) - Inputs!$D156, Inputs!$D157 - Inputs!$D156), 0)</f>
        <v>0</v>
      </c>
      <c r="AL175" s="295">
        <f>IF(IF(Inputs!$E$207 = 2, Inputs!AK210, Inputs!AK211) &gt; Inputs!$D156, MIN(IF(Inputs!$E$207 = 2, Inputs!AK210, Inputs!AK211) - Inputs!$D156, Inputs!$D157 - Inputs!$D156), 0)</f>
        <v>0</v>
      </c>
      <c r="AM175" s="295">
        <f>IF(IF(Inputs!$E$207 = 2, Inputs!AL210, Inputs!AL211) &gt; Inputs!$D156, MIN(IF(Inputs!$E$207 = 2, Inputs!AL210, Inputs!AL211) - Inputs!$D156, Inputs!$D157 - Inputs!$D156), 0)</f>
        <v>0</v>
      </c>
      <c r="AN175" s="295">
        <f>IF(IF(Inputs!$E$207 = 2, Inputs!AM210, Inputs!AM211) &gt; Inputs!$D156, MIN(IF(Inputs!$E$207 = 2, Inputs!AM210, Inputs!AM211) - Inputs!$D156, Inputs!$D157 - Inputs!$D156), 0)</f>
        <v>0</v>
      </c>
      <c r="AO175" s="295">
        <f>IF(IF(Inputs!$E$207 = 2, Inputs!AN210, Inputs!AN211) &gt; Inputs!$D156, MIN(IF(Inputs!$E$207 = 2, Inputs!AN210, Inputs!AN211) - Inputs!$D156, Inputs!$D157 - Inputs!$D156), 0)</f>
        <v>0</v>
      </c>
      <c r="AP175" s="295">
        <f>IF(IF(Inputs!$E$207 = 2, Inputs!AO210, Inputs!AO211) &gt; Inputs!$D156, MIN(IF(Inputs!$E$207 = 2, Inputs!AO210, Inputs!AO211) - Inputs!$D156, Inputs!$D157 - Inputs!$D156), 0)</f>
        <v>0</v>
      </c>
      <c r="AQ175" s="295">
        <f>IF(IF(Inputs!$E$207 = 2, Inputs!AP210, Inputs!AP211) &gt; Inputs!$D156, MIN(IF(Inputs!$E$207 = 2, Inputs!AP210, Inputs!AP211) - Inputs!$D156, Inputs!$D157 - Inputs!$D156), 0)</f>
        <v>0</v>
      </c>
      <c r="AR175" s="295">
        <f>IF(IF(Inputs!$E$207 = 2, Inputs!AQ210, Inputs!AQ211) &gt; Inputs!$D156, MIN(IF(Inputs!$E$207 = 2, Inputs!AQ210, Inputs!AQ211) - Inputs!$D156, Inputs!$D157 - Inputs!$D156), 0)</f>
        <v>0</v>
      </c>
      <c r="AS175" s="295">
        <f>IF(IF(Inputs!$E$207 = 2, Inputs!AR210, Inputs!AR211) &gt; Inputs!$D156, MIN(IF(Inputs!$E$207 = 2, Inputs!AR210, Inputs!AR211) - Inputs!$D156, Inputs!$D157 - Inputs!$D156), 0)</f>
        <v>0</v>
      </c>
      <c r="AT175" s="295">
        <f>IF(IF(Inputs!$E$207 = 2, Inputs!AS210, Inputs!AS211) &gt; Inputs!$D156, MIN(IF(Inputs!$E$207 = 2, Inputs!AS210, Inputs!AS211) - Inputs!$D156, Inputs!$D157 - Inputs!$D156), 0)</f>
        <v>0</v>
      </c>
      <c r="AU175" s="295">
        <f>IF(IF(Inputs!$E$207 = 2, Inputs!AT210, Inputs!AT211) &gt; Inputs!$D156, MIN(IF(Inputs!$E$207 = 2, Inputs!AT210, Inputs!AT211) - Inputs!$D156, Inputs!$D157 - Inputs!$D156), 0)</f>
        <v>0</v>
      </c>
      <c r="AV175" s="295">
        <f>IF(IF(Inputs!$E$207 = 2, Inputs!AU210, Inputs!AU211) &gt; Inputs!$D156, MIN(IF(Inputs!$E$207 = 2, Inputs!AU210, Inputs!AU211) - Inputs!$D156, Inputs!$D157 - Inputs!$D156), 0)</f>
        <v>0</v>
      </c>
      <c r="AW175" s="295">
        <f>IF(IF(Inputs!$E$207 = 2, Inputs!AV210, Inputs!AV211) &gt; Inputs!$D156, MIN(IF(Inputs!$E$207 = 2, Inputs!AV210, Inputs!AV211) - Inputs!$D156, Inputs!$D157 - Inputs!$D156), 0)</f>
        <v>0</v>
      </c>
      <c r="AX175" s="295">
        <f>IF(IF(Inputs!$E$207 = 2, Inputs!AW210, Inputs!AW211) &gt; Inputs!$D156, MIN(IF(Inputs!$E$207 = 2, Inputs!AW210, Inputs!AW211) - Inputs!$D156, Inputs!$D157 - Inputs!$D156), 0)</f>
        <v>0</v>
      </c>
      <c r="AY175" s="295">
        <f>IF(IF(Inputs!$E$207 = 2, Inputs!AX210, Inputs!AX211) &gt; Inputs!$D156, MIN(IF(Inputs!$E$207 = 2, Inputs!AX210, Inputs!AX211) - Inputs!$D156, Inputs!$D157 - Inputs!$D156), 0)</f>
        <v>0</v>
      </c>
      <c r="AZ175" s="295">
        <f>IF(IF(Inputs!$E$207 = 2, Inputs!AY210, Inputs!AY211) &gt; Inputs!$D156, MIN(IF(Inputs!$E$207 = 2, Inputs!AY210, Inputs!AY211) - Inputs!$D156, Inputs!$D157 - Inputs!$D156), 0)</f>
        <v>0</v>
      </c>
      <c r="BA175" s="295">
        <f>IF(IF(Inputs!$E$207 = 2, Inputs!AZ210, Inputs!AZ211) &gt; Inputs!$D156, MIN(IF(Inputs!$E$207 = 2, Inputs!AZ210, Inputs!AZ211) - Inputs!$D156, Inputs!$D157 - Inputs!$D156), 0)</f>
        <v>0</v>
      </c>
      <c r="BB175" s="295">
        <f>IF(IF(Inputs!$E$207 = 2, Inputs!BA210, Inputs!BA211) &gt; Inputs!$D156, MIN(IF(Inputs!$E$207 = 2, Inputs!BA210, Inputs!BA211) - Inputs!$D156, Inputs!$D157 - Inputs!$D156), 0)</f>
        <v>0</v>
      </c>
      <c r="BC175" s="295">
        <f>IF(IF(Inputs!$E$207 = 2, Inputs!BB210, Inputs!BB211) &gt; Inputs!$D156, MIN(IF(Inputs!$E$207 = 2, Inputs!BB210, Inputs!BB211) - Inputs!$D156, Inputs!$D157 - Inputs!$D156), 0)</f>
        <v>0</v>
      </c>
      <c r="BD175" s="295">
        <f>IF(IF(Inputs!$E$207 = 2, Inputs!BC210, Inputs!BC211) &gt; Inputs!$D156, MIN(IF(Inputs!$E$207 = 2, Inputs!BC210, Inputs!BC211) - Inputs!$D156, Inputs!$D157 - Inputs!$D156), 0)</f>
        <v>0</v>
      </c>
    </row>
    <row r="176" spans="3:56" ht="15" customHeight="1">
      <c r="D176" s="109" t="s">
        <v>402</v>
      </c>
      <c r="E176" s="18" t="s">
        <v>407</v>
      </c>
      <c r="G176" s="295">
        <f>IF(IF(Inputs!$E$207 = 2, Inputs!F210, Inputs!F211) &gt; Inputs!$D157, MIN(IF(Inputs!$E$207 = 2, Inputs!F210, Inputs!F211) - Inputs!$D157, Inputs!$D158 - Inputs!$D157), 0)</f>
        <v>0</v>
      </c>
      <c r="H176" s="295">
        <f>IF(IF(Inputs!$E$207 = 2, Inputs!G210, Inputs!G211) &gt; Inputs!$D157, MIN(IF(Inputs!$E$207 = 2, Inputs!G210, Inputs!G211) - Inputs!$D157, Inputs!$D158 - Inputs!$D157), 0)</f>
        <v>0</v>
      </c>
      <c r="I176" s="295">
        <f>IF(IF(Inputs!$E$207 = 2, Inputs!H210, Inputs!H211) &gt; Inputs!$D157, MIN(IF(Inputs!$E$207 = 2, Inputs!H210, Inputs!H211) - Inputs!$D157, Inputs!$D158 - Inputs!$D157), 0)</f>
        <v>0</v>
      </c>
      <c r="J176" s="295">
        <f>IF(IF(Inputs!$E$207 = 2, Inputs!I210, Inputs!I211) &gt; Inputs!$D157, MIN(IF(Inputs!$E$207 = 2, Inputs!I210, Inputs!I211) - Inputs!$D157, Inputs!$D158 - Inputs!$D157), 0)</f>
        <v>0</v>
      </c>
      <c r="K176" s="295">
        <f>IF(IF(Inputs!$E$207 = 2, Inputs!J210, Inputs!J211) &gt; Inputs!$D157, MIN(IF(Inputs!$E$207 = 2, Inputs!J210, Inputs!J211) - Inputs!$D157, Inputs!$D158 - Inputs!$D157), 0)</f>
        <v>0</v>
      </c>
      <c r="L176" s="295">
        <f>IF(IF(Inputs!$E$207 = 2, Inputs!K210, Inputs!K211) &gt; Inputs!$D157, MIN(IF(Inputs!$E$207 = 2, Inputs!K210, Inputs!K211) - Inputs!$D157, Inputs!$D158 - Inputs!$D157), 0)</f>
        <v>0</v>
      </c>
      <c r="M176" s="295">
        <f>IF(IF(Inputs!$E$207 = 2, Inputs!L210, Inputs!L211) &gt; Inputs!$D157, MIN(IF(Inputs!$E$207 = 2, Inputs!L210, Inputs!L211) - Inputs!$D157, Inputs!$D158 - Inputs!$D157), 0)</f>
        <v>0</v>
      </c>
      <c r="N176" s="295">
        <f>IF(IF(Inputs!$E$207 = 2, Inputs!M210, Inputs!M211) &gt; Inputs!$D157, MIN(IF(Inputs!$E$207 = 2, Inputs!M210, Inputs!M211) - Inputs!$D157, Inputs!$D158 - Inputs!$D157), 0)</f>
        <v>0</v>
      </c>
      <c r="O176" s="295">
        <f>IF(IF(Inputs!$E$207 = 2, Inputs!N210, Inputs!N211) &gt; Inputs!$D157, MIN(IF(Inputs!$E$207 = 2, Inputs!N210, Inputs!N211) - Inputs!$D157, Inputs!$D158 - Inputs!$D157), 0)</f>
        <v>0</v>
      </c>
      <c r="P176" s="295">
        <f>IF(IF(Inputs!$E$207 = 2, Inputs!O210, Inputs!O211) &gt; Inputs!$D157, MIN(IF(Inputs!$E$207 = 2, Inputs!O210, Inputs!O211) - Inputs!$D157, Inputs!$D158 - Inputs!$D157), 0)</f>
        <v>0</v>
      </c>
      <c r="Q176" s="295">
        <f>IF(IF(Inputs!$E$207 = 2, Inputs!P210, Inputs!P211) &gt; Inputs!$D157, MIN(IF(Inputs!$E$207 = 2, Inputs!P210, Inputs!P211) - Inputs!$D157, Inputs!$D158 - Inputs!$D157), 0)</f>
        <v>0</v>
      </c>
      <c r="R176" s="295">
        <f>IF(IF(Inputs!$E$207 = 2, Inputs!Q210, Inputs!Q211) &gt; Inputs!$D157, MIN(IF(Inputs!$E$207 = 2, Inputs!Q210, Inputs!Q211) - Inputs!$D157, Inputs!$D158 - Inputs!$D157), 0)</f>
        <v>0</v>
      </c>
      <c r="S176" s="295">
        <f>IF(IF(Inputs!$E$207 = 2, Inputs!R210, Inputs!R211) &gt; Inputs!$D157, MIN(IF(Inputs!$E$207 = 2, Inputs!R210, Inputs!R211) - Inputs!$D157, Inputs!$D158 - Inputs!$D157), 0)</f>
        <v>0</v>
      </c>
      <c r="T176" s="295">
        <f>IF(IF(Inputs!$E$207 = 2, Inputs!S210, Inputs!S211) &gt; Inputs!$D157, MIN(IF(Inputs!$E$207 = 2, Inputs!S210, Inputs!S211) - Inputs!$D157, Inputs!$D158 - Inputs!$D157), 0)</f>
        <v>0</v>
      </c>
      <c r="U176" s="295">
        <f>IF(IF(Inputs!$E$207 = 2, Inputs!T210, Inputs!T211) &gt; Inputs!$D157, MIN(IF(Inputs!$E$207 = 2, Inputs!T210, Inputs!T211) - Inputs!$D157, Inputs!$D158 - Inputs!$D157), 0)</f>
        <v>0</v>
      </c>
      <c r="V176" s="295">
        <f>IF(IF(Inputs!$E$207 = 2, Inputs!U210, Inputs!U211) &gt; Inputs!$D157, MIN(IF(Inputs!$E$207 = 2, Inputs!U210, Inputs!U211) - Inputs!$D157, Inputs!$D158 - Inputs!$D157), 0)</f>
        <v>0</v>
      </c>
      <c r="W176" s="295">
        <f>IF(IF(Inputs!$E$207 = 2, Inputs!V210, Inputs!V211) &gt; Inputs!$D157, MIN(IF(Inputs!$E$207 = 2, Inputs!V210, Inputs!V211) - Inputs!$D157, Inputs!$D158 - Inputs!$D157), 0)</f>
        <v>0</v>
      </c>
      <c r="X176" s="295">
        <f>IF(IF(Inputs!$E$207 = 2, Inputs!W210, Inputs!W211) &gt; Inputs!$D157, MIN(IF(Inputs!$E$207 = 2, Inputs!W210, Inputs!W211) - Inputs!$D157, Inputs!$D158 - Inputs!$D157), 0)</f>
        <v>0</v>
      </c>
      <c r="Y176" s="295">
        <f>IF(IF(Inputs!$E$207 = 2, Inputs!X210, Inputs!X211) &gt; Inputs!$D157, MIN(IF(Inputs!$E$207 = 2, Inputs!X210, Inputs!X211) - Inputs!$D157, Inputs!$D158 - Inputs!$D157), 0)</f>
        <v>0</v>
      </c>
      <c r="Z176" s="295">
        <f>IF(IF(Inputs!$E$207 = 2, Inputs!Y210, Inputs!Y211) &gt; Inputs!$D157, MIN(IF(Inputs!$E$207 = 2, Inputs!Y210, Inputs!Y211) - Inputs!$D157, Inputs!$D158 - Inputs!$D157), 0)</f>
        <v>0</v>
      </c>
      <c r="AA176" s="295">
        <f>IF(IF(Inputs!$E$207 = 2, Inputs!Z210, Inputs!Z211) &gt; Inputs!$D157, MIN(IF(Inputs!$E$207 = 2, Inputs!Z210, Inputs!Z211) - Inputs!$D157, Inputs!$D158 - Inputs!$D157), 0)</f>
        <v>0</v>
      </c>
      <c r="AB176" s="295">
        <f>IF(IF(Inputs!$E$207 = 2, Inputs!AA210, Inputs!AA211) &gt; Inputs!$D157, MIN(IF(Inputs!$E$207 = 2, Inputs!AA210, Inputs!AA211) - Inputs!$D157, Inputs!$D158 - Inputs!$D157), 0)</f>
        <v>0</v>
      </c>
      <c r="AC176" s="295">
        <f>IF(IF(Inputs!$E$207 = 2, Inputs!AB210, Inputs!AB211) &gt; Inputs!$D157, MIN(IF(Inputs!$E$207 = 2, Inputs!AB210, Inputs!AB211) - Inputs!$D157, Inputs!$D158 - Inputs!$D157), 0)</f>
        <v>0</v>
      </c>
      <c r="AD176" s="295">
        <f>IF(IF(Inputs!$E$207 = 2, Inputs!AC210, Inputs!AC211) &gt; Inputs!$D157, MIN(IF(Inputs!$E$207 = 2, Inputs!AC210, Inputs!AC211) - Inputs!$D157, Inputs!$D158 - Inputs!$D157), 0)</f>
        <v>0</v>
      </c>
      <c r="AE176" s="295">
        <f>IF(IF(Inputs!$E$207 = 2, Inputs!AD210, Inputs!AD211) &gt; Inputs!$D157, MIN(IF(Inputs!$E$207 = 2, Inputs!AD210, Inputs!AD211) - Inputs!$D157, Inputs!$D158 - Inputs!$D157), 0)</f>
        <v>0</v>
      </c>
      <c r="AF176" s="295">
        <f>IF(IF(Inputs!$E$207 = 2, Inputs!AE210, Inputs!AE211) &gt; Inputs!$D157, MIN(IF(Inputs!$E$207 = 2, Inputs!AE210, Inputs!AE211) - Inputs!$D157, Inputs!$D158 - Inputs!$D157), 0)</f>
        <v>0</v>
      </c>
      <c r="AG176" s="295">
        <f>IF(IF(Inputs!$E$207 = 2, Inputs!AF210, Inputs!AF211) &gt; Inputs!$D157, MIN(IF(Inputs!$E$207 = 2, Inputs!AF210, Inputs!AF211) - Inputs!$D157, Inputs!$D158 - Inputs!$D157), 0)</f>
        <v>0</v>
      </c>
      <c r="AH176" s="295">
        <f>IF(IF(Inputs!$E$207 = 2, Inputs!AG210, Inputs!AG211) &gt; Inputs!$D157, MIN(IF(Inputs!$E$207 = 2, Inputs!AG210, Inputs!AG211) - Inputs!$D157, Inputs!$D158 - Inputs!$D157), 0)</f>
        <v>0</v>
      </c>
      <c r="AI176" s="295">
        <f>IF(IF(Inputs!$E$207 = 2, Inputs!AH210, Inputs!AH211) &gt; Inputs!$D157, MIN(IF(Inputs!$E$207 = 2, Inputs!AH210, Inputs!AH211) - Inputs!$D157, Inputs!$D158 - Inputs!$D157), 0)</f>
        <v>0</v>
      </c>
      <c r="AJ176" s="295">
        <f>IF(IF(Inputs!$E$207 = 2, Inputs!AI210, Inputs!AI211) &gt; Inputs!$D157, MIN(IF(Inputs!$E$207 = 2, Inputs!AI210, Inputs!AI211) - Inputs!$D157, Inputs!$D158 - Inputs!$D157), 0)</f>
        <v>0</v>
      </c>
      <c r="AK176" s="295">
        <f>IF(IF(Inputs!$E$207 = 2, Inputs!AJ210, Inputs!AJ211) &gt; Inputs!$D157, MIN(IF(Inputs!$E$207 = 2, Inputs!AJ210, Inputs!AJ211) - Inputs!$D157, Inputs!$D158 - Inputs!$D157), 0)</f>
        <v>0</v>
      </c>
      <c r="AL176" s="295">
        <f>IF(IF(Inputs!$E$207 = 2, Inputs!AK210, Inputs!AK211) &gt; Inputs!$D157, MIN(IF(Inputs!$E$207 = 2, Inputs!AK210, Inputs!AK211) - Inputs!$D157, Inputs!$D158 - Inputs!$D157), 0)</f>
        <v>0</v>
      </c>
      <c r="AM176" s="295">
        <f>IF(IF(Inputs!$E$207 = 2, Inputs!AL210, Inputs!AL211) &gt; Inputs!$D157, MIN(IF(Inputs!$E$207 = 2, Inputs!AL210, Inputs!AL211) - Inputs!$D157, Inputs!$D158 - Inputs!$D157), 0)</f>
        <v>0</v>
      </c>
      <c r="AN176" s="295">
        <f>IF(IF(Inputs!$E$207 = 2, Inputs!AM210, Inputs!AM211) &gt; Inputs!$D157, MIN(IF(Inputs!$E$207 = 2, Inputs!AM210, Inputs!AM211) - Inputs!$D157, Inputs!$D158 - Inputs!$D157), 0)</f>
        <v>0</v>
      </c>
      <c r="AO176" s="295">
        <f>IF(IF(Inputs!$E$207 = 2, Inputs!AN210, Inputs!AN211) &gt; Inputs!$D157, MIN(IF(Inputs!$E$207 = 2, Inputs!AN210, Inputs!AN211) - Inputs!$D157, Inputs!$D158 - Inputs!$D157), 0)</f>
        <v>0</v>
      </c>
      <c r="AP176" s="295">
        <f>IF(IF(Inputs!$E$207 = 2, Inputs!AO210, Inputs!AO211) &gt; Inputs!$D157, MIN(IF(Inputs!$E$207 = 2, Inputs!AO210, Inputs!AO211) - Inputs!$D157, Inputs!$D158 - Inputs!$D157), 0)</f>
        <v>0</v>
      </c>
      <c r="AQ176" s="295">
        <f>IF(IF(Inputs!$E$207 = 2, Inputs!AP210, Inputs!AP211) &gt; Inputs!$D157, MIN(IF(Inputs!$E$207 = 2, Inputs!AP210, Inputs!AP211) - Inputs!$D157, Inputs!$D158 - Inputs!$D157), 0)</f>
        <v>0</v>
      </c>
      <c r="AR176" s="295">
        <f>IF(IF(Inputs!$E$207 = 2, Inputs!AQ210, Inputs!AQ211) &gt; Inputs!$D157, MIN(IF(Inputs!$E$207 = 2, Inputs!AQ210, Inputs!AQ211) - Inputs!$D157, Inputs!$D158 - Inputs!$D157), 0)</f>
        <v>0</v>
      </c>
      <c r="AS176" s="295">
        <f>IF(IF(Inputs!$E$207 = 2, Inputs!AR210, Inputs!AR211) &gt; Inputs!$D157, MIN(IF(Inputs!$E$207 = 2, Inputs!AR210, Inputs!AR211) - Inputs!$D157, Inputs!$D158 - Inputs!$D157), 0)</f>
        <v>0</v>
      </c>
      <c r="AT176" s="295">
        <f>IF(IF(Inputs!$E$207 = 2, Inputs!AS210, Inputs!AS211) &gt; Inputs!$D157, MIN(IF(Inputs!$E$207 = 2, Inputs!AS210, Inputs!AS211) - Inputs!$D157, Inputs!$D158 - Inputs!$D157), 0)</f>
        <v>0</v>
      </c>
      <c r="AU176" s="295">
        <f>IF(IF(Inputs!$E$207 = 2, Inputs!AT210, Inputs!AT211) &gt; Inputs!$D157, MIN(IF(Inputs!$E$207 = 2, Inputs!AT210, Inputs!AT211) - Inputs!$D157, Inputs!$D158 - Inputs!$D157), 0)</f>
        <v>0</v>
      </c>
      <c r="AV176" s="295">
        <f>IF(IF(Inputs!$E$207 = 2, Inputs!AU210, Inputs!AU211) &gt; Inputs!$D157, MIN(IF(Inputs!$E$207 = 2, Inputs!AU210, Inputs!AU211) - Inputs!$D157, Inputs!$D158 - Inputs!$D157), 0)</f>
        <v>0</v>
      </c>
      <c r="AW176" s="295">
        <f>IF(IF(Inputs!$E$207 = 2, Inputs!AV210, Inputs!AV211) &gt; Inputs!$D157, MIN(IF(Inputs!$E$207 = 2, Inputs!AV210, Inputs!AV211) - Inputs!$D157, Inputs!$D158 - Inputs!$D157), 0)</f>
        <v>0</v>
      </c>
      <c r="AX176" s="295">
        <f>IF(IF(Inputs!$E$207 = 2, Inputs!AW210, Inputs!AW211) &gt; Inputs!$D157, MIN(IF(Inputs!$E$207 = 2, Inputs!AW210, Inputs!AW211) - Inputs!$D157, Inputs!$D158 - Inputs!$D157), 0)</f>
        <v>0</v>
      </c>
      <c r="AY176" s="295">
        <f>IF(IF(Inputs!$E$207 = 2, Inputs!AX210, Inputs!AX211) &gt; Inputs!$D157, MIN(IF(Inputs!$E$207 = 2, Inputs!AX210, Inputs!AX211) - Inputs!$D157, Inputs!$D158 - Inputs!$D157), 0)</f>
        <v>0</v>
      </c>
      <c r="AZ176" s="295">
        <f>IF(IF(Inputs!$E$207 = 2, Inputs!AY210, Inputs!AY211) &gt; Inputs!$D157, MIN(IF(Inputs!$E$207 = 2, Inputs!AY210, Inputs!AY211) - Inputs!$D157, Inputs!$D158 - Inputs!$D157), 0)</f>
        <v>0</v>
      </c>
      <c r="BA176" s="295">
        <f>IF(IF(Inputs!$E$207 = 2, Inputs!AZ210, Inputs!AZ211) &gt; Inputs!$D157, MIN(IF(Inputs!$E$207 = 2, Inputs!AZ210, Inputs!AZ211) - Inputs!$D157, Inputs!$D158 - Inputs!$D157), 0)</f>
        <v>0</v>
      </c>
      <c r="BB176" s="295">
        <f>IF(IF(Inputs!$E$207 = 2, Inputs!BA210, Inputs!BA211) &gt; Inputs!$D157, MIN(IF(Inputs!$E$207 = 2, Inputs!BA210, Inputs!BA211) - Inputs!$D157, Inputs!$D158 - Inputs!$D157), 0)</f>
        <v>0</v>
      </c>
      <c r="BC176" s="295">
        <f>IF(IF(Inputs!$E$207 = 2, Inputs!BB210, Inputs!BB211) &gt; Inputs!$D157, MIN(IF(Inputs!$E$207 = 2, Inputs!BB210, Inputs!BB211) - Inputs!$D157, Inputs!$D158 - Inputs!$D157), 0)</f>
        <v>0</v>
      </c>
      <c r="BD176" s="295">
        <f>IF(IF(Inputs!$E$207 = 2, Inputs!BC210, Inputs!BC211) &gt; Inputs!$D157, MIN(IF(Inputs!$E$207 = 2, Inputs!BC210, Inputs!BC211) - Inputs!$D157, Inputs!$D158 - Inputs!$D157), 0)</f>
        <v>0</v>
      </c>
    </row>
    <row r="177" spans="4:56" ht="15" customHeight="1">
      <c r="D177" s="109" t="s">
        <v>403</v>
      </c>
      <c r="E177" s="18" t="s">
        <v>407</v>
      </c>
      <c r="G177" s="295">
        <f>IF(IF(Inputs!$E$207 = 2, Inputs!F210, Inputs!F211) &gt; Inputs!$D158, MIN(IF(Inputs!$E$207 = 2, Inputs!F210, Inputs!F211) - Inputs!$D158, Inputs!$D159 - Inputs!$D158), 0)</f>
        <v>0</v>
      </c>
      <c r="H177" s="295">
        <f>IF(IF(Inputs!$E$207 = 2, Inputs!G210, Inputs!G211) &gt; Inputs!$D158, MIN(IF(Inputs!$E$207 = 2, Inputs!G210, Inputs!G211) - Inputs!$D158, Inputs!$D159 - Inputs!$D158), 0)</f>
        <v>0</v>
      </c>
      <c r="I177" s="295">
        <f>IF(IF(Inputs!$E$207 = 2, Inputs!H210, Inputs!H211) &gt; Inputs!$D158, MIN(IF(Inputs!$E$207 = 2, Inputs!H210, Inputs!H211) - Inputs!$D158, Inputs!$D159 - Inputs!$D158), 0)</f>
        <v>0</v>
      </c>
      <c r="J177" s="295">
        <f>IF(IF(Inputs!$E$207 = 2, Inputs!I210, Inputs!I211) &gt; Inputs!$D158, MIN(IF(Inputs!$E$207 = 2, Inputs!I210, Inputs!I211) - Inputs!$D158, Inputs!$D159 - Inputs!$D158), 0)</f>
        <v>0</v>
      </c>
      <c r="K177" s="295">
        <f>IF(IF(Inputs!$E$207 = 2, Inputs!J210, Inputs!J211) &gt; Inputs!$D158, MIN(IF(Inputs!$E$207 = 2, Inputs!J210, Inputs!J211) - Inputs!$D158, Inputs!$D159 - Inputs!$D158), 0)</f>
        <v>0</v>
      </c>
      <c r="L177" s="295">
        <f>IF(IF(Inputs!$E$207 = 2, Inputs!K210, Inputs!K211) &gt; Inputs!$D158, MIN(IF(Inputs!$E$207 = 2, Inputs!K210, Inputs!K211) - Inputs!$D158, Inputs!$D159 - Inputs!$D158), 0)</f>
        <v>0</v>
      </c>
      <c r="M177" s="295">
        <f>IF(IF(Inputs!$E$207 = 2, Inputs!L210, Inputs!L211) &gt; Inputs!$D158, MIN(IF(Inputs!$E$207 = 2, Inputs!L210, Inputs!L211) - Inputs!$D158, Inputs!$D159 - Inputs!$D158), 0)</f>
        <v>0</v>
      </c>
      <c r="N177" s="295">
        <f>IF(IF(Inputs!$E$207 = 2, Inputs!M210, Inputs!M211) &gt; Inputs!$D158, MIN(IF(Inputs!$E$207 = 2, Inputs!M210, Inputs!M211) - Inputs!$D158, Inputs!$D159 - Inputs!$D158), 0)</f>
        <v>0</v>
      </c>
      <c r="O177" s="295">
        <f>IF(IF(Inputs!$E$207 = 2, Inputs!N210, Inputs!N211) &gt; Inputs!$D158, MIN(IF(Inputs!$E$207 = 2, Inputs!N210, Inputs!N211) - Inputs!$D158, Inputs!$D159 - Inputs!$D158), 0)</f>
        <v>0</v>
      </c>
      <c r="P177" s="295">
        <f>IF(IF(Inputs!$E$207 = 2, Inputs!O210, Inputs!O211) &gt; Inputs!$D158, MIN(IF(Inputs!$E$207 = 2, Inputs!O210, Inputs!O211) - Inputs!$D158, Inputs!$D159 - Inputs!$D158), 0)</f>
        <v>0</v>
      </c>
      <c r="Q177" s="295">
        <f>IF(IF(Inputs!$E$207 = 2, Inputs!P210, Inputs!P211) &gt; Inputs!$D158, MIN(IF(Inputs!$E$207 = 2, Inputs!P210, Inputs!P211) - Inputs!$D158, Inputs!$D159 - Inputs!$D158), 0)</f>
        <v>0</v>
      </c>
      <c r="R177" s="295">
        <f>IF(IF(Inputs!$E$207 = 2, Inputs!Q210, Inputs!Q211) &gt; Inputs!$D158, MIN(IF(Inputs!$E$207 = 2, Inputs!Q210, Inputs!Q211) - Inputs!$D158, Inputs!$D159 - Inputs!$D158), 0)</f>
        <v>0</v>
      </c>
      <c r="S177" s="295">
        <f>IF(IF(Inputs!$E$207 = 2, Inputs!R210, Inputs!R211) &gt; Inputs!$D158, MIN(IF(Inputs!$E$207 = 2, Inputs!R210, Inputs!R211) - Inputs!$D158, Inputs!$D159 - Inputs!$D158), 0)</f>
        <v>0</v>
      </c>
      <c r="T177" s="295">
        <f>IF(IF(Inputs!$E$207 = 2, Inputs!S210, Inputs!S211) &gt; Inputs!$D158, MIN(IF(Inputs!$E$207 = 2, Inputs!S210, Inputs!S211) - Inputs!$D158, Inputs!$D159 - Inputs!$D158), 0)</f>
        <v>0</v>
      </c>
      <c r="U177" s="295">
        <f>IF(IF(Inputs!$E$207 = 2, Inputs!T210, Inputs!T211) &gt; Inputs!$D158, MIN(IF(Inputs!$E$207 = 2, Inputs!T210, Inputs!T211) - Inputs!$D158, Inputs!$D159 - Inputs!$D158), 0)</f>
        <v>0</v>
      </c>
      <c r="V177" s="295">
        <f>IF(IF(Inputs!$E$207 = 2, Inputs!U210, Inputs!U211) &gt; Inputs!$D158, MIN(IF(Inputs!$E$207 = 2, Inputs!U210, Inputs!U211) - Inputs!$D158, Inputs!$D159 - Inputs!$D158), 0)</f>
        <v>0</v>
      </c>
      <c r="W177" s="295">
        <f>IF(IF(Inputs!$E$207 = 2, Inputs!V210, Inputs!V211) &gt; Inputs!$D158, MIN(IF(Inputs!$E$207 = 2, Inputs!V210, Inputs!V211) - Inputs!$D158, Inputs!$D159 - Inputs!$D158), 0)</f>
        <v>0</v>
      </c>
      <c r="X177" s="295">
        <f>IF(IF(Inputs!$E$207 = 2, Inputs!W210, Inputs!W211) &gt; Inputs!$D158, MIN(IF(Inputs!$E$207 = 2, Inputs!W210, Inputs!W211) - Inputs!$D158, Inputs!$D159 - Inputs!$D158), 0)</f>
        <v>0</v>
      </c>
      <c r="Y177" s="295">
        <f>IF(IF(Inputs!$E$207 = 2, Inputs!X210, Inputs!X211) &gt; Inputs!$D158, MIN(IF(Inputs!$E$207 = 2, Inputs!X210, Inputs!X211) - Inputs!$D158, Inputs!$D159 - Inputs!$D158), 0)</f>
        <v>0</v>
      </c>
      <c r="Z177" s="295">
        <f>IF(IF(Inputs!$E$207 = 2, Inputs!Y210, Inputs!Y211) &gt; Inputs!$D158, MIN(IF(Inputs!$E$207 = 2, Inputs!Y210, Inputs!Y211) - Inputs!$D158, Inputs!$D159 - Inputs!$D158), 0)</f>
        <v>0</v>
      </c>
      <c r="AA177" s="295">
        <f>IF(IF(Inputs!$E$207 = 2, Inputs!Z210, Inputs!Z211) &gt; Inputs!$D158, MIN(IF(Inputs!$E$207 = 2, Inputs!Z210, Inputs!Z211) - Inputs!$D158, Inputs!$D159 - Inputs!$D158), 0)</f>
        <v>0</v>
      </c>
      <c r="AB177" s="295">
        <f>IF(IF(Inputs!$E$207 = 2, Inputs!AA210, Inputs!AA211) &gt; Inputs!$D158, MIN(IF(Inputs!$E$207 = 2, Inputs!AA210, Inputs!AA211) - Inputs!$D158, Inputs!$D159 - Inputs!$D158), 0)</f>
        <v>0</v>
      </c>
      <c r="AC177" s="295">
        <f>IF(IF(Inputs!$E$207 = 2, Inputs!AB210, Inputs!AB211) &gt; Inputs!$D158, MIN(IF(Inputs!$E$207 = 2, Inputs!AB210, Inputs!AB211) - Inputs!$D158, Inputs!$D159 - Inputs!$D158), 0)</f>
        <v>0</v>
      </c>
      <c r="AD177" s="295">
        <f>IF(IF(Inputs!$E$207 = 2, Inputs!AC210, Inputs!AC211) &gt; Inputs!$D158, MIN(IF(Inputs!$E$207 = 2, Inputs!AC210, Inputs!AC211) - Inputs!$D158, Inputs!$D159 - Inputs!$D158), 0)</f>
        <v>0</v>
      </c>
      <c r="AE177" s="295">
        <f>IF(IF(Inputs!$E$207 = 2, Inputs!AD210, Inputs!AD211) &gt; Inputs!$D158, MIN(IF(Inputs!$E$207 = 2, Inputs!AD210, Inputs!AD211) - Inputs!$D158, Inputs!$D159 - Inputs!$D158), 0)</f>
        <v>0</v>
      </c>
      <c r="AF177" s="295">
        <f>IF(IF(Inputs!$E$207 = 2, Inputs!AE210, Inputs!AE211) &gt; Inputs!$D158, MIN(IF(Inputs!$E$207 = 2, Inputs!AE210, Inputs!AE211) - Inputs!$D158, Inputs!$D159 - Inputs!$D158), 0)</f>
        <v>0</v>
      </c>
      <c r="AG177" s="295">
        <f>IF(IF(Inputs!$E$207 = 2, Inputs!AF210, Inputs!AF211) &gt; Inputs!$D158, MIN(IF(Inputs!$E$207 = 2, Inputs!AF210, Inputs!AF211) - Inputs!$D158, Inputs!$D159 - Inputs!$D158), 0)</f>
        <v>0</v>
      </c>
      <c r="AH177" s="295">
        <f>IF(IF(Inputs!$E$207 = 2, Inputs!AG210, Inputs!AG211) &gt; Inputs!$D158, MIN(IF(Inputs!$E$207 = 2, Inputs!AG210, Inputs!AG211) - Inputs!$D158, Inputs!$D159 - Inputs!$D158), 0)</f>
        <v>0</v>
      </c>
      <c r="AI177" s="295">
        <f>IF(IF(Inputs!$E$207 = 2, Inputs!AH210, Inputs!AH211) &gt; Inputs!$D158, MIN(IF(Inputs!$E$207 = 2, Inputs!AH210, Inputs!AH211) - Inputs!$D158, Inputs!$D159 - Inputs!$D158), 0)</f>
        <v>0</v>
      </c>
      <c r="AJ177" s="295">
        <f>IF(IF(Inputs!$E$207 = 2, Inputs!AI210, Inputs!AI211) &gt; Inputs!$D158, MIN(IF(Inputs!$E$207 = 2, Inputs!AI210, Inputs!AI211) - Inputs!$D158, Inputs!$D159 - Inputs!$D158), 0)</f>
        <v>0</v>
      </c>
      <c r="AK177" s="295">
        <f>IF(IF(Inputs!$E$207 = 2, Inputs!AJ210, Inputs!AJ211) &gt; Inputs!$D158, MIN(IF(Inputs!$E$207 = 2, Inputs!AJ210, Inputs!AJ211) - Inputs!$D158, Inputs!$D159 - Inputs!$D158), 0)</f>
        <v>0</v>
      </c>
      <c r="AL177" s="295">
        <f>IF(IF(Inputs!$E$207 = 2, Inputs!AK210, Inputs!AK211) &gt; Inputs!$D158, MIN(IF(Inputs!$E$207 = 2, Inputs!AK210, Inputs!AK211) - Inputs!$D158, Inputs!$D159 - Inputs!$D158), 0)</f>
        <v>0</v>
      </c>
      <c r="AM177" s="295">
        <f>IF(IF(Inputs!$E$207 = 2, Inputs!AL210, Inputs!AL211) &gt; Inputs!$D158, MIN(IF(Inputs!$E$207 = 2, Inputs!AL210, Inputs!AL211) - Inputs!$D158, Inputs!$D159 - Inputs!$D158), 0)</f>
        <v>0</v>
      </c>
      <c r="AN177" s="295">
        <f>IF(IF(Inputs!$E$207 = 2, Inputs!AM210, Inputs!AM211) &gt; Inputs!$D158, MIN(IF(Inputs!$E$207 = 2, Inputs!AM210, Inputs!AM211) - Inputs!$D158, Inputs!$D159 - Inputs!$D158), 0)</f>
        <v>0</v>
      </c>
      <c r="AO177" s="295">
        <f>IF(IF(Inputs!$E$207 = 2, Inputs!AN210, Inputs!AN211) &gt; Inputs!$D158, MIN(IF(Inputs!$E$207 = 2, Inputs!AN210, Inputs!AN211) - Inputs!$D158, Inputs!$D159 - Inputs!$D158), 0)</f>
        <v>0</v>
      </c>
      <c r="AP177" s="295">
        <f>IF(IF(Inputs!$E$207 = 2, Inputs!AO210, Inputs!AO211) &gt; Inputs!$D158, MIN(IF(Inputs!$E$207 = 2, Inputs!AO210, Inputs!AO211) - Inputs!$D158, Inputs!$D159 - Inputs!$D158), 0)</f>
        <v>0</v>
      </c>
      <c r="AQ177" s="295">
        <f>IF(IF(Inputs!$E$207 = 2, Inputs!AP210, Inputs!AP211) &gt; Inputs!$D158, MIN(IF(Inputs!$E$207 = 2, Inputs!AP210, Inputs!AP211) - Inputs!$D158, Inputs!$D159 - Inputs!$D158), 0)</f>
        <v>0</v>
      </c>
      <c r="AR177" s="295">
        <f>IF(IF(Inputs!$E$207 = 2, Inputs!AQ210, Inputs!AQ211) &gt; Inputs!$D158, MIN(IF(Inputs!$E$207 = 2, Inputs!AQ210, Inputs!AQ211) - Inputs!$D158, Inputs!$D159 - Inputs!$D158), 0)</f>
        <v>0</v>
      </c>
      <c r="AS177" s="295">
        <f>IF(IF(Inputs!$E$207 = 2, Inputs!AR210, Inputs!AR211) &gt; Inputs!$D158, MIN(IF(Inputs!$E$207 = 2, Inputs!AR210, Inputs!AR211) - Inputs!$D158, Inputs!$D159 - Inputs!$D158), 0)</f>
        <v>0</v>
      </c>
      <c r="AT177" s="295">
        <f>IF(IF(Inputs!$E$207 = 2, Inputs!AS210, Inputs!AS211) &gt; Inputs!$D158, MIN(IF(Inputs!$E$207 = 2, Inputs!AS210, Inputs!AS211) - Inputs!$D158, Inputs!$D159 - Inputs!$D158), 0)</f>
        <v>0</v>
      </c>
      <c r="AU177" s="295">
        <f>IF(IF(Inputs!$E$207 = 2, Inputs!AT210, Inputs!AT211) &gt; Inputs!$D158, MIN(IF(Inputs!$E$207 = 2, Inputs!AT210, Inputs!AT211) - Inputs!$D158, Inputs!$D159 - Inputs!$D158), 0)</f>
        <v>0</v>
      </c>
      <c r="AV177" s="295">
        <f>IF(IF(Inputs!$E$207 = 2, Inputs!AU210, Inputs!AU211) &gt; Inputs!$D158, MIN(IF(Inputs!$E$207 = 2, Inputs!AU210, Inputs!AU211) - Inputs!$D158, Inputs!$D159 - Inputs!$D158), 0)</f>
        <v>0</v>
      </c>
      <c r="AW177" s="295">
        <f>IF(IF(Inputs!$E$207 = 2, Inputs!AV210, Inputs!AV211) &gt; Inputs!$D158, MIN(IF(Inputs!$E$207 = 2, Inputs!AV210, Inputs!AV211) - Inputs!$D158, Inputs!$D159 - Inputs!$D158), 0)</f>
        <v>0</v>
      </c>
      <c r="AX177" s="295">
        <f>IF(IF(Inputs!$E$207 = 2, Inputs!AW210, Inputs!AW211) &gt; Inputs!$D158, MIN(IF(Inputs!$E$207 = 2, Inputs!AW210, Inputs!AW211) - Inputs!$D158, Inputs!$D159 - Inputs!$D158), 0)</f>
        <v>0</v>
      </c>
      <c r="AY177" s="295">
        <f>IF(IF(Inputs!$E$207 = 2, Inputs!AX210, Inputs!AX211) &gt; Inputs!$D158, MIN(IF(Inputs!$E$207 = 2, Inputs!AX210, Inputs!AX211) - Inputs!$D158, Inputs!$D159 - Inputs!$D158), 0)</f>
        <v>0</v>
      </c>
      <c r="AZ177" s="295">
        <f>IF(IF(Inputs!$E$207 = 2, Inputs!AY210, Inputs!AY211) &gt; Inputs!$D158, MIN(IF(Inputs!$E$207 = 2, Inputs!AY210, Inputs!AY211) - Inputs!$D158, Inputs!$D159 - Inputs!$D158), 0)</f>
        <v>0</v>
      </c>
      <c r="BA177" s="295">
        <f>IF(IF(Inputs!$E$207 = 2, Inputs!AZ210, Inputs!AZ211) &gt; Inputs!$D158, MIN(IF(Inputs!$E$207 = 2, Inputs!AZ210, Inputs!AZ211) - Inputs!$D158, Inputs!$D159 - Inputs!$D158), 0)</f>
        <v>0</v>
      </c>
      <c r="BB177" s="295">
        <f>IF(IF(Inputs!$E$207 = 2, Inputs!BA210, Inputs!BA211) &gt; Inputs!$D158, MIN(IF(Inputs!$E$207 = 2, Inputs!BA210, Inputs!BA211) - Inputs!$D158, Inputs!$D159 - Inputs!$D158), 0)</f>
        <v>0</v>
      </c>
      <c r="BC177" s="295">
        <f>IF(IF(Inputs!$E$207 = 2, Inputs!BB210, Inputs!BB211) &gt; Inputs!$D158, MIN(IF(Inputs!$E$207 = 2, Inputs!BB210, Inputs!BB211) - Inputs!$D158, Inputs!$D159 - Inputs!$D158), 0)</f>
        <v>0</v>
      </c>
      <c r="BD177" s="295">
        <f>IF(IF(Inputs!$E$207 = 2, Inputs!BC210, Inputs!BC211) &gt; Inputs!$D158, MIN(IF(Inputs!$E$207 = 2, Inputs!BC210, Inputs!BC211) - Inputs!$D158, Inputs!$D159 - Inputs!$D158), 0)</f>
        <v>0</v>
      </c>
    </row>
    <row r="178" spans="4:56" ht="15" customHeight="1">
      <c r="D178" s="109" t="s">
        <v>404</v>
      </c>
      <c r="E178" s="18" t="s">
        <v>407</v>
      </c>
      <c r="G178" s="295">
        <f>IF(IF(Inputs!$E$207 = 2, Inputs!F210, Inputs!F211) &gt; Inputs!$D159, MIN(IF(Inputs!$E$207 = 2, Inputs!F210, Inputs!F211) - Inputs!$D159, Inputs!$D160 - Inputs!$D159),0)</f>
        <v>0</v>
      </c>
      <c r="H178" s="295">
        <f>IF(IF(Inputs!$E$207 = 2, Inputs!G210, Inputs!G211) &gt; Inputs!$D159, MIN(IF(Inputs!$E$207 = 2, Inputs!G210, Inputs!G211) - Inputs!$D159, Inputs!$D160 - Inputs!$D159),0)</f>
        <v>0</v>
      </c>
      <c r="I178" s="295">
        <f>IF(IF(Inputs!$E$207 = 2, Inputs!H210, Inputs!H211) &gt; Inputs!$D159, MIN(IF(Inputs!$E$207 = 2, Inputs!H210, Inputs!H211) - Inputs!$D159, Inputs!$D160 - Inputs!$D159),0)</f>
        <v>0</v>
      </c>
      <c r="J178" s="295">
        <f>IF(IF(Inputs!$E$207 = 2, Inputs!I210, Inputs!I211) &gt; Inputs!$D159, MIN(IF(Inputs!$E$207 = 2, Inputs!I210, Inputs!I211) - Inputs!$D159, Inputs!$D160 - Inputs!$D159),0)</f>
        <v>0</v>
      </c>
      <c r="K178" s="295">
        <f>IF(IF(Inputs!$E$207 = 2, Inputs!J210, Inputs!J211) &gt; Inputs!$D159, MIN(IF(Inputs!$E$207 = 2, Inputs!J210, Inputs!J211) - Inputs!$D159, Inputs!$D160 - Inputs!$D159),0)</f>
        <v>0</v>
      </c>
      <c r="L178" s="295">
        <f>IF(IF(Inputs!$E$207 = 2, Inputs!K210, Inputs!K211) &gt; Inputs!$D159, MIN(IF(Inputs!$E$207 = 2, Inputs!K210, Inputs!K211) - Inputs!$D159, Inputs!$D160 - Inputs!$D159),0)</f>
        <v>0</v>
      </c>
      <c r="M178" s="295">
        <f>IF(IF(Inputs!$E$207 = 2, Inputs!L210, Inputs!L211) &gt; Inputs!$D159, MIN(IF(Inputs!$E$207 = 2, Inputs!L210, Inputs!L211) - Inputs!$D159, Inputs!$D160 - Inputs!$D159),0)</f>
        <v>0</v>
      </c>
      <c r="N178" s="295">
        <f>IF(IF(Inputs!$E$207 = 2, Inputs!M210, Inputs!M211) &gt; Inputs!$D159, MIN(IF(Inputs!$E$207 = 2, Inputs!M210, Inputs!M211) - Inputs!$D159, Inputs!$D160 - Inputs!$D159),0)</f>
        <v>0</v>
      </c>
      <c r="O178" s="295">
        <f>IF(IF(Inputs!$E$207 = 2, Inputs!N210, Inputs!N211) &gt; Inputs!$D159, MIN(IF(Inputs!$E$207 = 2, Inputs!N210, Inputs!N211) - Inputs!$D159, Inputs!$D160 - Inputs!$D159),0)</f>
        <v>0</v>
      </c>
      <c r="P178" s="295">
        <f>IF(IF(Inputs!$E$207 = 2, Inputs!O210, Inputs!O211) &gt; Inputs!$D159, MIN(IF(Inputs!$E$207 = 2, Inputs!O210, Inputs!O211) - Inputs!$D159, Inputs!$D160 - Inputs!$D159),0)</f>
        <v>0</v>
      </c>
      <c r="Q178" s="295">
        <f>IF(IF(Inputs!$E$207 = 2, Inputs!P210, Inputs!P211) &gt; Inputs!$D159, MIN(IF(Inputs!$E$207 = 2, Inputs!P210, Inputs!P211) - Inputs!$D159, Inputs!$D160 - Inputs!$D159),0)</f>
        <v>0</v>
      </c>
      <c r="R178" s="295">
        <f>IF(IF(Inputs!$E$207 = 2, Inputs!Q210, Inputs!Q211) &gt; Inputs!$D159, MIN(IF(Inputs!$E$207 = 2, Inputs!Q210, Inputs!Q211) - Inputs!$D159, Inputs!$D160 - Inputs!$D159),0)</f>
        <v>0</v>
      </c>
      <c r="S178" s="295">
        <f>IF(IF(Inputs!$E$207 = 2, Inputs!R210, Inputs!R211) &gt; Inputs!$D159, MIN(IF(Inputs!$E$207 = 2, Inputs!R210, Inputs!R211) - Inputs!$D159, Inputs!$D160 - Inputs!$D159),0)</f>
        <v>0</v>
      </c>
      <c r="T178" s="295">
        <f>IF(IF(Inputs!$E$207 = 2, Inputs!S210, Inputs!S211) &gt; Inputs!$D159, MIN(IF(Inputs!$E$207 = 2, Inputs!S210, Inputs!S211) - Inputs!$D159, Inputs!$D160 - Inputs!$D159),0)</f>
        <v>0</v>
      </c>
      <c r="U178" s="295">
        <f>IF(IF(Inputs!$E$207 = 2, Inputs!T210, Inputs!T211) &gt; Inputs!$D159, MIN(IF(Inputs!$E$207 = 2, Inputs!T210, Inputs!T211) - Inputs!$D159, Inputs!$D160 - Inputs!$D159),0)</f>
        <v>0</v>
      </c>
      <c r="V178" s="295">
        <f>IF(IF(Inputs!$E$207 = 2, Inputs!U210, Inputs!U211) &gt; Inputs!$D159, MIN(IF(Inputs!$E$207 = 2, Inputs!U210, Inputs!U211) - Inputs!$D159, Inputs!$D160 - Inputs!$D159),0)</f>
        <v>0</v>
      </c>
      <c r="W178" s="295">
        <f>IF(IF(Inputs!$E$207 = 2, Inputs!V210, Inputs!V211) &gt; Inputs!$D159, MIN(IF(Inputs!$E$207 = 2, Inputs!V210, Inputs!V211) - Inputs!$D159, Inputs!$D160 - Inputs!$D159),0)</f>
        <v>0</v>
      </c>
      <c r="X178" s="295">
        <f>IF(IF(Inputs!$E$207 = 2, Inputs!W210, Inputs!W211) &gt; Inputs!$D159, MIN(IF(Inputs!$E$207 = 2, Inputs!W210, Inputs!W211) - Inputs!$D159, Inputs!$D160 - Inputs!$D159),0)</f>
        <v>0</v>
      </c>
      <c r="Y178" s="295">
        <f>IF(IF(Inputs!$E$207 = 2, Inputs!X210, Inputs!X211) &gt; Inputs!$D159, MIN(IF(Inputs!$E$207 = 2, Inputs!X210, Inputs!X211) - Inputs!$D159, Inputs!$D160 - Inputs!$D159),0)</f>
        <v>0</v>
      </c>
      <c r="Z178" s="295">
        <f>IF(IF(Inputs!$E$207 = 2, Inputs!Y210, Inputs!Y211) &gt; Inputs!$D159, MIN(IF(Inputs!$E$207 = 2, Inputs!Y210, Inputs!Y211) - Inputs!$D159, Inputs!$D160 - Inputs!$D159),0)</f>
        <v>0</v>
      </c>
      <c r="AA178" s="295">
        <f>IF(IF(Inputs!$E$207 = 2, Inputs!Z210, Inputs!Z211) &gt; Inputs!$D159, MIN(IF(Inputs!$E$207 = 2, Inputs!Z210, Inputs!Z211) - Inputs!$D159, Inputs!$D160 - Inputs!$D159),0)</f>
        <v>0</v>
      </c>
      <c r="AB178" s="295">
        <f>IF(IF(Inputs!$E$207 = 2, Inputs!AA210, Inputs!AA211) &gt; Inputs!$D159, MIN(IF(Inputs!$E$207 = 2, Inputs!AA210, Inputs!AA211) - Inputs!$D159, Inputs!$D160 - Inputs!$D159),0)</f>
        <v>0</v>
      </c>
      <c r="AC178" s="295">
        <f>IF(IF(Inputs!$E$207 = 2, Inputs!AB210, Inputs!AB211) &gt; Inputs!$D159, MIN(IF(Inputs!$E$207 = 2, Inputs!AB210, Inputs!AB211) - Inputs!$D159, Inputs!$D160 - Inputs!$D159),0)</f>
        <v>0</v>
      </c>
      <c r="AD178" s="295">
        <f>IF(IF(Inputs!$E$207 = 2, Inputs!AC210, Inputs!AC211) &gt; Inputs!$D159, MIN(IF(Inputs!$E$207 = 2, Inputs!AC210, Inputs!AC211) - Inputs!$D159, Inputs!$D160 - Inputs!$D159),0)</f>
        <v>0</v>
      </c>
      <c r="AE178" s="295">
        <f>IF(IF(Inputs!$E$207 = 2, Inputs!AD210, Inputs!AD211) &gt; Inputs!$D159, MIN(IF(Inputs!$E$207 = 2, Inputs!AD210, Inputs!AD211) - Inputs!$D159, Inputs!$D160 - Inputs!$D159),0)</f>
        <v>0</v>
      </c>
      <c r="AF178" s="295">
        <f>IF(IF(Inputs!$E$207 = 2, Inputs!AE210, Inputs!AE211) &gt; Inputs!$D159, MIN(IF(Inputs!$E$207 = 2, Inputs!AE210, Inputs!AE211) - Inputs!$D159, Inputs!$D160 - Inputs!$D159),0)</f>
        <v>0</v>
      </c>
      <c r="AG178" s="295">
        <f>IF(IF(Inputs!$E$207 = 2, Inputs!AF210, Inputs!AF211) &gt; Inputs!$D159, MIN(IF(Inputs!$E$207 = 2, Inputs!AF210, Inputs!AF211) - Inputs!$D159, Inputs!$D160 - Inputs!$D159),0)</f>
        <v>0</v>
      </c>
      <c r="AH178" s="295">
        <f>IF(IF(Inputs!$E$207 = 2, Inputs!AG210, Inputs!AG211) &gt; Inputs!$D159, MIN(IF(Inputs!$E$207 = 2, Inputs!AG210, Inputs!AG211) - Inputs!$D159, Inputs!$D160 - Inputs!$D159),0)</f>
        <v>0</v>
      </c>
      <c r="AI178" s="295">
        <f>IF(IF(Inputs!$E$207 = 2, Inputs!AH210, Inputs!AH211) &gt; Inputs!$D159, MIN(IF(Inputs!$E$207 = 2, Inputs!AH210, Inputs!AH211) - Inputs!$D159, Inputs!$D160 - Inputs!$D159),0)</f>
        <v>0</v>
      </c>
      <c r="AJ178" s="295">
        <f>IF(IF(Inputs!$E$207 = 2, Inputs!AI210, Inputs!AI211) &gt; Inputs!$D159, MIN(IF(Inputs!$E$207 = 2, Inputs!AI210, Inputs!AI211) - Inputs!$D159, Inputs!$D160 - Inputs!$D159),0)</f>
        <v>0</v>
      </c>
      <c r="AK178" s="295">
        <f>IF(IF(Inputs!$E$207 = 2, Inputs!AJ210, Inputs!AJ211) &gt; Inputs!$D159, MIN(IF(Inputs!$E$207 = 2, Inputs!AJ210, Inputs!AJ211) - Inputs!$D159, Inputs!$D160 - Inputs!$D159),0)</f>
        <v>0</v>
      </c>
      <c r="AL178" s="295">
        <f>IF(IF(Inputs!$E$207 = 2, Inputs!AK210, Inputs!AK211) &gt; Inputs!$D159, MIN(IF(Inputs!$E$207 = 2, Inputs!AK210, Inputs!AK211) - Inputs!$D159, Inputs!$D160 - Inputs!$D159),0)</f>
        <v>0</v>
      </c>
      <c r="AM178" s="295">
        <f>IF(IF(Inputs!$E$207 = 2, Inputs!AL210, Inputs!AL211) &gt; Inputs!$D159, MIN(IF(Inputs!$E$207 = 2, Inputs!AL210, Inputs!AL211) - Inputs!$D159, Inputs!$D160 - Inputs!$D159),0)</f>
        <v>0</v>
      </c>
      <c r="AN178" s="295">
        <f>IF(IF(Inputs!$E$207 = 2, Inputs!AM210, Inputs!AM211) &gt; Inputs!$D159, MIN(IF(Inputs!$E$207 = 2, Inputs!AM210, Inputs!AM211) - Inputs!$D159, Inputs!$D160 - Inputs!$D159),0)</f>
        <v>0</v>
      </c>
      <c r="AO178" s="295">
        <f>IF(IF(Inputs!$E$207 = 2, Inputs!AN210, Inputs!AN211) &gt; Inputs!$D159, MIN(IF(Inputs!$E$207 = 2, Inputs!AN210, Inputs!AN211) - Inputs!$D159, Inputs!$D160 - Inputs!$D159),0)</f>
        <v>0</v>
      </c>
      <c r="AP178" s="295">
        <f>IF(IF(Inputs!$E$207 = 2, Inputs!AO210, Inputs!AO211) &gt; Inputs!$D159, MIN(IF(Inputs!$E$207 = 2, Inputs!AO210, Inputs!AO211) - Inputs!$D159, Inputs!$D160 - Inputs!$D159),0)</f>
        <v>0</v>
      </c>
      <c r="AQ178" s="295">
        <f>IF(IF(Inputs!$E$207 = 2, Inputs!AP210, Inputs!AP211) &gt; Inputs!$D159, MIN(IF(Inputs!$E$207 = 2, Inputs!AP210, Inputs!AP211) - Inputs!$D159, Inputs!$D160 - Inputs!$D159),0)</f>
        <v>0</v>
      </c>
      <c r="AR178" s="295">
        <f>IF(IF(Inputs!$E$207 = 2, Inputs!AQ210, Inputs!AQ211) &gt; Inputs!$D159, MIN(IF(Inputs!$E$207 = 2, Inputs!AQ210, Inputs!AQ211) - Inputs!$D159, Inputs!$D160 - Inputs!$D159),0)</f>
        <v>0</v>
      </c>
      <c r="AS178" s="295">
        <f>IF(IF(Inputs!$E$207 = 2, Inputs!AR210, Inputs!AR211) &gt; Inputs!$D159, MIN(IF(Inputs!$E$207 = 2, Inputs!AR210, Inputs!AR211) - Inputs!$D159, Inputs!$D160 - Inputs!$D159),0)</f>
        <v>0</v>
      </c>
      <c r="AT178" s="295">
        <f>IF(IF(Inputs!$E$207 = 2, Inputs!AS210, Inputs!AS211) &gt; Inputs!$D159, MIN(IF(Inputs!$E$207 = 2, Inputs!AS210, Inputs!AS211) - Inputs!$D159, Inputs!$D160 - Inputs!$D159),0)</f>
        <v>0</v>
      </c>
      <c r="AU178" s="295">
        <f>IF(IF(Inputs!$E$207 = 2, Inputs!AT210, Inputs!AT211) &gt; Inputs!$D159, MIN(IF(Inputs!$E$207 = 2, Inputs!AT210, Inputs!AT211) - Inputs!$D159, Inputs!$D160 - Inputs!$D159),0)</f>
        <v>0</v>
      </c>
      <c r="AV178" s="295">
        <f>IF(IF(Inputs!$E$207 = 2, Inputs!AU210, Inputs!AU211) &gt; Inputs!$D159, MIN(IF(Inputs!$E$207 = 2, Inputs!AU210, Inputs!AU211) - Inputs!$D159, Inputs!$D160 - Inputs!$D159),0)</f>
        <v>0</v>
      </c>
      <c r="AW178" s="295">
        <f>IF(IF(Inputs!$E$207 = 2, Inputs!AV210, Inputs!AV211) &gt; Inputs!$D159, MIN(IF(Inputs!$E$207 = 2, Inputs!AV210, Inputs!AV211) - Inputs!$D159, Inputs!$D160 - Inputs!$D159),0)</f>
        <v>0</v>
      </c>
      <c r="AX178" s="295">
        <f>IF(IF(Inputs!$E$207 = 2, Inputs!AW210, Inputs!AW211) &gt; Inputs!$D159, MIN(IF(Inputs!$E$207 = 2, Inputs!AW210, Inputs!AW211) - Inputs!$D159, Inputs!$D160 - Inputs!$D159),0)</f>
        <v>0</v>
      </c>
      <c r="AY178" s="295">
        <f>IF(IF(Inputs!$E$207 = 2, Inputs!AX210, Inputs!AX211) &gt; Inputs!$D159, MIN(IF(Inputs!$E$207 = 2, Inputs!AX210, Inputs!AX211) - Inputs!$D159, Inputs!$D160 - Inputs!$D159),0)</f>
        <v>0</v>
      </c>
      <c r="AZ178" s="295">
        <f>IF(IF(Inputs!$E$207 = 2, Inputs!AY210, Inputs!AY211) &gt; Inputs!$D159, MIN(IF(Inputs!$E$207 = 2, Inputs!AY210, Inputs!AY211) - Inputs!$D159, Inputs!$D160 - Inputs!$D159),0)</f>
        <v>0</v>
      </c>
      <c r="BA178" s="295">
        <f>IF(IF(Inputs!$E$207 = 2, Inputs!AZ210, Inputs!AZ211) &gt; Inputs!$D159, MIN(IF(Inputs!$E$207 = 2, Inputs!AZ210, Inputs!AZ211) - Inputs!$D159, Inputs!$D160 - Inputs!$D159),0)</f>
        <v>0</v>
      </c>
      <c r="BB178" s="295">
        <f>IF(IF(Inputs!$E$207 = 2, Inputs!BA210, Inputs!BA211) &gt; Inputs!$D159, MIN(IF(Inputs!$E$207 = 2, Inputs!BA210, Inputs!BA211) - Inputs!$D159, Inputs!$D160 - Inputs!$D159),0)</f>
        <v>0</v>
      </c>
      <c r="BC178" s="295">
        <f>IF(IF(Inputs!$E$207 = 2, Inputs!BB210, Inputs!BB211) &gt; Inputs!$D159, MIN(IF(Inputs!$E$207 = 2, Inputs!BB210, Inputs!BB211) - Inputs!$D159, Inputs!$D160 - Inputs!$D159),0)</f>
        <v>0</v>
      </c>
      <c r="BD178" s="295">
        <f>IF(IF(Inputs!$E$207 = 2, Inputs!BC210, Inputs!BC211) &gt; Inputs!$D159, MIN(IF(Inputs!$E$207 = 2, Inputs!BC210, Inputs!BC211) - Inputs!$D159, Inputs!$D160 - Inputs!$D159),0)</f>
        <v>0</v>
      </c>
    </row>
    <row r="179" spans="4:56" ht="15" customHeight="1">
      <c r="D179" s="109" t="s">
        <v>405</v>
      </c>
      <c r="E179" s="18" t="s">
        <v>407</v>
      </c>
      <c r="G179" s="295">
        <f>IF(IF(Inputs!$E$207 = 2, Inputs!F210, Inputs!F211) &gt; Inputs!$D160, IF(Inputs!$E$207 = 2, Inputs!F210, Inputs!F211) - Inputs!$D160, 0)</f>
        <v>1600</v>
      </c>
      <c r="H179" s="295">
        <f>IF(IF(Inputs!$E$207 = 2, Inputs!G210, Inputs!G211) &gt; Inputs!$D160, IF(Inputs!$E$207 = 2, Inputs!G210, Inputs!G211) - Inputs!$D160, 0)</f>
        <v>1600</v>
      </c>
      <c r="I179" s="295">
        <f>IF(IF(Inputs!$E$207 = 2, Inputs!H210, Inputs!H211) &gt; Inputs!$D160, IF(Inputs!$E$207 = 2, Inputs!H210, Inputs!H211) - Inputs!$D160, 0)</f>
        <v>1600</v>
      </c>
      <c r="J179" s="295">
        <f>IF(IF(Inputs!$E$207 = 2, Inputs!I210, Inputs!I211) &gt; Inputs!$D160, IF(Inputs!$E$207 = 2, Inputs!I210, Inputs!I211) - Inputs!$D160, 0)</f>
        <v>1600</v>
      </c>
      <c r="K179" s="295">
        <f>IF(IF(Inputs!$E$207 = 2, Inputs!J210, Inputs!J211) &gt; Inputs!$D160, IF(Inputs!$E$207 = 2, Inputs!J210, Inputs!J211) - Inputs!$D160, 0)</f>
        <v>1600</v>
      </c>
      <c r="L179" s="295">
        <f>IF(IF(Inputs!$E$207 = 2, Inputs!K210, Inputs!K211) &gt; Inputs!$D160, IF(Inputs!$E$207 = 2, Inputs!K210, Inputs!K211) - Inputs!$D160, 0)</f>
        <v>1600</v>
      </c>
      <c r="M179" s="295">
        <f>IF(IF(Inputs!$E$207 = 2, Inputs!L210, Inputs!L211) &gt; Inputs!$D160, IF(Inputs!$E$207 = 2, Inputs!L210, Inputs!L211) - Inputs!$D160, 0)</f>
        <v>1600</v>
      </c>
      <c r="N179" s="295">
        <f>IF(IF(Inputs!$E$207 = 2, Inputs!M210, Inputs!M211) &gt; Inputs!$D160, IF(Inputs!$E$207 = 2, Inputs!M210, Inputs!M211) - Inputs!$D160, 0)</f>
        <v>1600</v>
      </c>
      <c r="O179" s="295">
        <f>IF(IF(Inputs!$E$207 = 2, Inputs!N210, Inputs!N211) &gt; Inputs!$D160, IF(Inputs!$E$207 = 2, Inputs!N210, Inputs!N211) - Inputs!$D160, 0)</f>
        <v>1600</v>
      </c>
      <c r="P179" s="295">
        <f>IF(IF(Inputs!$E$207 = 2, Inputs!O210, Inputs!O211) &gt; Inputs!$D160, IF(Inputs!$E$207 = 2, Inputs!O210, Inputs!O211) - Inputs!$D160, 0)</f>
        <v>1600</v>
      </c>
      <c r="Q179" s="295">
        <f>IF(IF(Inputs!$E$207 = 2, Inputs!P210, Inputs!P211) &gt; Inputs!$D160, IF(Inputs!$E$207 = 2, Inputs!P210, Inputs!P211) - Inputs!$D160, 0)</f>
        <v>1600</v>
      </c>
      <c r="R179" s="295">
        <f>IF(IF(Inputs!$E$207 = 2, Inputs!Q210, Inputs!Q211) &gt; Inputs!$D160, IF(Inputs!$E$207 = 2, Inputs!Q210, Inputs!Q211) - Inputs!$D160, 0)</f>
        <v>1600</v>
      </c>
      <c r="S179" s="295">
        <f>IF(IF(Inputs!$E$207 = 2, Inputs!R210, Inputs!R211) &gt; Inputs!$D160, IF(Inputs!$E$207 = 2, Inputs!R210, Inputs!R211) - Inputs!$D160, 0)</f>
        <v>1600</v>
      </c>
      <c r="T179" s="295">
        <f>IF(IF(Inputs!$E$207 = 2, Inputs!S210, Inputs!S211) &gt; Inputs!$D160, IF(Inputs!$E$207 = 2, Inputs!S210, Inputs!S211) - Inputs!$D160, 0)</f>
        <v>1600</v>
      </c>
      <c r="U179" s="295">
        <f>IF(IF(Inputs!$E$207 = 2, Inputs!T210, Inputs!T211) &gt; Inputs!$D160, IF(Inputs!$E$207 = 2, Inputs!T210, Inputs!T211) - Inputs!$D160, 0)</f>
        <v>1600</v>
      </c>
      <c r="V179" s="295">
        <f>IF(IF(Inputs!$E$207 = 2, Inputs!U210, Inputs!U211) &gt; Inputs!$D160, IF(Inputs!$E$207 = 2, Inputs!U210, Inputs!U211) - Inputs!$D160, 0)</f>
        <v>1600</v>
      </c>
      <c r="W179" s="295">
        <f>IF(IF(Inputs!$E$207 = 2, Inputs!V210, Inputs!V211) &gt; Inputs!$D160, IF(Inputs!$E$207 = 2, Inputs!V210, Inputs!V211) - Inputs!$D160, 0)</f>
        <v>1600</v>
      </c>
      <c r="X179" s="295">
        <f>IF(IF(Inputs!$E$207 = 2, Inputs!W210, Inputs!W211) &gt; Inputs!$D160, IF(Inputs!$E$207 = 2, Inputs!W210, Inputs!W211) - Inputs!$D160, 0)</f>
        <v>1600</v>
      </c>
      <c r="Y179" s="295">
        <f>IF(IF(Inputs!$E$207 = 2, Inputs!X210, Inputs!X211) &gt; Inputs!$D160, IF(Inputs!$E$207 = 2, Inputs!X210, Inputs!X211) - Inputs!$D160, 0)</f>
        <v>1600</v>
      </c>
      <c r="Z179" s="295">
        <f>IF(IF(Inputs!$E$207 = 2, Inputs!Y210, Inputs!Y211) &gt; Inputs!$D160, IF(Inputs!$E$207 = 2, Inputs!Y210, Inputs!Y211) - Inputs!$D160, 0)</f>
        <v>1600</v>
      </c>
      <c r="AA179" s="295">
        <f>IF(IF(Inputs!$E$207 = 2, Inputs!Z210, Inputs!Z211) &gt; Inputs!$D160, IF(Inputs!$E$207 = 2, Inputs!Z210, Inputs!Z211) - Inputs!$D160, 0)</f>
        <v>1600</v>
      </c>
      <c r="AB179" s="295">
        <f>IF(IF(Inputs!$E$207 = 2, Inputs!AA210, Inputs!AA211) &gt; Inputs!$D160, IF(Inputs!$E$207 = 2, Inputs!AA210, Inputs!AA211) - Inputs!$D160, 0)</f>
        <v>1600</v>
      </c>
      <c r="AC179" s="295">
        <f>IF(IF(Inputs!$E$207 = 2, Inputs!AB210, Inputs!AB211) &gt; Inputs!$D160, IF(Inputs!$E$207 = 2, Inputs!AB210, Inputs!AB211) - Inputs!$D160, 0)</f>
        <v>1600</v>
      </c>
      <c r="AD179" s="295">
        <f>IF(IF(Inputs!$E$207 = 2, Inputs!AC210, Inputs!AC211) &gt; Inputs!$D160, IF(Inputs!$E$207 = 2, Inputs!AC210, Inputs!AC211) - Inputs!$D160, 0)</f>
        <v>1600</v>
      </c>
      <c r="AE179" s="295">
        <f>IF(IF(Inputs!$E$207 = 2, Inputs!AD210, Inputs!AD211) &gt; Inputs!$D160, IF(Inputs!$E$207 = 2, Inputs!AD210, Inputs!AD211) - Inputs!$D160, 0)</f>
        <v>1600</v>
      </c>
      <c r="AF179" s="295">
        <f>IF(IF(Inputs!$E$207 = 2, Inputs!AE210, Inputs!AE211) &gt; Inputs!$D160, IF(Inputs!$E$207 = 2, Inputs!AE210, Inputs!AE211) - Inputs!$D160, 0)</f>
        <v>1600</v>
      </c>
      <c r="AG179" s="295">
        <f>IF(IF(Inputs!$E$207 = 2, Inputs!AF210, Inputs!AF211) &gt; Inputs!$D160, IF(Inputs!$E$207 = 2, Inputs!AF210, Inputs!AF211) - Inputs!$D160, 0)</f>
        <v>1600</v>
      </c>
      <c r="AH179" s="295">
        <f>IF(IF(Inputs!$E$207 = 2, Inputs!AG210, Inputs!AG211) &gt; Inputs!$D160, IF(Inputs!$E$207 = 2, Inputs!AG210, Inputs!AG211) - Inputs!$D160, 0)</f>
        <v>1600</v>
      </c>
      <c r="AI179" s="295">
        <f>IF(IF(Inputs!$E$207 = 2, Inputs!AH210, Inputs!AH211) &gt; Inputs!$D160, IF(Inputs!$E$207 = 2, Inputs!AH210, Inputs!AH211) - Inputs!$D160, 0)</f>
        <v>1600</v>
      </c>
      <c r="AJ179" s="295">
        <f>IF(IF(Inputs!$E$207 = 2, Inputs!AI210, Inputs!AI211) &gt; Inputs!$D160, IF(Inputs!$E$207 = 2, Inputs!AI210, Inputs!AI211) - Inputs!$D160, 0)</f>
        <v>1600</v>
      </c>
      <c r="AK179" s="295">
        <f>IF(IF(Inputs!$E$207 = 2, Inputs!AJ210, Inputs!AJ211) &gt; Inputs!$D160, IF(Inputs!$E$207 = 2, Inputs!AJ210, Inputs!AJ211) - Inputs!$D160, 0)</f>
        <v>1600</v>
      </c>
      <c r="AL179" s="295">
        <f>IF(IF(Inputs!$E$207 = 2, Inputs!AK210, Inputs!AK211) &gt; Inputs!$D160, IF(Inputs!$E$207 = 2, Inputs!AK210, Inputs!AK211) - Inputs!$D160, 0)</f>
        <v>1600</v>
      </c>
      <c r="AM179" s="295">
        <f>IF(IF(Inputs!$E$207 = 2, Inputs!AL210, Inputs!AL211) &gt; Inputs!$D160, IF(Inputs!$E$207 = 2, Inputs!AL210, Inputs!AL211) - Inputs!$D160, 0)</f>
        <v>1600</v>
      </c>
      <c r="AN179" s="295">
        <f>IF(IF(Inputs!$E$207 = 2, Inputs!AM210, Inputs!AM211) &gt; Inputs!$D160, IF(Inputs!$E$207 = 2, Inputs!AM210, Inputs!AM211) - Inputs!$D160, 0)</f>
        <v>1600</v>
      </c>
      <c r="AO179" s="295">
        <f>IF(IF(Inputs!$E$207 = 2, Inputs!AN210, Inputs!AN211) &gt; Inputs!$D160, IF(Inputs!$E$207 = 2, Inputs!AN210, Inputs!AN211) - Inputs!$D160, 0)</f>
        <v>1600</v>
      </c>
      <c r="AP179" s="295">
        <f>IF(IF(Inputs!$E$207 = 2, Inputs!AO210, Inputs!AO211) &gt; Inputs!$D160, IF(Inputs!$E$207 = 2, Inputs!AO210, Inputs!AO211) - Inputs!$D160, 0)</f>
        <v>1600</v>
      </c>
      <c r="AQ179" s="295">
        <f>IF(IF(Inputs!$E$207 = 2, Inputs!AP210, Inputs!AP211) &gt; Inputs!$D160, IF(Inputs!$E$207 = 2, Inputs!AP210, Inputs!AP211) - Inputs!$D160, 0)</f>
        <v>1600</v>
      </c>
      <c r="AR179" s="295">
        <f>IF(IF(Inputs!$E$207 = 2, Inputs!AQ210, Inputs!AQ211) &gt; Inputs!$D160, IF(Inputs!$E$207 = 2, Inputs!AQ210, Inputs!AQ211) - Inputs!$D160, 0)</f>
        <v>1600</v>
      </c>
      <c r="AS179" s="295">
        <f>IF(IF(Inputs!$E$207 = 2, Inputs!AR210, Inputs!AR211) &gt; Inputs!$D160, IF(Inputs!$E$207 = 2, Inputs!AR210, Inputs!AR211) - Inputs!$D160, 0)</f>
        <v>1600</v>
      </c>
      <c r="AT179" s="295">
        <f>IF(IF(Inputs!$E$207 = 2, Inputs!AS210, Inputs!AS211) &gt; Inputs!$D160, IF(Inputs!$E$207 = 2, Inputs!AS210, Inputs!AS211) - Inputs!$D160, 0)</f>
        <v>1600</v>
      </c>
      <c r="AU179" s="295">
        <f>IF(IF(Inputs!$E$207 = 2, Inputs!AT210, Inputs!AT211) &gt; Inputs!$D160, IF(Inputs!$E$207 = 2, Inputs!AT210, Inputs!AT211) - Inputs!$D160, 0)</f>
        <v>1600</v>
      </c>
      <c r="AV179" s="295">
        <f>IF(IF(Inputs!$E$207 = 2, Inputs!AU210, Inputs!AU211) &gt; Inputs!$D160, IF(Inputs!$E$207 = 2, Inputs!AU210, Inputs!AU211) - Inputs!$D160, 0)</f>
        <v>1600</v>
      </c>
      <c r="AW179" s="295">
        <f>IF(IF(Inputs!$E$207 = 2, Inputs!AV210, Inputs!AV211) &gt; Inputs!$D160, IF(Inputs!$E$207 = 2, Inputs!AV210, Inputs!AV211) - Inputs!$D160, 0)</f>
        <v>1600</v>
      </c>
      <c r="AX179" s="295">
        <f>IF(IF(Inputs!$E$207 = 2, Inputs!AW210, Inputs!AW211) &gt; Inputs!$D160, IF(Inputs!$E$207 = 2, Inputs!AW210, Inputs!AW211) - Inputs!$D160, 0)</f>
        <v>1600</v>
      </c>
      <c r="AY179" s="295">
        <f>IF(IF(Inputs!$E$207 = 2, Inputs!AX210, Inputs!AX211) &gt; Inputs!$D160, IF(Inputs!$E$207 = 2, Inputs!AX210, Inputs!AX211) - Inputs!$D160, 0)</f>
        <v>1600</v>
      </c>
      <c r="AZ179" s="295">
        <f>IF(IF(Inputs!$E$207 = 2, Inputs!AY210, Inputs!AY211) &gt; Inputs!$D160, IF(Inputs!$E$207 = 2, Inputs!AY210, Inputs!AY211) - Inputs!$D160, 0)</f>
        <v>1600</v>
      </c>
      <c r="BA179" s="295">
        <f>IF(IF(Inputs!$E$207 = 2, Inputs!AZ210, Inputs!AZ211) &gt; Inputs!$D160, IF(Inputs!$E$207 = 2, Inputs!AZ210, Inputs!AZ211) - Inputs!$D160, 0)</f>
        <v>1600</v>
      </c>
      <c r="BB179" s="295">
        <f>IF(IF(Inputs!$E$207 = 2, Inputs!BA210, Inputs!BA211) &gt; Inputs!$D160, IF(Inputs!$E$207 = 2, Inputs!BA210, Inputs!BA211) - Inputs!$D160, 0)</f>
        <v>1600</v>
      </c>
      <c r="BC179" s="295">
        <f>IF(IF(Inputs!$E$207 = 2, Inputs!BB210, Inputs!BB211) &gt; Inputs!$D160, IF(Inputs!$E$207 = 2, Inputs!BB210, Inputs!BB211) - Inputs!$D160, 0)</f>
        <v>1600</v>
      </c>
      <c r="BD179" s="295">
        <f>IF(IF(Inputs!$E$207 = 2, Inputs!BC210, Inputs!BC211) &gt; Inputs!$D160, IF(Inputs!$E$207 = 2, Inputs!BC210, Inputs!BC211) - Inputs!$D160, 0)</f>
        <v>1600</v>
      </c>
    </row>
    <row r="180" spans="4:56" ht="15" customHeight="1">
      <c r="D180" s="22"/>
      <c r="E180" s="18"/>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c r="AO180" s="133"/>
      <c r="AP180" s="133"/>
      <c r="AQ180" s="133"/>
      <c r="AR180" s="133"/>
      <c r="AS180" s="133"/>
      <c r="AT180" s="133"/>
      <c r="AU180" s="133"/>
      <c r="AV180" s="133"/>
      <c r="AW180" s="133"/>
      <c r="AX180" s="133"/>
      <c r="AY180" s="133"/>
      <c r="AZ180" s="133"/>
      <c r="BA180" s="133"/>
      <c r="BB180" s="133"/>
      <c r="BC180" s="133"/>
      <c r="BD180" s="133"/>
    </row>
    <row r="181" spans="4:56" ht="15" customHeight="1">
      <c r="D181" s="109" t="s">
        <v>377</v>
      </c>
      <c r="E181" s="18" t="s">
        <v>408</v>
      </c>
      <c r="G181" s="216">
        <f>Inputs!$E147*G166</f>
        <v>0</v>
      </c>
      <c r="H181" s="216">
        <f>Inputs!$E147*H166</f>
        <v>0</v>
      </c>
      <c r="I181" s="216">
        <f>Inputs!$E147*I166</f>
        <v>0</v>
      </c>
      <c r="J181" s="216">
        <f>Inputs!$E147*J166</f>
        <v>0</v>
      </c>
      <c r="K181" s="216">
        <f>Inputs!$E147*K166</f>
        <v>0</v>
      </c>
      <c r="L181" s="216">
        <f>Inputs!$E147*L166</f>
        <v>0</v>
      </c>
      <c r="M181" s="216">
        <f>Inputs!$E147*M166</f>
        <v>0</v>
      </c>
      <c r="N181" s="216">
        <f>Inputs!$E147*N166</f>
        <v>0</v>
      </c>
      <c r="O181" s="216">
        <f>Inputs!$E147*O166</f>
        <v>0</v>
      </c>
      <c r="P181" s="216">
        <f>Inputs!$E147*P166</f>
        <v>0</v>
      </c>
      <c r="Q181" s="216">
        <f>Inputs!$E147*Q166</f>
        <v>0</v>
      </c>
      <c r="R181" s="216">
        <f>Inputs!$E147*R166</f>
        <v>0</v>
      </c>
      <c r="S181" s="216">
        <f>Inputs!$E147*S166</f>
        <v>0</v>
      </c>
      <c r="T181" s="216">
        <f>Inputs!$E147*T166</f>
        <v>0</v>
      </c>
      <c r="U181" s="216">
        <f>Inputs!$E147*U166</f>
        <v>0</v>
      </c>
      <c r="V181" s="216">
        <f>Inputs!$E147*V166</f>
        <v>0</v>
      </c>
      <c r="W181" s="216">
        <f>Inputs!$E147*W166</f>
        <v>0</v>
      </c>
      <c r="X181" s="216">
        <f>Inputs!$E147*X166</f>
        <v>0</v>
      </c>
      <c r="Y181" s="216">
        <f>Inputs!$E147*Y166</f>
        <v>0</v>
      </c>
      <c r="Z181" s="216">
        <f>Inputs!$E147*Z166</f>
        <v>0</v>
      </c>
      <c r="AA181" s="216">
        <f>Inputs!$E147*AA166</f>
        <v>0</v>
      </c>
      <c r="AB181" s="216">
        <f>Inputs!$E147*AB166</f>
        <v>0</v>
      </c>
      <c r="AC181" s="216">
        <f>Inputs!$E147*AC166</f>
        <v>0</v>
      </c>
      <c r="AD181" s="216">
        <f>Inputs!$E147*AD166</f>
        <v>0</v>
      </c>
      <c r="AE181" s="216">
        <f>Inputs!$E147*AE166</f>
        <v>0</v>
      </c>
      <c r="AF181" s="216">
        <f>Inputs!$E147*AF166</f>
        <v>0</v>
      </c>
      <c r="AG181" s="216">
        <f>Inputs!$E147*AG166</f>
        <v>0</v>
      </c>
      <c r="AH181" s="216">
        <f>Inputs!$E147*AH166</f>
        <v>0</v>
      </c>
      <c r="AI181" s="216">
        <f>Inputs!$E147*AI166</f>
        <v>0</v>
      </c>
      <c r="AJ181" s="216">
        <f>Inputs!$E147*AJ166</f>
        <v>0</v>
      </c>
      <c r="AK181" s="216">
        <f>Inputs!$E147*AK166</f>
        <v>0</v>
      </c>
      <c r="AL181" s="216">
        <f>Inputs!$E147*AL166</f>
        <v>0</v>
      </c>
      <c r="AM181" s="216">
        <f>Inputs!$E147*AM166</f>
        <v>0</v>
      </c>
      <c r="AN181" s="216">
        <f>Inputs!$E147*AN166</f>
        <v>0</v>
      </c>
      <c r="AO181" s="216">
        <f>Inputs!$E147*AO166</f>
        <v>0</v>
      </c>
      <c r="AP181" s="216">
        <f>Inputs!$E147*AP166</f>
        <v>0</v>
      </c>
      <c r="AQ181" s="216">
        <f>Inputs!$E147*AQ166</f>
        <v>0</v>
      </c>
      <c r="AR181" s="216">
        <f>Inputs!$E147*AR166</f>
        <v>0</v>
      </c>
      <c r="AS181" s="216">
        <f>Inputs!$E147*AS166</f>
        <v>0</v>
      </c>
      <c r="AT181" s="216">
        <f>Inputs!$E147*AT166</f>
        <v>0</v>
      </c>
      <c r="AU181" s="216">
        <f>Inputs!$E147*AU166</f>
        <v>0</v>
      </c>
      <c r="AV181" s="216">
        <f>Inputs!$E147*AV166</f>
        <v>0</v>
      </c>
      <c r="AW181" s="216">
        <f>Inputs!$E147*AW166</f>
        <v>0</v>
      </c>
      <c r="AX181" s="216">
        <f>Inputs!$E147*AX166</f>
        <v>0</v>
      </c>
      <c r="AY181" s="216">
        <f>Inputs!$E147*AY166</f>
        <v>0</v>
      </c>
      <c r="AZ181" s="216">
        <f>Inputs!$E147*AZ166</f>
        <v>0</v>
      </c>
      <c r="BA181" s="216">
        <f>Inputs!$E147*BA166</f>
        <v>0</v>
      </c>
      <c r="BB181" s="216">
        <f>Inputs!$E147*BB166</f>
        <v>0</v>
      </c>
      <c r="BC181" s="216">
        <f>Inputs!$E147*BC166</f>
        <v>0</v>
      </c>
      <c r="BD181" s="216">
        <f>Inputs!$E147*BD166</f>
        <v>0</v>
      </c>
    </row>
    <row r="182" spans="4:56" ht="15" customHeight="1">
      <c r="D182" s="109" t="s">
        <v>378</v>
      </c>
      <c r="E182" s="18" t="s">
        <v>408</v>
      </c>
      <c r="G182" s="216">
        <f>Inputs!$E148*G167</f>
        <v>0</v>
      </c>
      <c r="H182" s="216">
        <f>Inputs!$E148*H167</f>
        <v>0</v>
      </c>
      <c r="I182" s="216">
        <f>Inputs!$E148*I167</f>
        <v>0</v>
      </c>
      <c r="J182" s="216">
        <f>Inputs!$E148*J167</f>
        <v>0</v>
      </c>
      <c r="K182" s="216">
        <f>Inputs!$E148*K167</f>
        <v>0</v>
      </c>
      <c r="L182" s="216">
        <f>Inputs!$E148*L167</f>
        <v>0</v>
      </c>
      <c r="M182" s="216">
        <f>Inputs!$E148*M167</f>
        <v>0</v>
      </c>
      <c r="N182" s="216">
        <f>Inputs!$E148*N167</f>
        <v>0</v>
      </c>
      <c r="O182" s="216">
        <f>Inputs!$E148*O167</f>
        <v>0</v>
      </c>
      <c r="P182" s="216">
        <f>Inputs!$E148*P167</f>
        <v>0</v>
      </c>
      <c r="Q182" s="216">
        <f>Inputs!$E148*Q167</f>
        <v>0</v>
      </c>
      <c r="R182" s="216">
        <f>Inputs!$E148*R167</f>
        <v>0</v>
      </c>
      <c r="S182" s="216">
        <f>Inputs!$E148*S167</f>
        <v>0</v>
      </c>
      <c r="T182" s="216">
        <f>Inputs!$E148*T167</f>
        <v>0</v>
      </c>
      <c r="U182" s="216">
        <f>Inputs!$E148*U167</f>
        <v>0</v>
      </c>
      <c r="V182" s="216">
        <f>Inputs!$E148*V167</f>
        <v>0</v>
      </c>
      <c r="W182" s="216">
        <f>Inputs!$E148*W167</f>
        <v>0</v>
      </c>
      <c r="X182" s="216">
        <f>Inputs!$E148*X167</f>
        <v>0</v>
      </c>
      <c r="Y182" s="216">
        <f>Inputs!$E148*Y167</f>
        <v>0</v>
      </c>
      <c r="Z182" s="216">
        <f>Inputs!$E148*Z167</f>
        <v>0</v>
      </c>
      <c r="AA182" s="216">
        <f>Inputs!$E148*AA167</f>
        <v>0</v>
      </c>
      <c r="AB182" s="216">
        <f>Inputs!$E148*AB167</f>
        <v>0</v>
      </c>
      <c r="AC182" s="216">
        <f>Inputs!$E148*AC167</f>
        <v>0</v>
      </c>
      <c r="AD182" s="216">
        <f>Inputs!$E148*AD167</f>
        <v>0</v>
      </c>
      <c r="AE182" s="216">
        <f>Inputs!$E148*AE167</f>
        <v>0</v>
      </c>
      <c r="AF182" s="216">
        <f>Inputs!$E148*AF167</f>
        <v>0</v>
      </c>
      <c r="AG182" s="216">
        <f>Inputs!$E148*AG167</f>
        <v>0</v>
      </c>
      <c r="AH182" s="216">
        <f>Inputs!$E148*AH167</f>
        <v>0</v>
      </c>
      <c r="AI182" s="216">
        <f>Inputs!$E148*AI167</f>
        <v>0</v>
      </c>
      <c r="AJ182" s="216">
        <f>Inputs!$E148*AJ167</f>
        <v>0</v>
      </c>
      <c r="AK182" s="216">
        <f>Inputs!$E148*AK167</f>
        <v>0</v>
      </c>
      <c r="AL182" s="216">
        <f>Inputs!$E148*AL167</f>
        <v>0</v>
      </c>
      <c r="AM182" s="216">
        <f>Inputs!$E148*AM167</f>
        <v>0</v>
      </c>
      <c r="AN182" s="216">
        <f>Inputs!$E148*AN167</f>
        <v>0</v>
      </c>
      <c r="AO182" s="216">
        <f>Inputs!$E148*AO167</f>
        <v>0</v>
      </c>
      <c r="AP182" s="216">
        <f>Inputs!$E148*AP167</f>
        <v>0</v>
      </c>
      <c r="AQ182" s="216">
        <f>Inputs!$E148*AQ167</f>
        <v>0</v>
      </c>
      <c r="AR182" s="216">
        <f>Inputs!$E148*AR167</f>
        <v>0</v>
      </c>
      <c r="AS182" s="216">
        <f>Inputs!$E148*AS167</f>
        <v>0</v>
      </c>
      <c r="AT182" s="216">
        <f>Inputs!$E148*AT167</f>
        <v>0</v>
      </c>
      <c r="AU182" s="216">
        <f>Inputs!$E148*AU167</f>
        <v>0</v>
      </c>
      <c r="AV182" s="216">
        <f>Inputs!$E148*AV167</f>
        <v>0</v>
      </c>
      <c r="AW182" s="216">
        <f>Inputs!$E148*AW167</f>
        <v>0</v>
      </c>
      <c r="AX182" s="216">
        <f>Inputs!$E148*AX167</f>
        <v>0</v>
      </c>
      <c r="AY182" s="216">
        <f>Inputs!$E148*AY167</f>
        <v>0</v>
      </c>
      <c r="AZ182" s="216">
        <f>Inputs!$E148*AZ167</f>
        <v>0</v>
      </c>
      <c r="BA182" s="216">
        <f>Inputs!$E148*BA167</f>
        <v>0</v>
      </c>
      <c r="BB182" s="216">
        <f>Inputs!$E148*BB167</f>
        <v>0</v>
      </c>
      <c r="BC182" s="216">
        <f>Inputs!$E148*BC167</f>
        <v>0</v>
      </c>
      <c r="BD182" s="216">
        <f>Inputs!$E148*BD167</f>
        <v>0</v>
      </c>
    </row>
    <row r="183" spans="4:56" ht="15" customHeight="1">
      <c r="D183" s="109" t="s">
        <v>379</v>
      </c>
      <c r="E183" s="18" t="s">
        <v>408</v>
      </c>
      <c r="G183" s="216">
        <f>Inputs!$E149*G168</f>
        <v>0</v>
      </c>
      <c r="H183" s="216">
        <f>Inputs!$E149*H168</f>
        <v>0</v>
      </c>
      <c r="I183" s="216">
        <f>Inputs!$E149*I168</f>
        <v>0</v>
      </c>
      <c r="J183" s="216">
        <f>Inputs!$E149*J168</f>
        <v>0</v>
      </c>
      <c r="K183" s="216">
        <f>Inputs!$E149*K168</f>
        <v>0</v>
      </c>
      <c r="L183" s="216">
        <f>Inputs!$E149*L168</f>
        <v>0</v>
      </c>
      <c r="M183" s="216">
        <f>Inputs!$E149*M168</f>
        <v>0</v>
      </c>
      <c r="N183" s="216">
        <f>Inputs!$E149*N168</f>
        <v>0</v>
      </c>
      <c r="O183" s="216">
        <f>Inputs!$E149*O168</f>
        <v>0</v>
      </c>
      <c r="P183" s="216">
        <f>Inputs!$E149*P168</f>
        <v>0</v>
      </c>
      <c r="Q183" s="216">
        <f>Inputs!$E149*Q168</f>
        <v>0</v>
      </c>
      <c r="R183" s="216">
        <f>Inputs!$E149*R168</f>
        <v>0</v>
      </c>
      <c r="S183" s="216">
        <f>Inputs!$E149*S168</f>
        <v>0</v>
      </c>
      <c r="T183" s="216">
        <f>Inputs!$E149*T168</f>
        <v>0</v>
      </c>
      <c r="U183" s="216">
        <f>Inputs!$E149*U168</f>
        <v>0</v>
      </c>
      <c r="V183" s="216">
        <f>Inputs!$E149*V168</f>
        <v>0</v>
      </c>
      <c r="W183" s="216">
        <f>Inputs!$E149*W168</f>
        <v>0</v>
      </c>
      <c r="X183" s="216">
        <f>Inputs!$E149*X168</f>
        <v>0</v>
      </c>
      <c r="Y183" s="216">
        <f>Inputs!$E149*Y168</f>
        <v>0</v>
      </c>
      <c r="Z183" s="216">
        <f>Inputs!$E149*Z168</f>
        <v>0</v>
      </c>
      <c r="AA183" s="216">
        <f>Inputs!$E149*AA168</f>
        <v>0</v>
      </c>
      <c r="AB183" s="216">
        <f>Inputs!$E149*AB168</f>
        <v>0</v>
      </c>
      <c r="AC183" s="216">
        <f>Inputs!$E149*AC168</f>
        <v>0</v>
      </c>
      <c r="AD183" s="216">
        <f>Inputs!$E149*AD168</f>
        <v>0</v>
      </c>
      <c r="AE183" s="216">
        <f>Inputs!$E149*AE168</f>
        <v>0</v>
      </c>
      <c r="AF183" s="216">
        <f>Inputs!$E149*AF168</f>
        <v>0</v>
      </c>
      <c r="AG183" s="216">
        <f>Inputs!$E149*AG168</f>
        <v>0</v>
      </c>
      <c r="AH183" s="216">
        <f>Inputs!$E149*AH168</f>
        <v>0</v>
      </c>
      <c r="AI183" s="216">
        <f>Inputs!$E149*AI168</f>
        <v>0</v>
      </c>
      <c r="AJ183" s="216">
        <f>Inputs!$E149*AJ168</f>
        <v>0</v>
      </c>
      <c r="AK183" s="216">
        <f>Inputs!$E149*AK168</f>
        <v>0</v>
      </c>
      <c r="AL183" s="216">
        <f>Inputs!$E149*AL168</f>
        <v>0</v>
      </c>
      <c r="AM183" s="216">
        <f>Inputs!$E149*AM168</f>
        <v>0</v>
      </c>
      <c r="AN183" s="216">
        <f>Inputs!$E149*AN168</f>
        <v>0</v>
      </c>
      <c r="AO183" s="216">
        <f>Inputs!$E149*AO168</f>
        <v>0</v>
      </c>
      <c r="AP183" s="216">
        <f>Inputs!$E149*AP168</f>
        <v>0</v>
      </c>
      <c r="AQ183" s="216">
        <f>Inputs!$E149*AQ168</f>
        <v>0</v>
      </c>
      <c r="AR183" s="216">
        <f>Inputs!$E149*AR168</f>
        <v>0</v>
      </c>
      <c r="AS183" s="216">
        <f>Inputs!$E149*AS168</f>
        <v>0</v>
      </c>
      <c r="AT183" s="216">
        <f>Inputs!$E149*AT168</f>
        <v>0</v>
      </c>
      <c r="AU183" s="216">
        <f>Inputs!$E149*AU168</f>
        <v>0</v>
      </c>
      <c r="AV183" s="216">
        <f>Inputs!$E149*AV168</f>
        <v>0</v>
      </c>
      <c r="AW183" s="216">
        <f>Inputs!$E149*AW168</f>
        <v>0</v>
      </c>
      <c r="AX183" s="216">
        <f>Inputs!$E149*AX168</f>
        <v>0</v>
      </c>
      <c r="AY183" s="216">
        <f>Inputs!$E149*AY168</f>
        <v>0</v>
      </c>
      <c r="AZ183" s="216">
        <f>Inputs!$E149*AZ168</f>
        <v>0</v>
      </c>
      <c r="BA183" s="216">
        <f>Inputs!$E149*BA168</f>
        <v>0</v>
      </c>
      <c r="BB183" s="216">
        <f>Inputs!$E149*BB168</f>
        <v>0</v>
      </c>
      <c r="BC183" s="216">
        <f>Inputs!$E149*BC168</f>
        <v>0</v>
      </c>
      <c r="BD183" s="216">
        <f>Inputs!$E149*BD168</f>
        <v>0</v>
      </c>
    </row>
    <row r="184" spans="4:56" ht="15" customHeight="1">
      <c r="D184" s="109" t="s">
        <v>380</v>
      </c>
      <c r="E184" s="18" t="s">
        <v>408</v>
      </c>
      <c r="G184" s="216">
        <f>Inputs!$E150*G169</f>
        <v>0</v>
      </c>
      <c r="H184" s="216">
        <f>Inputs!$E150*H169</f>
        <v>0</v>
      </c>
      <c r="I184" s="216">
        <f>Inputs!$E150*I169</f>
        <v>0</v>
      </c>
      <c r="J184" s="216">
        <f>Inputs!$E150*J169</f>
        <v>0</v>
      </c>
      <c r="K184" s="216">
        <f>Inputs!$E150*K169</f>
        <v>0</v>
      </c>
      <c r="L184" s="216">
        <f>Inputs!$E150*L169</f>
        <v>0</v>
      </c>
      <c r="M184" s="216">
        <f>Inputs!$E150*M169</f>
        <v>0</v>
      </c>
      <c r="N184" s="216">
        <f>Inputs!$E150*N169</f>
        <v>0</v>
      </c>
      <c r="O184" s="216">
        <f>Inputs!$E150*O169</f>
        <v>0</v>
      </c>
      <c r="P184" s="216">
        <f>Inputs!$E150*P169</f>
        <v>0</v>
      </c>
      <c r="Q184" s="216">
        <f>Inputs!$E150*Q169</f>
        <v>0</v>
      </c>
      <c r="R184" s="216">
        <f>Inputs!$E150*R169</f>
        <v>0</v>
      </c>
      <c r="S184" s="216">
        <f>Inputs!$E150*S169</f>
        <v>0</v>
      </c>
      <c r="T184" s="216">
        <f>Inputs!$E150*T169</f>
        <v>0</v>
      </c>
      <c r="U184" s="216">
        <f>Inputs!$E150*U169</f>
        <v>0</v>
      </c>
      <c r="V184" s="216">
        <f>Inputs!$E150*V169</f>
        <v>0</v>
      </c>
      <c r="W184" s="216">
        <f>Inputs!$E150*W169</f>
        <v>0</v>
      </c>
      <c r="X184" s="216">
        <f>Inputs!$E150*X169</f>
        <v>0</v>
      </c>
      <c r="Y184" s="216">
        <f>Inputs!$E150*Y169</f>
        <v>0</v>
      </c>
      <c r="Z184" s="216">
        <f>Inputs!$E150*Z169</f>
        <v>0</v>
      </c>
      <c r="AA184" s="216">
        <f>Inputs!$E150*AA169</f>
        <v>0</v>
      </c>
      <c r="AB184" s="216">
        <f>Inputs!$E150*AB169</f>
        <v>0</v>
      </c>
      <c r="AC184" s="216">
        <f>Inputs!$E150*AC169</f>
        <v>0</v>
      </c>
      <c r="AD184" s="216">
        <f>Inputs!$E150*AD169</f>
        <v>0</v>
      </c>
      <c r="AE184" s="216">
        <f>Inputs!$E150*AE169</f>
        <v>0</v>
      </c>
      <c r="AF184" s="216">
        <f>Inputs!$E150*AF169</f>
        <v>0</v>
      </c>
      <c r="AG184" s="216">
        <f>Inputs!$E150*AG169</f>
        <v>0</v>
      </c>
      <c r="AH184" s="216">
        <f>Inputs!$E150*AH169</f>
        <v>0</v>
      </c>
      <c r="AI184" s="216">
        <f>Inputs!$E150*AI169</f>
        <v>0</v>
      </c>
      <c r="AJ184" s="216">
        <f>Inputs!$E150*AJ169</f>
        <v>0</v>
      </c>
      <c r="AK184" s="216">
        <f>Inputs!$E150*AK169</f>
        <v>0</v>
      </c>
      <c r="AL184" s="216">
        <f>Inputs!$E150*AL169</f>
        <v>0</v>
      </c>
      <c r="AM184" s="216">
        <f>Inputs!$E150*AM169</f>
        <v>0</v>
      </c>
      <c r="AN184" s="216">
        <f>Inputs!$E150*AN169</f>
        <v>0</v>
      </c>
      <c r="AO184" s="216">
        <f>Inputs!$E150*AO169</f>
        <v>0</v>
      </c>
      <c r="AP184" s="216">
        <f>Inputs!$E150*AP169</f>
        <v>0</v>
      </c>
      <c r="AQ184" s="216">
        <f>Inputs!$E150*AQ169</f>
        <v>0</v>
      </c>
      <c r="AR184" s="216">
        <f>Inputs!$E150*AR169</f>
        <v>0</v>
      </c>
      <c r="AS184" s="216">
        <f>Inputs!$E150*AS169</f>
        <v>0</v>
      </c>
      <c r="AT184" s="216">
        <f>Inputs!$E150*AT169</f>
        <v>0</v>
      </c>
      <c r="AU184" s="216">
        <f>Inputs!$E150*AU169</f>
        <v>0</v>
      </c>
      <c r="AV184" s="216">
        <f>Inputs!$E150*AV169</f>
        <v>0</v>
      </c>
      <c r="AW184" s="216">
        <f>Inputs!$E150*AW169</f>
        <v>0</v>
      </c>
      <c r="AX184" s="216">
        <f>Inputs!$E150*AX169</f>
        <v>0</v>
      </c>
      <c r="AY184" s="216">
        <f>Inputs!$E150*AY169</f>
        <v>0</v>
      </c>
      <c r="AZ184" s="216">
        <f>Inputs!$E150*AZ169</f>
        <v>0</v>
      </c>
      <c r="BA184" s="216">
        <f>Inputs!$E150*BA169</f>
        <v>0</v>
      </c>
      <c r="BB184" s="216">
        <f>Inputs!$E150*BB169</f>
        <v>0</v>
      </c>
      <c r="BC184" s="216">
        <f>Inputs!$E150*BC169</f>
        <v>0</v>
      </c>
      <c r="BD184" s="216">
        <f>Inputs!$E150*BD169</f>
        <v>0</v>
      </c>
    </row>
    <row r="185" spans="4:56" ht="15" customHeight="1">
      <c r="D185" s="109" t="s">
        <v>381</v>
      </c>
      <c r="E185" s="18" t="s">
        <v>408</v>
      </c>
      <c r="G185" s="216">
        <f>Inputs!$E151*G170</f>
        <v>0</v>
      </c>
      <c r="H185" s="216">
        <f>Inputs!$E151*H170</f>
        <v>0</v>
      </c>
      <c r="I185" s="216">
        <f>Inputs!$E151*I170</f>
        <v>0</v>
      </c>
      <c r="J185" s="216">
        <f>Inputs!$E151*J170</f>
        <v>0</v>
      </c>
      <c r="K185" s="216">
        <f>Inputs!$E151*K170</f>
        <v>0</v>
      </c>
      <c r="L185" s="216">
        <f>Inputs!$E151*L170</f>
        <v>0</v>
      </c>
      <c r="M185" s="216">
        <f>Inputs!$E151*M170</f>
        <v>0</v>
      </c>
      <c r="N185" s="216">
        <f>Inputs!$E151*N170</f>
        <v>0</v>
      </c>
      <c r="O185" s="216">
        <f>Inputs!$E151*O170</f>
        <v>0</v>
      </c>
      <c r="P185" s="216">
        <f>Inputs!$E151*P170</f>
        <v>0</v>
      </c>
      <c r="Q185" s="216">
        <f>Inputs!$E151*Q170</f>
        <v>0</v>
      </c>
      <c r="R185" s="216">
        <f>Inputs!$E151*R170</f>
        <v>0</v>
      </c>
      <c r="S185" s="216">
        <f>Inputs!$E151*S170</f>
        <v>0</v>
      </c>
      <c r="T185" s="216">
        <f>Inputs!$E151*T170</f>
        <v>0</v>
      </c>
      <c r="U185" s="216">
        <f>Inputs!$E151*U170</f>
        <v>0</v>
      </c>
      <c r="V185" s="216">
        <f>Inputs!$E151*V170</f>
        <v>0</v>
      </c>
      <c r="W185" s="216">
        <f>Inputs!$E151*W170</f>
        <v>0</v>
      </c>
      <c r="X185" s="216">
        <f>Inputs!$E151*X170</f>
        <v>0</v>
      </c>
      <c r="Y185" s="216">
        <f>Inputs!$E151*Y170</f>
        <v>0</v>
      </c>
      <c r="Z185" s="216">
        <f>Inputs!$E151*Z170</f>
        <v>0</v>
      </c>
      <c r="AA185" s="216">
        <f>Inputs!$E151*AA170</f>
        <v>0</v>
      </c>
      <c r="AB185" s="216">
        <f>Inputs!$E151*AB170</f>
        <v>0</v>
      </c>
      <c r="AC185" s="216">
        <f>Inputs!$E151*AC170</f>
        <v>0</v>
      </c>
      <c r="AD185" s="216">
        <f>Inputs!$E151*AD170</f>
        <v>0</v>
      </c>
      <c r="AE185" s="216">
        <f>Inputs!$E151*AE170</f>
        <v>0</v>
      </c>
      <c r="AF185" s="216">
        <f>Inputs!$E151*AF170</f>
        <v>0</v>
      </c>
      <c r="AG185" s="216">
        <f>Inputs!$E151*AG170</f>
        <v>0</v>
      </c>
      <c r="AH185" s="216">
        <f>Inputs!$E151*AH170</f>
        <v>0</v>
      </c>
      <c r="AI185" s="216">
        <f>Inputs!$E151*AI170</f>
        <v>0</v>
      </c>
      <c r="AJ185" s="216">
        <f>Inputs!$E151*AJ170</f>
        <v>0</v>
      </c>
      <c r="AK185" s="216">
        <f>Inputs!$E151*AK170</f>
        <v>0</v>
      </c>
      <c r="AL185" s="216">
        <f>Inputs!$E151*AL170</f>
        <v>0</v>
      </c>
      <c r="AM185" s="216">
        <f>Inputs!$E151*AM170</f>
        <v>0</v>
      </c>
      <c r="AN185" s="216">
        <f>Inputs!$E151*AN170</f>
        <v>0</v>
      </c>
      <c r="AO185" s="216">
        <f>Inputs!$E151*AO170</f>
        <v>0</v>
      </c>
      <c r="AP185" s="216">
        <f>Inputs!$E151*AP170</f>
        <v>0</v>
      </c>
      <c r="AQ185" s="216">
        <f>Inputs!$E151*AQ170</f>
        <v>0</v>
      </c>
      <c r="AR185" s="216">
        <f>Inputs!$E151*AR170</f>
        <v>0</v>
      </c>
      <c r="AS185" s="216">
        <f>Inputs!$E151*AS170</f>
        <v>0</v>
      </c>
      <c r="AT185" s="216">
        <f>Inputs!$E151*AT170</f>
        <v>0</v>
      </c>
      <c r="AU185" s="216">
        <f>Inputs!$E151*AU170</f>
        <v>0</v>
      </c>
      <c r="AV185" s="216">
        <f>Inputs!$E151*AV170</f>
        <v>0</v>
      </c>
      <c r="AW185" s="216">
        <f>Inputs!$E151*AW170</f>
        <v>0</v>
      </c>
      <c r="AX185" s="216">
        <f>Inputs!$E151*AX170</f>
        <v>0</v>
      </c>
      <c r="AY185" s="216">
        <f>Inputs!$E151*AY170</f>
        <v>0</v>
      </c>
      <c r="AZ185" s="216">
        <f>Inputs!$E151*AZ170</f>
        <v>0</v>
      </c>
      <c r="BA185" s="216">
        <f>Inputs!$E151*BA170</f>
        <v>0</v>
      </c>
      <c r="BB185" s="216">
        <f>Inputs!$E151*BB170</f>
        <v>0</v>
      </c>
      <c r="BC185" s="216">
        <f>Inputs!$E151*BC170</f>
        <v>0</v>
      </c>
      <c r="BD185" s="216">
        <f>Inputs!$E151*BD170</f>
        <v>0</v>
      </c>
    </row>
    <row r="186" spans="4:56" ht="15" customHeight="1">
      <c r="D186" s="109" t="s">
        <v>382</v>
      </c>
      <c r="E186" s="18" t="s">
        <v>408</v>
      </c>
      <c r="G186" s="216">
        <f>Inputs!$E152*G171</f>
        <v>0</v>
      </c>
      <c r="H186" s="216">
        <f>Inputs!$E152*H171</f>
        <v>0</v>
      </c>
      <c r="I186" s="216">
        <f>Inputs!$E152*I171</f>
        <v>0</v>
      </c>
      <c r="J186" s="216">
        <f>Inputs!$E152*J171</f>
        <v>0</v>
      </c>
      <c r="K186" s="216">
        <f>Inputs!$E152*K171</f>
        <v>0</v>
      </c>
      <c r="L186" s="216">
        <f>Inputs!$E152*L171</f>
        <v>0</v>
      </c>
      <c r="M186" s="216">
        <f>Inputs!$E152*M171</f>
        <v>0</v>
      </c>
      <c r="N186" s="216">
        <f>Inputs!$E152*N171</f>
        <v>0</v>
      </c>
      <c r="O186" s="216">
        <f>Inputs!$E152*O171</f>
        <v>0</v>
      </c>
      <c r="P186" s="216">
        <f>Inputs!$E152*P171</f>
        <v>0</v>
      </c>
      <c r="Q186" s="216">
        <f>Inputs!$E152*Q171</f>
        <v>0</v>
      </c>
      <c r="R186" s="216">
        <f>Inputs!$E152*R171</f>
        <v>0</v>
      </c>
      <c r="S186" s="216">
        <f>Inputs!$E152*S171</f>
        <v>0</v>
      </c>
      <c r="T186" s="216">
        <f>Inputs!$E152*T171</f>
        <v>0</v>
      </c>
      <c r="U186" s="216">
        <f>Inputs!$E152*U171</f>
        <v>0</v>
      </c>
      <c r="V186" s="216">
        <f>Inputs!$E152*V171</f>
        <v>0</v>
      </c>
      <c r="W186" s="216">
        <f>Inputs!$E152*W171</f>
        <v>0</v>
      </c>
      <c r="X186" s="216">
        <f>Inputs!$E152*X171</f>
        <v>0</v>
      </c>
      <c r="Y186" s="216">
        <f>Inputs!$E152*Y171</f>
        <v>0</v>
      </c>
      <c r="Z186" s="216">
        <f>Inputs!$E152*Z171</f>
        <v>0</v>
      </c>
      <c r="AA186" s="216">
        <f>Inputs!$E152*AA171</f>
        <v>0</v>
      </c>
      <c r="AB186" s="216">
        <f>Inputs!$E152*AB171</f>
        <v>0</v>
      </c>
      <c r="AC186" s="216">
        <f>Inputs!$E152*AC171</f>
        <v>0</v>
      </c>
      <c r="AD186" s="216">
        <f>Inputs!$E152*AD171</f>
        <v>0</v>
      </c>
      <c r="AE186" s="216">
        <f>Inputs!$E152*AE171</f>
        <v>0</v>
      </c>
      <c r="AF186" s="216">
        <f>Inputs!$E152*AF171</f>
        <v>0</v>
      </c>
      <c r="AG186" s="216">
        <f>Inputs!$E152*AG171</f>
        <v>0</v>
      </c>
      <c r="AH186" s="216">
        <f>Inputs!$E152*AH171</f>
        <v>0</v>
      </c>
      <c r="AI186" s="216">
        <f>Inputs!$E152*AI171</f>
        <v>0</v>
      </c>
      <c r="AJ186" s="216">
        <f>Inputs!$E152*AJ171</f>
        <v>0</v>
      </c>
      <c r="AK186" s="216">
        <f>Inputs!$E152*AK171</f>
        <v>0</v>
      </c>
      <c r="AL186" s="216">
        <f>Inputs!$E152*AL171</f>
        <v>0</v>
      </c>
      <c r="AM186" s="216">
        <f>Inputs!$E152*AM171</f>
        <v>0</v>
      </c>
      <c r="AN186" s="216">
        <f>Inputs!$E152*AN171</f>
        <v>0</v>
      </c>
      <c r="AO186" s="216">
        <f>Inputs!$E152*AO171</f>
        <v>0</v>
      </c>
      <c r="AP186" s="216">
        <f>Inputs!$E152*AP171</f>
        <v>0</v>
      </c>
      <c r="AQ186" s="216">
        <f>Inputs!$E152*AQ171</f>
        <v>0</v>
      </c>
      <c r="AR186" s="216">
        <f>Inputs!$E152*AR171</f>
        <v>0</v>
      </c>
      <c r="AS186" s="216">
        <f>Inputs!$E152*AS171</f>
        <v>0</v>
      </c>
      <c r="AT186" s="216">
        <f>Inputs!$E152*AT171</f>
        <v>0</v>
      </c>
      <c r="AU186" s="216">
        <f>Inputs!$E152*AU171</f>
        <v>0</v>
      </c>
      <c r="AV186" s="216">
        <f>Inputs!$E152*AV171</f>
        <v>0</v>
      </c>
      <c r="AW186" s="216">
        <f>Inputs!$E152*AW171</f>
        <v>0</v>
      </c>
      <c r="AX186" s="216">
        <f>Inputs!$E152*AX171</f>
        <v>0</v>
      </c>
      <c r="AY186" s="216">
        <f>Inputs!$E152*AY171</f>
        <v>0</v>
      </c>
      <c r="AZ186" s="216">
        <f>Inputs!$E152*AZ171</f>
        <v>0</v>
      </c>
      <c r="BA186" s="216">
        <f>Inputs!$E152*BA171</f>
        <v>0</v>
      </c>
      <c r="BB186" s="216">
        <f>Inputs!$E152*BB171</f>
        <v>0</v>
      </c>
      <c r="BC186" s="216">
        <f>Inputs!$E152*BC171</f>
        <v>0</v>
      </c>
      <c r="BD186" s="216">
        <f>Inputs!$E152*BD171</f>
        <v>0</v>
      </c>
    </row>
    <row r="187" spans="4:56" ht="15" customHeight="1">
      <c r="D187" s="109" t="s">
        <v>383</v>
      </c>
      <c r="E187" s="18" t="s">
        <v>408</v>
      </c>
      <c r="G187" s="216">
        <f>Inputs!$E153*G172</f>
        <v>0</v>
      </c>
      <c r="H187" s="216">
        <f>Inputs!$E153*H172</f>
        <v>0</v>
      </c>
      <c r="I187" s="216">
        <f>Inputs!$E153*I172</f>
        <v>0</v>
      </c>
      <c r="J187" s="216">
        <f>Inputs!$E153*J172</f>
        <v>0</v>
      </c>
      <c r="K187" s="216">
        <f>Inputs!$E153*K172</f>
        <v>0</v>
      </c>
      <c r="L187" s="216">
        <f>Inputs!$E153*L172</f>
        <v>0</v>
      </c>
      <c r="M187" s="216">
        <f>Inputs!$E153*M172</f>
        <v>0</v>
      </c>
      <c r="N187" s="216">
        <f>Inputs!$E153*N172</f>
        <v>0</v>
      </c>
      <c r="O187" s="216">
        <f>Inputs!$E153*O172</f>
        <v>0</v>
      </c>
      <c r="P187" s="216">
        <f>Inputs!$E153*P172</f>
        <v>0</v>
      </c>
      <c r="Q187" s="216">
        <f>Inputs!$E153*Q172</f>
        <v>0</v>
      </c>
      <c r="R187" s="216">
        <f>Inputs!$E153*R172</f>
        <v>0</v>
      </c>
      <c r="S187" s="216">
        <f>Inputs!$E153*S172</f>
        <v>0</v>
      </c>
      <c r="T187" s="216">
        <f>Inputs!$E153*T172</f>
        <v>0</v>
      </c>
      <c r="U187" s="216">
        <f>Inputs!$E153*U172</f>
        <v>0</v>
      </c>
      <c r="V187" s="216">
        <f>Inputs!$E153*V172</f>
        <v>0</v>
      </c>
      <c r="W187" s="216">
        <f>Inputs!$E153*W172</f>
        <v>0</v>
      </c>
      <c r="X187" s="216">
        <f>Inputs!$E153*X172</f>
        <v>0</v>
      </c>
      <c r="Y187" s="216">
        <f>Inputs!$E153*Y172</f>
        <v>0</v>
      </c>
      <c r="Z187" s="216">
        <f>Inputs!$E153*Z172</f>
        <v>0</v>
      </c>
      <c r="AA187" s="216">
        <f>Inputs!$E153*AA172</f>
        <v>0</v>
      </c>
      <c r="AB187" s="216">
        <f>Inputs!$E153*AB172</f>
        <v>0</v>
      </c>
      <c r="AC187" s="216">
        <f>Inputs!$E153*AC172</f>
        <v>0</v>
      </c>
      <c r="AD187" s="216">
        <f>Inputs!$E153*AD172</f>
        <v>0</v>
      </c>
      <c r="AE187" s="216">
        <f>Inputs!$E153*AE172</f>
        <v>0</v>
      </c>
      <c r="AF187" s="216">
        <f>Inputs!$E153*AF172</f>
        <v>0</v>
      </c>
      <c r="AG187" s="216">
        <f>Inputs!$E153*AG172</f>
        <v>0</v>
      </c>
      <c r="AH187" s="216">
        <f>Inputs!$E153*AH172</f>
        <v>0</v>
      </c>
      <c r="AI187" s="216">
        <f>Inputs!$E153*AI172</f>
        <v>0</v>
      </c>
      <c r="AJ187" s="216">
        <f>Inputs!$E153*AJ172</f>
        <v>0</v>
      </c>
      <c r="AK187" s="216">
        <f>Inputs!$E153*AK172</f>
        <v>0</v>
      </c>
      <c r="AL187" s="216">
        <f>Inputs!$E153*AL172</f>
        <v>0</v>
      </c>
      <c r="AM187" s="216">
        <f>Inputs!$E153*AM172</f>
        <v>0</v>
      </c>
      <c r="AN187" s="216">
        <f>Inputs!$E153*AN172</f>
        <v>0</v>
      </c>
      <c r="AO187" s="216">
        <f>Inputs!$E153*AO172</f>
        <v>0</v>
      </c>
      <c r="AP187" s="216">
        <f>Inputs!$E153*AP172</f>
        <v>0</v>
      </c>
      <c r="AQ187" s="216">
        <f>Inputs!$E153*AQ172</f>
        <v>0</v>
      </c>
      <c r="AR187" s="216">
        <f>Inputs!$E153*AR172</f>
        <v>0</v>
      </c>
      <c r="AS187" s="216">
        <f>Inputs!$E153*AS172</f>
        <v>0</v>
      </c>
      <c r="AT187" s="216">
        <f>Inputs!$E153*AT172</f>
        <v>0</v>
      </c>
      <c r="AU187" s="216">
        <f>Inputs!$E153*AU172</f>
        <v>0</v>
      </c>
      <c r="AV187" s="216">
        <f>Inputs!$E153*AV172</f>
        <v>0</v>
      </c>
      <c r="AW187" s="216">
        <f>Inputs!$E153*AW172</f>
        <v>0</v>
      </c>
      <c r="AX187" s="216">
        <f>Inputs!$E153*AX172</f>
        <v>0</v>
      </c>
      <c r="AY187" s="216">
        <f>Inputs!$E153*AY172</f>
        <v>0</v>
      </c>
      <c r="AZ187" s="216">
        <f>Inputs!$E153*AZ172</f>
        <v>0</v>
      </c>
      <c r="BA187" s="216">
        <f>Inputs!$E153*BA172</f>
        <v>0</v>
      </c>
      <c r="BB187" s="216">
        <f>Inputs!$E153*BB172</f>
        <v>0</v>
      </c>
      <c r="BC187" s="216">
        <f>Inputs!$E153*BC172</f>
        <v>0</v>
      </c>
      <c r="BD187" s="216">
        <f>Inputs!$E153*BD172</f>
        <v>0</v>
      </c>
    </row>
    <row r="188" spans="4:56" ht="15" customHeight="1">
      <c r="D188" s="109" t="s">
        <v>384</v>
      </c>
      <c r="E188" s="18" t="s">
        <v>408</v>
      </c>
      <c r="G188" s="216">
        <f>Inputs!$E154*G173</f>
        <v>0</v>
      </c>
      <c r="H188" s="216">
        <f>Inputs!$E154*H173</f>
        <v>0</v>
      </c>
      <c r="I188" s="216">
        <f>Inputs!$E154*I173</f>
        <v>0</v>
      </c>
      <c r="J188" s="216">
        <f>Inputs!$E154*J173</f>
        <v>0</v>
      </c>
      <c r="K188" s="216">
        <f>Inputs!$E154*K173</f>
        <v>0</v>
      </c>
      <c r="L188" s="216">
        <f>Inputs!$E154*L173</f>
        <v>0</v>
      </c>
      <c r="M188" s="216">
        <f>Inputs!$E154*M173</f>
        <v>0</v>
      </c>
      <c r="N188" s="216">
        <f>Inputs!$E154*N173</f>
        <v>0</v>
      </c>
      <c r="O188" s="216">
        <f>Inputs!$E154*O173</f>
        <v>0</v>
      </c>
      <c r="P188" s="216">
        <f>Inputs!$E154*P173</f>
        <v>0</v>
      </c>
      <c r="Q188" s="216">
        <f>Inputs!$E154*Q173</f>
        <v>0</v>
      </c>
      <c r="R188" s="216">
        <f>Inputs!$E154*R173</f>
        <v>0</v>
      </c>
      <c r="S188" s="216">
        <f>Inputs!$E154*S173</f>
        <v>0</v>
      </c>
      <c r="T188" s="216">
        <f>Inputs!$E154*T173</f>
        <v>0</v>
      </c>
      <c r="U188" s="216">
        <f>Inputs!$E154*U173</f>
        <v>0</v>
      </c>
      <c r="V188" s="216">
        <f>Inputs!$E154*V173</f>
        <v>0</v>
      </c>
      <c r="W188" s="216">
        <f>Inputs!$E154*W173</f>
        <v>0</v>
      </c>
      <c r="X188" s="216">
        <f>Inputs!$E154*X173</f>
        <v>0</v>
      </c>
      <c r="Y188" s="216">
        <f>Inputs!$E154*Y173</f>
        <v>0</v>
      </c>
      <c r="Z188" s="216">
        <f>Inputs!$E154*Z173</f>
        <v>0</v>
      </c>
      <c r="AA188" s="216">
        <f>Inputs!$E154*AA173</f>
        <v>0</v>
      </c>
      <c r="AB188" s="216">
        <f>Inputs!$E154*AB173</f>
        <v>0</v>
      </c>
      <c r="AC188" s="216">
        <f>Inputs!$E154*AC173</f>
        <v>0</v>
      </c>
      <c r="AD188" s="216">
        <f>Inputs!$E154*AD173</f>
        <v>0</v>
      </c>
      <c r="AE188" s="216">
        <f>Inputs!$E154*AE173</f>
        <v>0</v>
      </c>
      <c r="AF188" s="216">
        <f>Inputs!$E154*AF173</f>
        <v>0</v>
      </c>
      <c r="AG188" s="216">
        <f>Inputs!$E154*AG173</f>
        <v>0</v>
      </c>
      <c r="AH188" s="216">
        <f>Inputs!$E154*AH173</f>
        <v>0</v>
      </c>
      <c r="AI188" s="216">
        <f>Inputs!$E154*AI173</f>
        <v>0</v>
      </c>
      <c r="AJ188" s="216">
        <f>Inputs!$E154*AJ173</f>
        <v>0</v>
      </c>
      <c r="AK188" s="216">
        <f>Inputs!$E154*AK173</f>
        <v>0</v>
      </c>
      <c r="AL188" s="216">
        <f>Inputs!$E154*AL173</f>
        <v>0</v>
      </c>
      <c r="AM188" s="216">
        <f>Inputs!$E154*AM173</f>
        <v>0</v>
      </c>
      <c r="AN188" s="216">
        <f>Inputs!$E154*AN173</f>
        <v>0</v>
      </c>
      <c r="AO188" s="216">
        <f>Inputs!$E154*AO173</f>
        <v>0</v>
      </c>
      <c r="AP188" s="216">
        <f>Inputs!$E154*AP173</f>
        <v>0</v>
      </c>
      <c r="AQ188" s="216">
        <f>Inputs!$E154*AQ173</f>
        <v>0</v>
      </c>
      <c r="AR188" s="216">
        <f>Inputs!$E154*AR173</f>
        <v>0</v>
      </c>
      <c r="AS188" s="216">
        <f>Inputs!$E154*AS173</f>
        <v>0</v>
      </c>
      <c r="AT188" s="216">
        <f>Inputs!$E154*AT173</f>
        <v>0</v>
      </c>
      <c r="AU188" s="216">
        <f>Inputs!$E154*AU173</f>
        <v>0</v>
      </c>
      <c r="AV188" s="216">
        <f>Inputs!$E154*AV173</f>
        <v>0</v>
      </c>
      <c r="AW188" s="216">
        <f>Inputs!$E154*AW173</f>
        <v>0</v>
      </c>
      <c r="AX188" s="216">
        <f>Inputs!$E154*AX173</f>
        <v>0</v>
      </c>
      <c r="AY188" s="216">
        <f>Inputs!$E154*AY173</f>
        <v>0</v>
      </c>
      <c r="AZ188" s="216">
        <f>Inputs!$E154*AZ173</f>
        <v>0</v>
      </c>
      <c r="BA188" s="216">
        <f>Inputs!$E154*BA173</f>
        <v>0</v>
      </c>
      <c r="BB188" s="216">
        <f>Inputs!$E154*BB173</f>
        <v>0</v>
      </c>
      <c r="BC188" s="216">
        <f>Inputs!$E154*BC173</f>
        <v>0</v>
      </c>
      <c r="BD188" s="216">
        <f>Inputs!$E154*BD173</f>
        <v>0</v>
      </c>
    </row>
    <row r="189" spans="4:56" ht="15" customHeight="1">
      <c r="D189" s="109" t="s">
        <v>385</v>
      </c>
      <c r="E189" s="18" t="s">
        <v>408</v>
      </c>
      <c r="G189" s="216">
        <f>Inputs!$E155*G174</f>
        <v>0</v>
      </c>
      <c r="H189" s="216">
        <f>Inputs!$E155*H174</f>
        <v>0</v>
      </c>
      <c r="I189" s="216">
        <f>Inputs!$E155*I174</f>
        <v>0</v>
      </c>
      <c r="J189" s="216">
        <f>Inputs!$E155*J174</f>
        <v>0</v>
      </c>
      <c r="K189" s="216">
        <f>Inputs!$E155*K174</f>
        <v>0</v>
      </c>
      <c r="L189" s="216">
        <f>Inputs!$E155*L174</f>
        <v>0</v>
      </c>
      <c r="M189" s="216">
        <f>Inputs!$E155*M174</f>
        <v>0</v>
      </c>
      <c r="N189" s="216">
        <f>Inputs!$E155*N174</f>
        <v>0</v>
      </c>
      <c r="O189" s="216">
        <f>Inputs!$E155*O174</f>
        <v>0</v>
      </c>
      <c r="P189" s="216">
        <f>Inputs!$E155*P174</f>
        <v>0</v>
      </c>
      <c r="Q189" s="216">
        <f>Inputs!$E155*Q174</f>
        <v>0</v>
      </c>
      <c r="R189" s="216">
        <f>Inputs!$E155*R174</f>
        <v>0</v>
      </c>
      <c r="S189" s="216">
        <f>Inputs!$E155*S174</f>
        <v>0</v>
      </c>
      <c r="T189" s="216">
        <f>Inputs!$E155*T174</f>
        <v>0</v>
      </c>
      <c r="U189" s="216">
        <f>Inputs!$E155*U174</f>
        <v>0</v>
      </c>
      <c r="V189" s="216">
        <f>Inputs!$E155*V174</f>
        <v>0</v>
      </c>
      <c r="W189" s="216">
        <f>Inputs!$E155*W174</f>
        <v>0</v>
      </c>
      <c r="X189" s="216">
        <f>Inputs!$E155*X174</f>
        <v>0</v>
      </c>
      <c r="Y189" s="216">
        <f>Inputs!$E155*Y174</f>
        <v>0</v>
      </c>
      <c r="Z189" s="216">
        <f>Inputs!$E155*Z174</f>
        <v>0</v>
      </c>
      <c r="AA189" s="216">
        <f>Inputs!$E155*AA174</f>
        <v>0</v>
      </c>
      <c r="AB189" s="216">
        <f>Inputs!$E155*AB174</f>
        <v>0</v>
      </c>
      <c r="AC189" s="216">
        <f>Inputs!$E155*AC174</f>
        <v>0</v>
      </c>
      <c r="AD189" s="216">
        <f>Inputs!$E155*AD174</f>
        <v>0</v>
      </c>
      <c r="AE189" s="216">
        <f>Inputs!$E155*AE174</f>
        <v>0</v>
      </c>
      <c r="AF189" s="216">
        <f>Inputs!$E155*AF174</f>
        <v>0</v>
      </c>
      <c r="AG189" s="216">
        <f>Inputs!$E155*AG174</f>
        <v>0</v>
      </c>
      <c r="AH189" s="216">
        <f>Inputs!$E155*AH174</f>
        <v>0</v>
      </c>
      <c r="AI189" s="216">
        <f>Inputs!$E155*AI174</f>
        <v>0</v>
      </c>
      <c r="AJ189" s="216">
        <f>Inputs!$E155*AJ174</f>
        <v>0</v>
      </c>
      <c r="AK189" s="216">
        <f>Inputs!$E155*AK174</f>
        <v>0</v>
      </c>
      <c r="AL189" s="216">
        <f>Inputs!$E155*AL174</f>
        <v>0</v>
      </c>
      <c r="AM189" s="216">
        <f>Inputs!$E155*AM174</f>
        <v>0</v>
      </c>
      <c r="AN189" s="216">
        <f>Inputs!$E155*AN174</f>
        <v>0</v>
      </c>
      <c r="AO189" s="216">
        <f>Inputs!$E155*AO174</f>
        <v>0</v>
      </c>
      <c r="AP189" s="216">
        <f>Inputs!$E155*AP174</f>
        <v>0</v>
      </c>
      <c r="AQ189" s="216">
        <f>Inputs!$E155*AQ174</f>
        <v>0</v>
      </c>
      <c r="AR189" s="216">
        <f>Inputs!$E155*AR174</f>
        <v>0</v>
      </c>
      <c r="AS189" s="216">
        <f>Inputs!$E155*AS174</f>
        <v>0</v>
      </c>
      <c r="AT189" s="216">
        <f>Inputs!$E155*AT174</f>
        <v>0</v>
      </c>
      <c r="AU189" s="216">
        <f>Inputs!$E155*AU174</f>
        <v>0</v>
      </c>
      <c r="AV189" s="216">
        <f>Inputs!$E155*AV174</f>
        <v>0</v>
      </c>
      <c r="AW189" s="216">
        <f>Inputs!$E155*AW174</f>
        <v>0</v>
      </c>
      <c r="AX189" s="216">
        <f>Inputs!$E155*AX174</f>
        <v>0</v>
      </c>
      <c r="AY189" s="216">
        <f>Inputs!$E155*AY174</f>
        <v>0</v>
      </c>
      <c r="AZ189" s="216">
        <f>Inputs!$E155*AZ174</f>
        <v>0</v>
      </c>
      <c r="BA189" s="216">
        <f>Inputs!$E155*BA174</f>
        <v>0</v>
      </c>
      <c r="BB189" s="216">
        <f>Inputs!$E155*BB174</f>
        <v>0</v>
      </c>
      <c r="BC189" s="216">
        <f>Inputs!$E155*BC174</f>
        <v>0</v>
      </c>
      <c r="BD189" s="216">
        <f>Inputs!$E155*BD174</f>
        <v>0</v>
      </c>
    </row>
    <row r="190" spans="4:56" ht="15" customHeight="1">
      <c r="D190" s="109" t="s">
        <v>386</v>
      </c>
      <c r="E190" s="18" t="s">
        <v>408</v>
      </c>
      <c r="G190" s="216">
        <f>Inputs!$E156*G175</f>
        <v>0</v>
      </c>
      <c r="H190" s="216">
        <f>Inputs!$E156*H175</f>
        <v>0</v>
      </c>
      <c r="I190" s="216">
        <f>Inputs!$E156*I175</f>
        <v>0</v>
      </c>
      <c r="J190" s="216">
        <f>Inputs!$E156*J175</f>
        <v>0</v>
      </c>
      <c r="K190" s="216">
        <f>Inputs!$E156*K175</f>
        <v>0</v>
      </c>
      <c r="L190" s="216">
        <f>Inputs!$E156*L175</f>
        <v>0</v>
      </c>
      <c r="M190" s="216">
        <f>Inputs!$E156*M175</f>
        <v>0</v>
      </c>
      <c r="N190" s="216">
        <f>Inputs!$E156*N175</f>
        <v>0</v>
      </c>
      <c r="O190" s="216">
        <f>Inputs!$E156*O175</f>
        <v>0</v>
      </c>
      <c r="P190" s="216">
        <f>Inputs!$E156*P175</f>
        <v>0</v>
      </c>
      <c r="Q190" s="216">
        <f>Inputs!$E156*Q175</f>
        <v>0</v>
      </c>
      <c r="R190" s="216">
        <f>Inputs!$E156*R175</f>
        <v>0</v>
      </c>
      <c r="S190" s="216">
        <f>Inputs!$E156*S175</f>
        <v>0</v>
      </c>
      <c r="T190" s="216">
        <f>Inputs!$E156*T175</f>
        <v>0</v>
      </c>
      <c r="U190" s="216">
        <f>Inputs!$E156*U175</f>
        <v>0</v>
      </c>
      <c r="V190" s="216">
        <f>Inputs!$E156*V175</f>
        <v>0</v>
      </c>
      <c r="W190" s="216">
        <f>Inputs!$E156*W175</f>
        <v>0</v>
      </c>
      <c r="X190" s="216">
        <f>Inputs!$E156*X175</f>
        <v>0</v>
      </c>
      <c r="Y190" s="216">
        <f>Inputs!$E156*Y175</f>
        <v>0</v>
      </c>
      <c r="Z190" s="216">
        <f>Inputs!$E156*Z175</f>
        <v>0</v>
      </c>
      <c r="AA190" s="216">
        <f>Inputs!$E156*AA175</f>
        <v>0</v>
      </c>
      <c r="AB190" s="216">
        <f>Inputs!$E156*AB175</f>
        <v>0</v>
      </c>
      <c r="AC190" s="216">
        <f>Inputs!$E156*AC175</f>
        <v>0</v>
      </c>
      <c r="AD190" s="216">
        <f>Inputs!$E156*AD175</f>
        <v>0</v>
      </c>
      <c r="AE190" s="216">
        <f>Inputs!$E156*AE175</f>
        <v>0</v>
      </c>
      <c r="AF190" s="216">
        <f>Inputs!$E156*AF175</f>
        <v>0</v>
      </c>
      <c r="AG190" s="216">
        <f>Inputs!$E156*AG175</f>
        <v>0</v>
      </c>
      <c r="AH190" s="216">
        <f>Inputs!$E156*AH175</f>
        <v>0</v>
      </c>
      <c r="AI190" s="216">
        <f>Inputs!$E156*AI175</f>
        <v>0</v>
      </c>
      <c r="AJ190" s="216">
        <f>Inputs!$E156*AJ175</f>
        <v>0</v>
      </c>
      <c r="AK190" s="216">
        <f>Inputs!$E156*AK175</f>
        <v>0</v>
      </c>
      <c r="AL190" s="216">
        <f>Inputs!$E156*AL175</f>
        <v>0</v>
      </c>
      <c r="AM190" s="216">
        <f>Inputs!$E156*AM175</f>
        <v>0</v>
      </c>
      <c r="AN190" s="216">
        <f>Inputs!$E156*AN175</f>
        <v>0</v>
      </c>
      <c r="AO190" s="216">
        <f>Inputs!$E156*AO175</f>
        <v>0</v>
      </c>
      <c r="AP190" s="216">
        <f>Inputs!$E156*AP175</f>
        <v>0</v>
      </c>
      <c r="AQ190" s="216">
        <f>Inputs!$E156*AQ175</f>
        <v>0</v>
      </c>
      <c r="AR190" s="216">
        <f>Inputs!$E156*AR175</f>
        <v>0</v>
      </c>
      <c r="AS190" s="216">
        <f>Inputs!$E156*AS175</f>
        <v>0</v>
      </c>
      <c r="AT190" s="216">
        <f>Inputs!$E156*AT175</f>
        <v>0</v>
      </c>
      <c r="AU190" s="216">
        <f>Inputs!$E156*AU175</f>
        <v>0</v>
      </c>
      <c r="AV190" s="216">
        <f>Inputs!$E156*AV175</f>
        <v>0</v>
      </c>
      <c r="AW190" s="216">
        <f>Inputs!$E156*AW175</f>
        <v>0</v>
      </c>
      <c r="AX190" s="216">
        <f>Inputs!$E156*AX175</f>
        <v>0</v>
      </c>
      <c r="AY190" s="216">
        <f>Inputs!$E156*AY175</f>
        <v>0</v>
      </c>
      <c r="AZ190" s="216">
        <f>Inputs!$E156*AZ175</f>
        <v>0</v>
      </c>
      <c r="BA190" s="216">
        <f>Inputs!$E156*BA175</f>
        <v>0</v>
      </c>
      <c r="BB190" s="216">
        <f>Inputs!$E156*BB175</f>
        <v>0</v>
      </c>
      <c r="BC190" s="216">
        <f>Inputs!$E156*BC175</f>
        <v>0</v>
      </c>
      <c r="BD190" s="216">
        <f>Inputs!$E156*BD175</f>
        <v>0</v>
      </c>
    </row>
    <row r="191" spans="4:56" ht="15" customHeight="1">
      <c r="D191" s="109" t="s">
        <v>409</v>
      </c>
      <c r="E191" s="18" t="s">
        <v>408</v>
      </c>
      <c r="G191" s="216">
        <f>Inputs!$E157*G176</f>
        <v>0</v>
      </c>
      <c r="H191" s="216">
        <f>Inputs!$E157*H176</f>
        <v>0</v>
      </c>
      <c r="I191" s="216">
        <f>Inputs!$E157*I176</f>
        <v>0</v>
      </c>
      <c r="J191" s="216">
        <f>Inputs!$E157*J176</f>
        <v>0</v>
      </c>
      <c r="K191" s="216">
        <f>Inputs!$E157*K176</f>
        <v>0</v>
      </c>
      <c r="L191" s="216">
        <f>Inputs!$E157*L176</f>
        <v>0</v>
      </c>
      <c r="M191" s="216">
        <f>Inputs!$E157*M176</f>
        <v>0</v>
      </c>
      <c r="N191" s="216">
        <f>Inputs!$E157*N176</f>
        <v>0</v>
      </c>
      <c r="O191" s="216">
        <f>Inputs!$E157*O176</f>
        <v>0</v>
      </c>
      <c r="P191" s="216">
        <f>Inputs!$E157*P176</f>
        <v>0</v>
      </c>
      <c r="Q191" s="216">
        <f>Inputs!$E157*Q176</f>
        <v>0</v>
      </c>
      <c r="R191" s="216">
        <f>Inputs!$E157*R176</f>
        <v>0</v>
      </c>
      <c r="S191" s="216">
        <f>Inputs!$E157*S176</f>
        <v>0</v>
      </c>
      <c r="T191" s="216">
        <f>Inputs!$E157*T176</f>
        <v>0</v>
      </c>
      <c r="U191" s="216">
        <f>Inputs!$E157*U176</f>
        <v>0</v>
      </c>
      <c r="V191" s="216">
        <f>Inputs!$E157*V176</f>
        <v>0</v>
      </c>
      <c r="W191" s="216">
        <f>Inputs!$E157*W176</f>
        <v>0</v>
      </c>
      <c r="X191" s="216">
        <f>Inputs!$E157*X176</f>
        <v>0</v>
      </c>
      <c r="Y191" s="216">
        <f>Inputs!$E157*Y176</f>
        <v>0</v>
      </c>
      <c r="Z191" s="216">
        <f>Inputs!$E157*Z176</f>
        <v>0</v>
      </c>
      <c r="AA191" s="216">
        <f>Inputs!$E157*AA176</f>
        <v>0</v>
      </c>
      <c r="AB191" s="216">
        <f>Inputs!$E157*AB176</f>
        <v>0</v>
      </c>
      <c r="AC191" s="216">
        <f>Inputs!$E157*AC176</f>
        <v>0</v>
      </c>
      <c r="AD191" s="216">
        <f>Inputs!$E157*AD176</f>
        <v>0</v>
      </c>
      <c r="AE191" s="216">
        <f>Inputs!$E157*AE176</f>
        <v>0</v>
      </c>
      <c r="AF191" s="216">
        <f>Inputs!$E157*AF176</f>
        <v>0</v>
      </c>
      <c r="AG191" s="216">
        <f>Inputs!$E157*AG176</f>
        <v>0</v>
      </c>
      <c r="AH191" s="216">
        <f>Inputs!$E157*AH176</f>
        <v>0</v>
      </c>
      <c r="AI191" s="216">
        <f>Inputs!$E157*AI176</f>
        <v>0</v>
      </c>
      <c r="AJ191" s="216">
        <f>Inputs!$E157*AJ176</f>
        <v>0</v>
      </c>
      <c r="AK191" s="216">
        <f>Inputs!$E157*AK176</f>
        <v>0</v>
      </c>
      <c r="AL191" s="216">
        <f>Inputs!$E157*AL176</f>
        <v>0</v>
      </c>
      <c r="AM191" s="216">
        <f>Inputs!$E157*AM176</f>
        <v>0</v>
      </c>
      <c r="AN191" s="216">
        <f>Inputs!$E157*AN176</f>
        <v>0</v>
      </c>
      <c r="AO191" s="216">
        <f>Inputs!$E157*AO176</f>
        <v>0</v>
      </c>
      <c r="AP191" s="216">
        <f>Inputs!$E157*AP176</f>
        <v>0</v>
      </c>
      <c r="AQ191" s="216">
        <f>Inputs!$E157*AQ176</f>
        <v>0</v>
      </c>
      <c r="AR191" s="216">
        <f>Inputs!$E157*AR176</f>
        <v>0</v>
      </c>
      <c r="AS191" s="216">
        <f>Inputs!$E157*AS176</f>
        <v>0</v>
      </c>
      <c r="AT191" s="216">
        <f>Inputs!$E157*AT176</f>
        <v>0</v>
      </c>
      <c r="AU191" s="216">
        <f>Inputs!$E157*AU176</f>
        <v>0</v>
      </c>
      <c r="AV191" s="216">
        <f>Inputs!$E157*AV176</f>
        <v>0</v>
      </c>
      <c r="AW191" s="216">
        <f>Inputs!$E157*AW176</f>
        <v>0</v>
      </c>
      <c r="AX191" s="216">
        <f>Inputs!$E157*AX176</f>
        <v>0</v>
      </c>
      <c r="AY191" s="216">
        <f>Inputs!$E157*AY176</f>
        <v>0</v>
      </c>
      <c r="AZ191" s="216">
        <f>Inputs!$E157*AZ176</f>
        <v>0</v>
      </c>
      <c r="BA191" s="216">
        <f>Inputs!$E157*BA176</f>
        <v>0</v>
      </c>
      <c r="BB191" s="216">
        <f>Inputs!$E157*BB176</f>
        <v>0</v>
      </c>
      <c r="BC191" s="216">
        <f>Inputs!$E157*BC176</f>
        <v>0</v>
      </c>
      <c r="BD191" s="216">
        <f>Inputs!$E157*BD176</f>
        <v>0</v>
      </c>
    </row>
    <row r="192" spans="4:56" ht="15" customHeight="1">
      <c r="D192" s="109" t="s">
        <v>410</v>
      </c>
      <c r="E192" s="18" t="s">
        <v>408</v>
      </c>
      <c r="G192" s="216">
        <f>Inputs!$E158*G177</f>
        <v>0</v>
      </c>
      <c r="H192" s="216">
        <f>Inputs!$E158*H177</f>
        <v>0</v>
      </c>
      <c r="I192" s="216">
        <f>Inputs!$E158*I177</f>
        <v>0</v>
      </c>
      <c r="J192" s="216">
        <f>Inputs!$E158*J177</f>
        <v>0</v>
      </c>
      <c r="K192" s="216">
        <f>Inputs!$E158*K177</f>
        <v>0</v>
      </c>
      <c r="L192" s="216">
        <f>Inputs!$E158*L177</f>
        <v>0</v>
      </c>
      <c r="M192" s="216">
        <f>Inputs!$E158*M177</f>
        <v>0</v>
      </c>
      <c r="N192" s="216">
        <f>Inputs!$E158*N177</f>
        <v>0</v>
      </c>
      <c r="O192" s="216">
        <f>Inputs!$E158*O177</f>
        <v>0</v>
      </c>
      <c r="P192" s="216">
        <f>Inputs!$E158*P177</f>
        <v>0</v>
      </c>
      <c r="Q192" s="216">
        <f>Inputs!$E158*Q177</f>
        <v>0</v>
      </c>
      <c r="R192" s="216">
        <f>Inputs!$E158*R177</f>
        <v>0</v>
      </c>
      <c r="S192" s="216">
        <f>Inputs!$E158*S177</f>
        <v>0</v>
      </c>
      <c r="T192" s="216">
        <f>Inputs!$E158*T177</f>
        <v>0</v>
      </c>
      <c r="U192" s="216">
        <f>Inputs!$E158*U177</f>
        <v>0</v>
      </c>
      <c r="V192" s="216">
        <f>Inputs!$E158*V177</f>
        <v>0</v>
      </c>
      <c r="W192" s="216">
        <f>Inputs!$E158*W177</f>
        <v>0</v>
      </c>
      <c r="X192" s="216">
        <f>Inputs!$E158*X177</f>
        <v>0</v>
      </c>
      <c r="Y192" s="216">
        <f>Inputs!$E158*Y177</f>
        <v>0</v>
      </c>
      <c r="Z192" s="216">
        <f>Inputs!$E158*Z177</f>
        <v>0</v>
      </c>
      <c r="AA192" s="216">
        <f>Inputs!$E158*AA177</f>
        <v>0</v>
      </c>
      <c r="AB192" s="216">
        <f>Inputs!$E158*AB177</f>
        <v>0</v>
      </c>
      <c r="AC192" s="216">
        <f>Inputs!$E158*AC177</f>
        <v>0</v>
      </c>
      <c r="AD192" s="216">
        <f>Inputs!$E158*AD177</f>
        <v>0</v>
      </c>
      <c r="AE192" s="216">
        <f>Inputs!$E158*AE177</f>
        <v>0</v>
      </c>
      <c r="AF192" s="216">
        <f>Inputs!$E158*AF177</f>
        <v>0</v>
      </c>
      <c r="AG192" s="216">
        <f>Inputs!$E158*AG177</f>
        <v>0</v>
      </c>
      <c r="AH192" s="216">
        <f>Inputs!$E158*AH177</f>
        <v>0</v>
      </c>
      <c r="AI192" s="216">
        <f>Inputs!$E158*AI177</f>
        <v>0</v>
      </c>
      <c r="AJ192" s="216">
        <f>Inputs!$E158*AJ177</f>
        <v>0</v>
      </c>
      <c r="AK192" s="216">
        <f>Inputs!$E158*AK177</f>
        <v>0</v>
      </c>
      <c r="AL192" s="216">
        <f>Inputs!$E158*AL177</f>
        <v>0</v>
      </c>
      <c r="AM192" s="216">
        <f>Inputs!$E158*AM177</f>
        <v>0</v>
      </c>
      <c r="AN192" s="216">
        <f>Inputs!$E158*AN177</f>
        <v>0</v>
      </c>
      <c r="AO192" s="216">
        <f>Inputs!$E158*AO177</f>
        <v>0</v>
      </c>
      <c r="AP192" s="216">
        <f>Inputs!$E158*AP177</f>
        <v>0</v>
      </c>
      <c r="AQ192" s="216">
        <f>Inputs!$E158*AQ177</f>
        <v>0</v>
      </c>
      <c r="AR192" s="216">
        <f>Inputs!$E158*AR177</f>
        <v>0</v>
      </c>
      <c r="AS192" s="216">
        <f>Inputs!$E158*AS177</f>
        <v>0</v>
      </c>
      <c r="AT192" s="216">
        <f>Inputs!$E158*AT177</f>
        <v>0</v>
      </c>
      <c r="AU192" s="216">
        <f>Inputs!$E158*AU177</f>
        <v>0</v>
      </c>
      <c r="AV192" s="216">
        <f>Inputs!$E158*AV177</f>
        <v>0</v>
      </c>
      <c r="AW192" s="216">
        <f>Inputs!$E158*AW177</f>
        <v>0</v>
      </c>
      <c r="AX192" s="216">
        <f>Inputs!$E158*AX177</f>
        <v>0</v>
      </c>
      <c r="AY192" s="216">
        <f>Inputs!$E158*AY177</f>
        <v>0</v>
      </c>
      <c r="AZ192" s="216">
        <f>Inputs!$E158*AZ177</f>
        <v>0</v>
      </c>
      <c r="BA192" s="216">
        <f>Inputs!$E158*BA177</f>
        <v>0</v>
      </c>
      <c r="BB192" s="216">
        <f>Inputs!$E158*BB177</f>
        <v>0</v>
      </c>
      <c r="BC192" s="216">
        <f>Inputs!$E158*BC177</f>
        <v>0</v>
      </c>
      <c r="BD192" s="216">
        <f>Inputs!$E158*BD177</f>
        <v>0</v>
      </c>
    </row>
    <row r="193" spans="3:56" ht="15" customHeight="1">
      <c r="D193" s="109" t="s">
        <v>411</v>
      </c>
      <c r="E193" s="18" t="s">
        <v>408</v>
      </c>
      <c r="G193" s="216">
        <f>Inputs!$E159*G178</f>
        <v>0</v>
      </c>
      <c r="H193" s="216">
        <f>Inputs!$E159*H178</f>
        <v>0</v>
      </c>
      <c r="I193" s="216">
        <f>Inputs!$E159*I178</f>
        <v>0</v>
      </c>
      <c r="J193" s="216">
        <f>Inputs!$E159*J178</f>
        <v>0</v>
      </c>
      <c r="K193" s="216">
        <f>Inputs!$E159*K178</f>
        <v>0</v>
      </c>
      <c r="L193" s="216">
        <f>Inputs!$E159*L178</f>
        <v>0</v>
      </c>
      <c r="M193" s="216">
        <f>Inputs!$E159*M178</f>
        <v>0</v>
      </c>
      <c r="N193" s="216">
        <f>Inputs!$E159*N178</f>
        <v>0</v>
      </c>
      <c r="O193" s="216">
        <f>Inputs!$E159*O178</f>
        <v>0</v>
      </c>
      <c r="P193" s="216">
        <f>Inputs!$E159*P178</f>
        <v>0</v>
      </c>
      <c r="Q193" s="216">
        <f>Inputs!$E159*Q178</f>
        <v>0</v>
      </c>
      <c r="R193" s="216">
        <f>Inputs!$E159*R178</f>
        <v>0</v>
      </c>
      <c r="S193" s="216">
        <f>Inputs!$E159*S178</f>
        <v>0</v>
      </c>
      <c r="T193" s="216">
        <f>Inputs!$E159*T178</f>
        <v>0</v>
      </c>
      <c r="U193" s="216">
        <f>Inputs!$E159*U178</f>
        <v>0</v>
      </c>
      <c r="V193" s="216">
        <f>Inputs!$E159*V178</f>
        <v>0</v>
      </c>
      <c r="W193" s="216">
        <f>Inputs!$E159*W178</f>
        <v>0</v>
      </c>
      <c r="X193" s="216">
        <f>Inputs!$E159*X178</f>
        <v>0</v>
      </c>
      <c r="Y193" s="216">
        <f>Inputs!$E159*Y178</f>
        <v>0</v>
      </c>
      <c r="Z193" s="216">
        <f>Inputs!$E159*Z178</f>
        <v>0</v>
      </c>
      <c r="AA193" s="216">
        <f>Inputs!$E159*AA178</f>
        <v>0</v>
      </c>
      <c r="AB193" s="216">
        <f>Inputs!$E159*AB178</f>
        <v>0</v>
      </c>
      <c r="AC193" s="216">
        <f>Inputs!$E159*AC178</f>
        <v>0</v>
      </c>
      <c r="AD193" s="216">
        <f>Inputs!$E159*AD178</f>
        <v>0</v>
      </c>
      <c r="AE193" s="216">
        <f>Inputs!$E159*AE178</f>
        <v>0</v>
      </c>
      <c r="AF193" s="216">
        <f>Inputs!$E159*AF178</f>
        <v>0</v>
      </c>
      <c r="AG193" s="216">
        <f>Inputs!$E159*AG178</f>
        <v>0</v>
      </c>
      <c r="AH193" s="216">
        <f>Inputs!$E159*AH178</f>
        <v>0</v>
      </c>
      <c r="AI193" s="216">
        <f>Inputs!$E159*AI178</f>
        <v>0</v>
      </c>
      <c r="AJ193" s="216">
        <f>Inputs!$E159*AJ178</f>
        <v>0</v>
      </c>
      <c r="AK193" s="216">
        <f>Inputs!$E159*AK178</f>
        <v>0</v>
      </c>
      <c r="AL193" s="216">
        <f>Inputs!$E159*AL178</f>
        <v>0</v>
      </c>
      <c r="AM193" s="216">
        <f>Inputs!$E159*AM178</f>
        <v>0</v>
      </c>
      <c r="AN193" s="216">
        <f>Inputs!$E159*AN178</f>
        <v>0</v>
      </c>
      <c r="AO193" s="216">
        <f>Inputs!$E159*AO178</f>
        <v>0</v>
      </c>
      <c r="AP193" s="216">
        <f>Inputs!$E159*AP178</f>
        <v>0</v>
      </c>
      <c r="AQ193" s="216">
        <f>Inputs!$E159*AQ178</f>
        <v>0</v>
      </c>
      <c r="AR193" s="216">
        <f>Inputs!$E159*AR178</f>
        <v>0</v>
      </c>
      <c r="AS193" s="216">
        <f>Inputs!$E159*AS178</f>
        <v>0</v>
      </c>
      <c r="AT193" s="216">
        <f>Inputs!$E159*AT178</f>
        <v>0</v>
      </c>
      <c r="AU193" s="216">
        <f>Inputs!$E159*AU178</f>
        <v>0</v>
      </c>
      <c r="AV193" s="216">
        <f>Inputs!$E159*AV178</f>
        <v>0</v>
      </c>
      <c r="AW193" s="216">
        <f>Inputs!$E159*AW178</f>
        <v>0</v>
      </c>
      <c r="AX193" s="216">
        <f>Inputs!$E159*AX178</f>
        <v>0</v>
      </c>
      <c r="AY193" s="216">
        <f>Inputs!$E159*AY178</f>
        <v>0</v>
      </c>
      <c r="AZ193" s="216">
        <f>Inputs!$E159*AZ178</f>
        <v>0</v>
      </c>
      <c r="BA193" s="216">
        <f>Inputs!$E159*BA178</f>
        <v>0</v>
      </c>
      <c r="BB193" s="216">
        <f>Inputs!$E159*BB178</f>
        <v>0</v>
      </c>
      <c r="BC193" s="216">
        <f>Inputs!$E159*BC178</f>
        <v>0</v>
      </c>
      <c r="BD193" s="216">
        <f>Inputs!$E159*BD178</f>
        <v>0</v>
      </c>
    </row>
    <row r="194" spans="3:56" ht="15" customHeight="1">
      <c r="D194" s="109" t="s">
        <v>412</v>
      </c>
      <c r="E194" s="18" t="s">
        <v>408</v>
      </c>
      <c r="G194" s="216">
        <f>Inputs!$E160*G179</f>
        <v>0</v>
      </c>
      <c r="H194" s="216">
        <f>Inputs!$E160*H179</f>
        <v>0</v>
      </c>
      <c r="I194" s="216">
        <f>Inputs!$E160*I179</f>
        <v>0</v>
      </c>
      <c r="J194" s="216">
        <f>Inputs!$E160*J179</f>
        <v>0</v>
      </c>
      <c r="K194" s="216">
        <f>Inputs!$E160*K179</f>
        <v>0</v>
      </c>
      <c r="L194" s="216">
        <f>Inputs!$E160*L179</f>
        <v>0</v>
      </c>
      <c r="M194" s="216">
        <f>Inputs!$E160*M179</f>
        <v>0</v>
      </c>
      <c r="N194" s="216">
        <f>Inputs!$E160*N179</f>
        <v>0</v>
      </c>
      <c r="O194" s="216">
        <f>Inputs!$E160*O179</f>
        <v>0</v>
      </c>
      <c r="P194" s="216">
        <f>Inputs!$E160*P179</f>
        <v>0</v>
      </c>
      <c r="Q194" s="216">
        <f>Inputs!$E160*Q179</f>
        <v>0</v>
      </c>
      <c r="R194" s="216">
        <f>Inputs!$E160*R179</f>
        <v>0</v>
      </c>
      <c r="S194" s="216">
        <f>Inputs!$E160*S179</f>
        <v>0</v>
      </c>
      <c r="T194" s="216">
        <f>Inputs!$E160*T179</f>
        <v>0</v>
      </c>
      <c r="U194" s="216">
        <f>Inputs!$E160*U179</f>
        <v>0</v>
      </c>
      <c r="V194" s="216">
        <f>Inputs!$E160*V179</f>
        <v>0</v>
      </c>
      <c r="W194" s="216">
        <f>Inputs!$E160*W179</f>
        <v>0</v>
      </c>
      <c r="X194" s="216">
        <f>Inputs!$E160*X179</f>
        <v>0</v>
      </c>
      <c r="Y194" s="216">
        <f>Inputs!$E160*Y179</f>
        <v>0</v>
      </c>
      <c r="Z194" s="216">
        <f>Inputs!$E160*Z179</f>
        <v>0</v>
      </c>
      <c r="AA194" s="216">
        <f>Inputs!$E160*AA179</f>
        <v>0</v>
      </c>
      <c r="AB194" s="216">
        <f>Inputs!$E160*AB179</f>
        <v>0</v>
      </c>
      <c r="AC194" s="216">
        <f>Inputs!$E160*AC179</f>
        <v>0</v>
      </c>
      <c r="AD194" s="216">
        <f>Inputs!$E160*AD179</f>
        <v>0</v>
      </c>
      <c r="AE194" s="216">
        <f>Inputs!$E160*AE179</f>
        <v>0</v>
      </c>
      <c r="AF194" s="216">
        <f>Inputs!$E160*AF179</f>
        <v>0</v>
      </c>
      <c r="AG194" s="216">
        <f>Inputs!$E160*AG179</f>
        <v>0</v>
      </c>
      <c r="AH194" s="216">
        <f>Inputs!$E160*AH179</f>
        <v>0</v>
      </c>
      <c r="AI194" s="216">
        <f>Inputs!$E160*AI179</f>
        <v>0</v>
      </c>
      <c r="AJ194" s="216">
        <f>Inputs!$E160*AJ179</f>
        <v>0</v>
      </c>
      <c r="AK194" s="216">
        <f>Inputs!$E160*AK179</f>
        <v>0</v>
      </c>
      <c r="AL194" s="216">
        <f>Inputs!$E160*AL179</f>
        <v>0</v>
      </c>
      <c r="AM194" s="216">
        <f>Inputs!$E160*AM179</f>
        <v>0</v>
      </c>
      <c r="AN194" s="216">
        <f>Inputs!$E160*AN179</f>
        <v>0</v>
      </c>
      <c r="AO194" s="216">
        <f>Inputs!$E160*AO179</f>
        <v>0</v>
      </c>
      <c r="AP194" s="216">
        <f>Inputs!$E160*AP179</f>
        <v>0</v>
      </c>
      <c r="AQ194" s="216">
        <f>Inputs!$E160*AQ179</f>
        <v>0</v>
      </c>
      <c r="AR194" s="216">
        <f>Inputs!$E160*AR179</f>
        <v>0</v>
      </c>
      <c r="AS194" s="216">
        <f>Inputs!$E160*AS179</f>
        <v>0</v>
      </c>
      <c r="AT194" s="216">
        <f>Inputs!$E160*AT179</f>
        <v>0</v>
      </c>
      <c r="AU194" s="216">
        <f>Inputs!$E160*AU179</f>
        <v>0</v>
      </c>
      <c r="AV194" s="216">
        <f>Inputs!$E160*AV179</f>
        <v>0</v>
      </c>
      <c r="AW194" s="216">
        <f>Inputs!$E160*AW179</f>
        <v>0</v>
      </c>
      <c r="AX194" s="216">
        <f>Inputs!$E160*AX179</f>
        <v>0</v>
      </c>
      <c r="AY194" s="216">
        <f>Inputs!$E160*AY179</f>
        <v>0</v>
      </c>
      <c r="AZ194" s="216">
        <f>Inputs!$E160*AZ179</f>
        <v>0</v>
      </c>
      <c r="BA194" s="216">
        <f>Inputs!$E160*BA179</f>
        <v>0</v>
      </c>
      <c r="BB194" s="216">
        <f>Inputs!$E160*BB179</f>
        <v>0</v>
      </c>
      <c r="BC194" s="216">
        <f>Inputs!$E160*BC179</f>
        <v>0</v>
      </c>
      <c r="BD194" s="216">
        <f>Inputs!$E160*BD179</f>
        <v>0</v>
      </c>
    </row>
    <row r="195" spans="3:56" ht="15" customHeight="1">
      <c r="D195" s="109"/>
      <c r="E195" s="18"/>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c r="AO195" s="133"/>
      <c r="AP195" s="133"/>
      <c r="AQ195" s="133"/>
      <c r="AR195" s="133"/>
      <c r="AS195" s="133"/>
      <c r="AT195" s="133"/>
      <c r="AU195" s="133"/>
      <c r="AV195" s="133"/>
      <c r="AW195" s="133"/>
      <c r="AX195" s="133"/>
      <c r="AY195" s="133"/>
      <c r="AZ195" s="133"/>
      <c r="BA195" s="133"/>
      <c r="BB195" s="133"/>
      <c r="BC195" s="133"/>
      <c r="BD195" s="133"/>
    </row>
    <row r="196" spans="3:56" ht="15" customHeight="1">
      <c r="C196" s="21">
        <f>SUM(G196:BD196)</f>
        <v>0</v>
      </c>
      <c r="D196" s="109" t="s">
        <v>387</v>
      </c>
      <c r="E196" s="18" t="s">
        <v>333</v>
      </c>
      <c r="G196" s="146">
        <f t="shared" ref="G196:AL196" si="92">SUM(G181:G194)*(G12/1000000)</f>
        <v>0</v>
      </c>
      <c r="H196" s="146">
        <f t="shared" si="92"/>
        <v>0</v>
      </c>
      <c r="I196" s="146">
        <f t="shared" si="92"/>
        <v>0</v>
      </c>
      <c r="J196" s="146">
        <f t="shared" si="92"/>
        <v>0</v>
      </c>
      <c r="K196" s="146">
        <f t="shared" si="92"/>
        <v>0</v>
      </c>
      <c r="L196" s="146">
        <f t="shared" si="92"/>
        <v>0</v>
      </c>
      <c r="M196" s="146">
        <f t="shared" si="92"/>
        <v>0</v>
      </c>
      <c r="N196" s="146">
        <f t="shared" si="92"/>
        <v>0</v>
      </c>
      <c r="O196" s="146">
        <f t="shared" si="92"/>
        <v>0</v>
      </c>
      <c r="P196" s="146">
        <f t="shared" si="92"/>
        <v>0</v>
      </c>
      <c r="Q196" s="146">
        <f t="shared" si="92"/>
        <v>0</v>
      </c>
      <c r="R196" s="146">
        <f t="shared" si="92"/>
        <v>0</v>
      </c>
      <c r="S196" s="146">
        <f t="shared" si="92"/>
        <v>0</v>
      </c>
      <c r="T196" s="146">
        <f t="shared" si="92"/>
        <v>0</v>
      </c>
      <c r="U196" s="146">
        <f t="shared" si="92"/>
        <v>0</v>
      </c>
      <c r="V196" s="146">
        <f t="shared" si="92"/>
        <v>0</v>
      </c>
      <c r="W196" s="146">
        <f t="shared" si="92"/>
        <v>0</v>
      </c>
      <c r="X196" s="146">
        <f t="shared" si="92"/>
        <v>0</v>
      </c>
      <c r="Y196" s="146">
        <f t="shared" si="92"/>
        <v>0</v>
      </c>
      <c r="Z196" s="146">
        <f t="shared" si="92"/>
        <v>0</v>
      </c>
      <c r="AA196" s="146">
        <f t="shared" si="92"/>
        <v>0</v>
      </c>
      <c r="AB196" s="146">
        <f t="shared" si="92"/>
        <v>0</v>
      </c>
      <c r="AC196" s="146">
        <f t="shared" si="92"/>
        <v>0</v>
      </c>
      <c r="AD196" s="146">
        <f t="shared" si="92"/>
        <v>0</v>
      </c>
      <c r="AE196" s="146">
        <f t="shared" si="92"/>
        <v>0</v>
      </c>
      <c r="AF196" s="146">
        <f t="shared" si="92"/>
        <v>0</v>
      </c>
      <c r="AG196" s="146">
        <f t="shared" si="92"/>
        <v>0</v>
      </c>
      <c r="AH196" s="146">
        <f t="shared" si="92"/>
        <v>0</v>
      </c>
      <c r="AI196" s="146">
        <f t="shared" si="92"/>
        <v>0</v>
      </c>
      <c r="AJ196" s="146">
        <f t="shared" si="92"/>
        <v>0</v>
      </c>
      <c r="AK196" s="146">
        <f t="shared" si="92"/>
        <v>0</v>
      </c>
      <c r="AL196" s="146">
        <f t="shared" si="92"/>
        <v>0</v>
      </c>
      <c r="AM196" s="146">
        <f t="shared" ref="AM196:BD196" si="93">SUM(AM181:AM194)*(AM12/1000000)</f>
        <v>0</v>
      </c>
      <c r="AN196" s="146">
        <f t="shared" si="93"/>
        <v>0</v>
      </c>
      <c r="AO196" s="146">
        <f t="shared" si="93"/>
        <v>0</v>
      </c>
      <c r="AP196" s="146">
        <f t="shared" si="93"/>
        <v>0</v>
      </c>
      <c r="AQ196" s="146">
        <f t="shared" si="93"/>
        <v>0</v>
      </c>
      <c r="AR196" s="146">
        <f t="shared" si="93"/>
        <v>0</v>
      </c>
      <c r="AS196" s="146">
        <f t="shared" si="93"/>
        <v>0</v>
      </c>
      <c r="AT196" s="146">
        <f t="shared" si="93"/>
        <v>0</v>
      </c>
      <c r="AU196" s="146">
        <f t="shared" si="93"/>
        <v>0</v>
      </c>
      <c r="AV196" s="146">
        <f t="shared" si="93"/>
        <v>0</v>
      </c>
      <c r="AW196" s="146">
        <f t="shared" si="93"/>
        <v>0</v>
      </c>
      <c r="AX196" s="146">
        <f t="shared" si="93"/>
        <v>0</v>
      </c>
      <c r="AY196" s="146">
        <f t="shared" si="93"/>
        <v>0</v>
      </c>
      <c r="AZ196" s="146">
        <f t="shared" si="93"/>
        <v>0</v>
      </c>
      <c r="BA196" s="146">
        <f t="shared" si="93"/>
        <v>0</v>
      </c>
      <c r="BB196" s="146">
        <f t="shared" si="93"/>
        <v>0</v>
      </c>
      <c r="BC196" s="146">
        <f t="shared" si="93"/>
        <v>0</v>
      </c>
      <c r="BD196" s="146">
        <f t="shared" si="93"/>
        <v>0</v>
      </c>
    </row>
    <row r="197" spans="3:56" ht="15" customHeight="1">
      <c r="D197" s="109"/>
      <c r="E197" s="18"/>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row>
    <row r="198" spans="3:56" ht="15" customHeight="1">
      <c r="C198" s="21">
        <f>SUM(G198:BD198)</f>
        <v>0</v>
      </c>
      <c r="D198" s="11" t="s">
        <v>413</v>
      </c>
      <c r="E198" s="18" t="s">
        <v>333</v>
      </c>
      <c r="G198" s="146">
        <f>CHOOSE(Inputs!$E$33,G160,G196)</f>
        <v>0</v>
      </c>
      <c r="H198" s="146">
        <f>CHOOSE(Inputs!$E$33,Model!H160,H196)</f>
        <v>0</v>
      </c>
      <c r="I198" s="146">
        <f>CHOOSE(Inputs!$E$33,Model!I160,I196)</f>
        <v>0</v>
      </c>
      <c r="J198" s="146">
        <f>CHOOSE(Inputs!$E$33,Model!J160,J196)</f>
        <v>0</v>
      </c>
      <c r="K198" s="146">
        <f>CHOOSE(Inputs!$E$33,Model!K160,K196)</f>
        <v>0</v>
      </c>
      <c r="L198" s="146">
        <f>CHOOSE(Inputs!$E$33,Model!L160,L196)</f>
        <v>0</v>
      </c>
      <c r="M198" s="146">
        <f>CHOOSE(Inputs!$E$33,Model!M160,M196)</f>
        <v>0</v>
      </c>
      <c r="N198" s="146">
        <f>CHOOSE(Inputs!$E$33,Model!N160,N196)</f>
        <v>0</v>
      </c>
      <c r="O198" s="146">
        <f>CHOOSE(Inputs!$E$33,Model!O160,O196)</f>
        <v>0</v>
      </c>
      <c r="P198" s="146">
        <f>CHOOSE(Inputs!$E$33,Model!P160,P196)</f>
        <v>0</v>
      </c>
      <c r="Q198" s="146">
        <f>CHOOSE(Inputs!$E$33,Model!Q160,Q196)</f>
        <v>0</v>
      </c>
      <c r="R198" s="146">
        <f>CHOOSE(Inputs!$E$33,Model!R160,R196)</f>
        <v>0</v>
      </c>
      <c r="S198" s="146">
        <f>CHOOSE(Inputs!$E$33,Model!S160,S196)</f>
        <v>0</v>
      </c>
      <c r="T198" s="146">
        <f>CHOOSE(Inputs!$E$33,Model!T160,T196)</f>
        <v>0</v>
      </c>
      <c r="U198" s="146">
        <f>CHOOSE(Inputs!$E$33,Model!U160,U196)</f>
        <v>0</v>
      </c>
      <c r="V198" s="146">
        <f>CHOOSE(Inputs!$E$33,Model!V160,V196)</f>
        <v>0</v>
      </c>
      <c r="W198" s="146">
        <f>CHOOSE(Inputs!$E$33,Model!W160,W196)</f>
        <v>0</v>
      </c>
      <c r="X198" s="146">
        <f>CHOOSE(Inputs!$E$33,Model!X160,X196)</f>
        <v>0</v>
      </c>
      <c r="Y198" s="146">
        <f>CHOOSE(Inputs!$E$33,Model!Y160,Y196)</f>
        <v>0</v>
      </c>
      <c r="Z198" s="146">
        <f>CHOOSE(Inputs!$E$33,Model!Z160,Z196)</f>
        <v>0</v>
      </c>
      <c r="AA198" s="146">
        <f>CHOOSE(Inputs!$E$33,Model!AA160,AA196)</f>
        <v>0</v>
      </c>
      <c r="AB198" s="146">
        <f>CHOOSE(Inputs!$E$33,Model!AB160,AB196)</f>
        <v>0</v>
      </c>
      <c r="AC198" s="146">
        <f>CHOOSE(Inputs!$E$33,Model!AC160,AC196)</f>
        <v>0</v>
      </c>
      <c r="AD198" s="146">
        <f>CHOOSE(Inputs!$E$33,Model!AD160,AD196)</f>
        <v>0</v>
      </c>
      <c r="AE198" s="146">
        <f>CHOOSE(Inputs!$E$33,Model!AE160,AE196)</f>
        <v>0</v>
      </c>
      <c r="AF198" s="146">
        <f>CHOOSE(Inputs!$E$33,Model!AF160,AF196)</f>
        <v>0</v>
      </c>
      <c r="AG198" s="146">
        <f>CHOOSE(Inputs!$E$33,Model!AG160,AG196)</f>
        <v>0</v>
      </c>
      <c r="AH198" s="146">
        <f>CHOOSE(Inputs!$E$33,Model!AH160,AH196)</f>
        <v>0</v>
      </c>
      <c r="AI198" s="146">
        <f>CHOOSE(Inputs!$E$33,Model!AI160,AI196)</f>
        <v>0</v>
      </c>
      <c r="AJ198" s="146">
        <f>CHOOSE(Inputs!$E$33,Model!AJ160,AJ196)</f>
        <v>0</v>
      </c>
      <c r="AK198" s="146">
        <f>CHOOSE(Inputs!$E$33,Model!AK160,AK196)</f>
        <v>0</v>
      </c>
      <c r="AL198" s="146">
        <f>CHOOSE(Inputs!$E$33,Model!AL160,AL196)</f>
        <v>0</v>
      </c>
      <c r="AM198" s="146">
        <f>CHOOSE(Inputs!$E$33,Model!AM160,AM196)</f>
        <v>0</v>
      </c>
      <c r="AN198" s="146">
        <f>CHOOSE(Inputs!$E$33,Model!AN160,AN196)</f>
        <v>0</v>
      </c>
      <c r="AO198" s="146">
        <f>CHOOSE(Inputs!$E$33,Model!AO160,AO196)</f>
        <v>0</v>
      </c>
      <c r="AP198" s="146">
        <f>CHOOSE(Inputs!$E$33,Model!AP160,AP196)</f>
        <v>0</v>
      </c>
      <c r="AQ198" s="146">
        <f>CHOOSE(Inputs!$E$33,Model!AQ160,AQ196)</f>
        <v>0</v>
      </c>
      <c r="AR198" s="146">
        <f>CHOOSE(Inputs!$E$33,Model!AR160,AR196)</f>
        <v>0</v>
      </c>
      <c r="AS198" s="146">
        <f>CHOOSE(Inputs!$E$33,Model!AS160,AS196)</f>
        <v>0</v>
      </c>
      <c r="AT198" s="146">
        <f>CHOOSE(Inputs!$E$33,Model!AT160,AT196)</f>
        <v>0</v>
      </c>
      <c r="AU198" s="146">
        <f>CHOOSE(Inputs!$E$33,Model!AU160,AU196)</f>
        <v>0</v>
      </c>
      <c r="AV198" s="146">
        <f>CHOOSE(Inputs!$E$33,Model!AV160,AV196)</f>
        <v>0</v>
      </c>
      <c r="AW198" s="146">
        <f>CHOOSE(Inputs!$E$33,Model!AW160,AW196)</f>
        <v>0</v>
      </c>
      <c r="AX198" s="146">
        <f>CHOOSE(Inputs!$E$33,Model!AX160,AX196)</f>
        <v>0</v>
      </c>
      <c r="AY198" s="146">
        <f>CHOOSE(Inputs!$E$33,Model!AY160,AY196)</f>
        <v>0</v>
      </c>
      <c r="AZ198" s="146">
        <f>CHOOSE(Inputs!$E$33,Model!AZ160,AZ196)</f>
        <v>0</v>
      </c>
      <c r="BA198" s="146">
        <f>CHOOSE(Inputs!$E$33,Model!BA160,BA196)</f>
        <v>0</v>
      </c>
      <c r="BB198" s="146">
        <f>CHOOSE(Inputs!$E$33,Model!BB160,BB196)</f>
        <v>0</v>
      </c>
      <c r="BC198" s="146">
        <f>CHOOSE(Inputs!$E$33,Model!BC160,BC196)</f>
        <v>0</v>
      </c>
      <c r="BD198" s="146">
        <f>CHOOSE(Inputs!$E$33,Model!BD160,BD196)</f>
        <v>0</v>
      </c>
    </row>
    <row r="199" spans="3:56" ht="15" customHeight="1">
      <c r="C199" s="21"/>
      <c r="D199" s="9"/>
      <c r="E199" s="18"/>
      <c r="G199" s="146"/>
      <c r="H199" s="146"/>
      <c r="I199" s="145"/>
      <c r="J199" s="21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row>
    <row r="200" spans="3:56" ht="15" customHeight="1">
      <c r="D200" s="9" t="s">
        <v>414</v>
      </c>
    </row>
    <row r="201" spans="3:56" ht="15" customHeight="1">
      <c r="D201" s="11" t="s">
        <v>415</v>
      </c>
      <c r="G201" s="215">
        <f t="shared" ref="G201:AL201" si="94">G49</f>
        <v>0</v>
      </c>
      <c r="H201" s="215">
        <f t="shared" si="94"/>
        <v>0</v>
      </c>
      <c r="I201" s="215">
        <f t="shared" si="94"/>
        <v>0</v>
      </c>
      <c r="J201" s="215">
        <f t="shared" si="94"/>
        <v>0</v>
      </c>
      <c r="K201" s="215">
        <f t="shared" si="94"/>
        <v>259.7837184</v>
      </c>
      <c r="L201" s="215">
        <f t="shared" si="94"/>
        <v>618.28524979200006</v>
      </c>
      <c r="M201" s="215">
        <f t="shared" si="94"/>
        <v>630.65095478784008</v>
      </c>
      <c r="N201" s="215">
        <f t="shared" si="94"/>
        <v>643.26397388359669</v>
      </c>
      <c r="O201" s="215">
        <f t="shared" si="94"/>
        <v>656.12925336126864</v>
      </c>
      <c r="P201" s="215">
        <f t="shared" si="94"/>
        <v>669.25183842849401</v>
      </c>
      <c r="Q201" s="215">
        <f t="shared" si="94"/>
        <v>682.636875197064</v>
      </c>
      <c r="R201" s="215">
        <f t="shared" si="94"/>
        <v>696.28961270100513</v>
      </c>
      <c r="S201" s="215">
        <f t="shared" si="94"/>
        <v>710.21540495502541</v>
      </c>
      <c r="T201" s="215">
        <f t="shared" si="94"/>
        <v>724.41971305412585</v>
      </c>
      <c r="U201" s="215">
        <f t="shared" si="94"/>
        <v>738.90810731520844</v>
      </c>
      <c r="V201" s="215">
        <f t="shared" si="94"/>
        <v>753.68626946151232</v>
      </c>
      <c r="W201" s="215">
        <f t="shared" si="94"/>
        <v>768.75999485074271</v>
      </c>
      <c r="X201" s="215">
        <f t="shared" si="94"/>
        <v>784.13519474775762</v>
      </c>
      <c r="Y201" s="215">
        <f t="shared" si="94"/>
        <v>799.81789864271275</v>
      </c>
      <c r="Z201" s="215">
        <f t="shared" si="94"/>
        <v>815.81425661556693</v>
      </c>
      <c r="AA201" s="215">
        <f t="shared" si="94"/>
        <v>832.1305417478784</v>
      </c>
      <c r="AB201" s="215">
        <f t="shared" si="94"/>
        <v>848.77315258283591</v>
      </c>
      <c r="AC201" s="215">
        <f t="shared" si="94"/>
        <v>865.74861563449269</v>
      </c>
      <c r="AD201" s="215">
        <f t="shared" si="94"/>
        <v>883.06358794718233</v>
      </c>
      <c r="AE201" s="215">
        <f t="shared" si="94"/>
        <v>900.72485970612604</v>
      </c>
      <c r="AF201" s="215">
        <f t="shared" si="94"/>
        <v>918.73935690024859</v>
      </c>
      <c r="AG201" s="215">
        <f t="shared" si="94"/>
        <v>937.11414403825358</v>
      </c>
      <c r="AH201" s="215">
        <f t="shared" si="94"/>
        <v>409.65275439386505</v>
      </c>
      <c r="AI201" s="215">
        <f t="shared" si="94"/>
        <v>0</v>
      </c>
      <c r="AJ201" s="215">
        <f t="shared" si="94"/>
        <v>0</v>
      </c>
      <c r="AK201" s="215">
        <f t="shared" si="94"/>
        <v>0</v>
      </c>
      <c r="AL201" s="215">
        <f t="shared" si="94"/>
        <v>0</v>
      </c>
      <c r="AM201" s="215">
        <f t="shared" ref="AM201:BD201" si="95">AM49</f>
        <v>0</v>
      </c>
      <c r="AN201" s="215">
        <f t="shared" si="95"/>
        <v>0</v>
      </c>
      <c r="AO201" s="215">
        <f t="shared" si="95"/>
        <v>0</v>
      </c>
      <c r="AP201" s="215">
        <f t="shared" si="95"/>
        <v>0</v>
      </c>
      <c r="AQ201" s="215">
        <f t="shared" si="95"/>
        <v>0</v>
      </c>
      <c r="AR201" s="215">
        <f t="shared" si="95"/>
        <v>0</v>
      </c>
      <c r="AS201" s="215">
        <f t="shared" si="95"/>
        <v>0</v>
      </c>
      <c r="AT201" s="215">
        <f t="shared" si="95"/>
        <v>0</v>
      </c>
      <c r="AU201" s="215">
        <f t="shared" si="95"/>
        <v>0</v>
      </c>
      <c r="AV201" s="215">
        <f t="shared" si="95"/>
        <v>0</v>
      </c>
      <c r="AW201" s="215">
        <f t="shared" si="95"/>
        <v>0</v>
      </c>
      <c r="AX201" s="215">
        <f t="shared" si="95"/>
        <v>0</v>
      </c>
      <c r="AY201" s="215">
        <f t="shared" si="95"/>
        <v>0</v>
      </c>
      <c r="AZ201" s="215">
        <f t="shared" si="95"/>
        <v>0</v>
      </c>
      <c r="BA201" s="215">
        <f t="shared" si="95"/>
        <v>0</v>
      </c>
      <c r="BB201" s="215">
        <f t="shared" si="95"/>
        <v>0</v>
      </c>
      <c r="BC201" s="215">
        <f t="shared" si="95"/>
        <v>0</v>
      </c>
      <c r="BD201" s="215">
        <f t="shared" si="95"/>
        <v>0</v>
      </c>
    </row>
    <row r="202" spans="3:56" ht="15" customHeight="1">
      <c r="D202" s="11" t="s">
        <v>262</v>
      </c>
      <c r="G202" s="215">
        <f>CHOOSE(Inputs!$E$35,Inputs!$E185,Inputs!$F185,Inputs!$G185)</f>
        <v>5.0000000000000001E-3</v>
      </c>
      <c r="H202" s="215">
        <f>CHOOSE(Inputs!$E$35,Inputs!$E185,Inputs!$F185,Inputs!$G185)</f>
        <v>5.0000000000000001E-3</v>
      </c>
      <c r="I202" s="215">
        <f>CHOOSE(Inputs!$E$35,Inputs!$E185,Inputs!$F185,Inputs!$G185)</f>
        <v>5.0000000000000001E-3</v>
      </c>
      <c r="J202" s="215">
        <f>CHOOSE(Inputs!$E$35,Inputs!$E185,Inputs!$F185,Inputs!$G185)</f>
        <v>5.0000000000000001E-3</v>
      </c>
      <c r="K202" s="215">
        <f>CHOOSE(Inputs!$E$35,Inputs!$E185,Inputs!$F185,Inputs!$G185)</f>
        <v>5.0000000000000001E-3</v>
      </c>
      <c r="L202" s="215">
        <f>CHOOSE(Inputs!$E$35,Inputs!$E185,Inputs!$F185,Inputs!$G185)</f>
        <v>5.0000000000000001E-3</v>
      </c>
      <c r="M202" s="215">
        <f>CHOOSE(Inputs!$E$35,Inputs!$E185,Inputs!$F185,Inputs!$G185)</f>
        <v>5.0000000000000001E-3</v>
      </c>
      <c r="N202" s="215">
        <f>CHOOSE(Inputs!$E$35,Inputs!$E185,Inputs!$F185,Inputs!$G185)</f>
        <v>5.0000000000000001E-3</v>
      </c>
      <c r="O202" s="215">
        <f>CHOOSE(Inputs!$E$35,Inputs!$E185,Inputs!$F185,Inputs!$G185)</f>
        <v>5.0000000000000001E-3</v>
      </c>
      <c r="P202" s="215">
        <f>CHOOSE(Inputs!$E$35,Inputs!$E185,Inputs!$F185,Inputs!$G185)</f>
        <v>5.0000000000000001E-3</v>
      </c>
      <c r="Q202" s="215">
        <f>CHOOSE(Inputs!$E$35,Inputs!$E185,Inputs!$F185,Inputs!$G185)</f>
        <v>5.0000000000000001E-3</v>
      </c>
      <c r="R202" s="215">
        <f>CHOOSE(Inputs!$E$35,Inputs!$E185,Inputs!$F185,Inputs!$G185)</f>
        <v>5.0000000000000001E-3</v>
      </c>
      <c r="S202" s="215">
        <f>CHOOSE(Inputs!$E$35,Inputs!$E185,Inputs!$F185,Inputs!$G185)</f>
        <v>5.0000000000000001E-3</v>
      </c>
      <c r="T202" s="215">
        <f>CHOOSE(Inputs!$E$35,Inputs!$E185,Inputs!$F185,Inputs!$G185)</f>
        <v>5.0000000000000001E-3</v>
      </c>
      <c r="U202" s="215">
        <f>CHOOSE(Inputs!$E$35,Inputs!$E185,Inputs!$F185,Inputs!$G185)</f>
        <v>5.0000000000000001E-3</v>
      </c>
      <c r="V202" s="215">
        <f>CHOOSE(Inputs!$E$35,Inputs!$E185,Inputs!$F185,Inputs!$G185)</f>
        <v>5.0000000000000001E-3</v>
      </c>
      <c r="W202" s="215">
        <f>CHOOSE(Inputs!$E$35,Inputs!$E185,Inputs!$F185,Inputs!$G185)</f>
        <v>5.0000000000000001E-3</v>
      </c>
      <c r="X202" s="215">
        <f>CHOOSE(Inputs!$E$35,Inputs!$E185,Inputs!$F185,Inputs!$G185)</f>
        <v>5.0000000000000001E-3</v>
      </c>
      <c r="Y202" s="215">
        <f>CHOOSE(Inputs!$E$35,Inputs!$E185,Inputs!$F185,Inputs!$G185)</f>
        <v>5.0000000000000001E-3</v>
      </c>
      <c r="Z202" s="215">
        <f>CHOOSE(Inputs!$E$35,Inputs!$E185,Inputs!$F185,Inputs!$G185)</f>
        <v>5.0000000000000001E-3</v>
      </c>
      <c r="AA202" s="215">
        <f>CHOOSE(Inputs!$E$35,Inputs!$E185,Inputs!$F185,Inputs!$G185)</f>
        <v>5.0000000000000001E-3</v>
      </c>
      <c r="AB202" s="215">
        <f>CHOOSE(Inputs!$E$35,Inputs!$E185,Inputs!$F185,Inputs!$G185)</f>
        <v>5.0000000000000001E-3</v>
      </c>
      <c r="AC202" s="215">
        <f>CHOOSE(Inputs!$E$35,Inputs!$E185,Inputs!$F185,Inputs!$G185)</f>
        <v>5.0000000000000001E-3</v>
      </c>
      <c r="AD202" s="215">
        <f>CHOOSE(Inputs!$E$35,Inputs!$E185,Inputs!$F185,Inputs!$G185)</f>
        <v>5.0000000000000001E-3</v>
      </c>
      <c r="AE202" s="215">
        <f>CHOOSE(Inputs!$E$35,Inputs!$E185,Inputs!$F185,Inputs!$G185)</f>
        <v>5.0000000000000001E-3</v>
      </c>
      <c r="AF202" s="215">
        <f>CHOOSE(Inputs!$E$35,Inputs!$E185,Inputs!$F185,Inputs!$G185)</f>
        <v>5.0000000000000001E-3</v>
      </c>
      <c r="AG202" s="215">
        <f>CHOOSE(Inputs!$E$35,Inputs!$E185,Inputs!$F185,Inputs!$G185)</f>
        <v>5.0000000000000001E-3</v>
      </c>
      <c r="AH202" s="215">
        <f>CHOOSE(Inputs!$E$35,Inputs!$E185,Inputs!$F185,Inputs!$G185)</f>
        <v>5.0000000000000001E-3</v>
      </c>
      <c r="AI202" s="215">
        <f>CHOOSE(Inputs!$E$35,Inputs!$E185,Inputs!$F185,Inputs!$G185)</f>
        <v>5.0000000000000001E-3</v>
      </c>
      <c r="AJ202" s="215">
        <f>CHOOSE(Inputs!$E$35,Inputs!$E185,Inputs!$F185,Inputs!$G185)</f>
        <v>5.0000000000000001E-3</v>
      </c>
      <c r="AK202" s="215">
        <f>CHOOSE(Inputs!$E$35,Inputs!$E185,Inputs!$F185,Inputs!$G185)</f>
        <v>5.0000000000000001E-3</v>
      </c>
      <c r="AL202" s="215">
        <f>CHOOSE(Inputs!$E$35,Inputs!$E185,Inputs!$F185,Inputs!$G185)</f>
        <v>5.0000000000000001E-3</v>
      </c>
      <c r="AM202" s="215">
        <f>CHOOSE(Inputs!$E$35,Inputs!$E185,Inputs!$F185,Inputs!$G185)</f>
        <v>5.0000000000000001E-3</v>
      </c>
      <c r="AN202" s="215">
        <f>CHOOSE(Inputs!$E$35,Inputs!$E185,Inputs!$F185,Inputs!$G185)</f>
        <v>5.0000000000000001E-3</v>
      </c>
      <c r="AO202" s="215">
        <f>CHOOSE(Inputs!$E$35,Inputs!$E185,Inputs!$F185,Inputs!$G185)</f>
        <v>5.0000000000000001E-3</v>
      </c>
      <c r="AP202" s="215">
        <f>CHOOSE(Inputs!$E$35,Inputs!$E185,Inputs!$F185,Inputs!$G185)</f>
        <v>5.0000000000000001E-3</v>
      </c>
      <c r="AQ202" s="215">
        <f>CHOOSE(Inputs!$E$35,Inputs!$E185,Inputs!$F185,Inputs!$G185)</f>
        <v>5.0000000000000001E-3</v>
      </c>
      <c r="AR202" s="215">
        <f>CHOOSE(Inputs!$E$35,Inputs!$E185,Inputs!$F185,Inputs!$G185)</f>
        <v>5.0000000000000001E-3</v>
      </c>
      <c r="AS202" s="215">
        <f>CHOOSE(Inputs!$E$35,Inputs!$E185,Inputs!$F185,Inputs!$G185)</f>
        <v>5.0000000000000001E-3</v>
      </c>
      <c r="AT202" s="215">
        <f>CHOOSE(Inputs!$E$35,Inputs!$E185,Inputs!$F185,Inputs!$G185)</f>
        <v>5.0000000000000001E-3</v>
      </c>
      <c r="AU202" s="215">
        <f>CHOOSE(Inputs!$E$35,Inputs!$E185,Inputs!$F185,Inputs!$G185)</f>
        <v>5.0000000000000001E-3</v>
      </c>
      <c r="AV202" s="215">
        <f>CHOOSE(Inputs!$E$35,Inputs!$E185,Inputs!$F185,Inputs!$G185)</f>
        <v>5.0000000000000001E-3</v>
      </c>
      <c r="AW202" s="215">
        <f>CHOOSE(Inputs!$E$35,Inputs!$E185,Inputs!$F185,Inputs!$G185)</f>
        <v>5.0000000000000001E-3</v>
      </c>
      <c r="AX202" s="215">
        <f>CHOOSE(Inputs!$E$35,Inputs!$E185,Inputs!$F185,Inputs!$G185)</f>
        <v>5.0000000000000001E-3</v>
      </c>
      <c r="AY202" s="215">
        <f>CHOOSE(Inputs!$E$35,Inputs!$E185,Inputs!$F185,Inputs!$G185)</f>
        <v>5.0000000000000001E-3</v>
      </c>
      <c r="AZ202" s="215">
        <f>CHOOSE(Inputs!$E$35,Inputs!$E185,Inputs!$F185,Inputs!$G185)</f>
        <v>5.0000000000000001E-3</v>
      </c>
      <c r="BA202" s="215">
        <f>CHOOSE(Inputs!$E$35,Inputs!$E185,Inputs!$F185,Inputs!$G185)</f>
        <v>5.0000000000000001E-3</v>
      </c>
      <c r="BB202" s="215">
        <f>CHOOSE(Inputs!$E$35,Inputs!$E185,Inputs!$F185,Inputs!$G185)</f>
        <v>5.0000000000000001E-3</v>
      </c>
      <c r="BC202" s="215">
        <f>CHOOSE(Inputs!$E$35,Inputs!$E185,Inputs!$F185,Inputs!$G185)</f>
        <v>5.0000000000000001E-3</v>
      </c>
      <c r="BD202" s="215">
        <f>CHOOSE(Inputs!$E$35,Inputs!$E185,Inputs!$F185,Inputs!$G185)</f>
        <v>5.0000000000000001E-3</v>
      </c>
    </row>
    <row r="203" spans="3:56" ht="15" customHeight="1">
      <c r="D203" s="11" t="s">
        <v>263</v>
      </c>
      <c r="G203" s="215">
        <f>CHOOSE(Inputs!$E$35,Inputs!$E186,Inputs!$F186,Inputs!$G186)</f>
        <v>12.5</v>
      </c>
      <c r="H203" s="215">
        <f>CHOOSE(Inputs!$E$35,Inputs!$E186,Inputs!$F186,Inputs!$G186)</f>
        <v>12.5</v>
      </c>
      <c r="I203" s="215">
        <f>CHOOSE(Inputs!$E$35,Inputs!$E186,Inputs!$F186,Inputs!$G186)</f>
        <v>12.5</v>
      </c>
      <c r="J203" s="215">
        <f>CHOOSE(Inputs!$E$35,Inputs!$E186,Inputs!$F186,Inputs!$G186)</f>
        <v>12.5</v>
      </c>
      <c r="K203" s="215">
        <f>CHOOSE(Inputs!$E$35,Inputs!$E186,Inputs!$F186,Inputs!$G186)</f>
        <v>12.5</v>
      </c>
      <c r="L203" s="215">
        <f>CHOOSE(Inputs!$E$35,Inputs!$E186,Inputs!$F186,Inputs!$G186)</f>
        <v>12.5</v>
      </c>
      <c r="M203" s="215">
        <f>CHOOSE(Inputs!$E$35,Inputs!$E186,Inputs!$F186,Inputs!$G186)</f>
        <v>12.5</v>
      </c>
      <c r="N203" s="215">
        <f>CHOOSE(Inputs!$E$35,Inputs!$E186,Inputs!$F186,Inputs!$G186)</f>
        <v>12.5</v>
      </c>
      <c r="O203" s="215">
        <f>CHOOSE(Inputs!$E$35,Inputs!$E186,Inputs!$F186,Inputs!$G186)</f>
        <v>12.5</v>
      </c>
      <c r="P203" s="215">
        <f>CHOOSE(Inputs!$E$35,Inputs!$E186,Inputs!$F186,Inputs!$G186)</f>
        <v>12.5</v>
      </c>
      <c r="Q203" s="215">
        <f>CHOOSE(Inputs!$E$35,Inputs!$E186,Inputs!$F186,Inputs!$G186)</f>
        <v>12.5</v>
      </c>
      <c r="R203" s="215">
        <f>CHOOSE(Inputs!$E$35,Inputs!$E186,Inputs!$F186,Inputs!$G186)</f>
        <v>12.5</v>
      </c>
      <c r="S203" s="215">
        <f>CHOOSE(Inputs!$E$35,Inputs!$E186,Inputs!$F186,Inputs!$G186)</f>
        <v>12.5</v>
      </c>
      <c r="T203" s="215">
        <f>CHOOSE(Inputs!$E$35,Inputs!$E186,Inputs!$F186,Inputs!$G186)</f>
        <v>12.5</v>
      </c>
      <c r="U203" s="215">
        <f>CHOOSE(Inputs!$E$35,Inputs!$E186,Inputs!$F186,Inputs!$G186)</f>
        <v>12.5</v>
      </c>
      <c r="V203" s="215">
        <f>CHOOSE(Inputs!$E$35,Inputs!$E186,Inputs!$F186,Inputs!$G186)</f>
        <v>12.5</v>
      </c>
      <c r="W203" s="215">
        <f>CHOOSE(Inputs!$E$35,Inputs!$E186,Inputs!$F186,Inputs!$G186)</f>
        <v>12.5</v>
      </c>
      <c r="X203" s="215">
        <f>CHOOSE(Inputs!$E$35,Inputs!$E186,Inputs!$F186,Inputs!$G186)</f>
        <v>12.5</v>
      </c>
      <c r="Y203" s="215">
        <f>CHOOSE(Inputs!$E$35,Inputs!$E186,Inputs!$F186,Inputs!$G186)</f>
        <v>12.5</v>
      </c>
      <c r="Z203" s="215">
        <f>CHOOSE(Inputs!$E$35,Inputs!$E186,Inputs!$F186,Inputs!$G186)</f>
        <v>12.5</v>
      </c>
      <c r="AA203" s="215">
        <f>CHOOSE(Inputs!$E$35,Inputs!$E186,Inputs!$F186,Inputs!$G186)</f>
        <v>12.5</v>
      </c>
      <c r="AB203" s="215">
        <f>CHOOSE(Inputs!$E$35,Inputs!$E186,Inputs!$F186,Inputs!$G186)</f>
        <v>12.5</v>
      </c>
      <c r="AC203" s="215">
        <f>CHOOSE(Inputs!$E$35,Inputs!$E186,Inputs!$F186,Inputs!$G186)</f>
        <v>12.5</v>
      </c>
      <c r="AD203" s="215">
        <f>CHOOSE(Inputs!$E$35,Inputs!$E186,Inputs!$F186,Inputs!$G186)</f>
        <v>12.5</v>
      </c>
      <c r="AE203" s="215">
        <f>CHOOSE(Inputs!$E$35,Inputs!$E186,Inputs!$F186,Inputs!$G186)</f>
        <v>12.5</v>
      </c>
      <c r="AF203" s="215">
        <f>CHOOSE(Inputs!$E$35,Inputs!$E186,Inputs!$F186,Inputs!$G186)</f>
        <v>12.5</v>
      </c>
      <c r="AG203" s="215">
        <f>CHOOSE(Inputs!$E$35,Inputs!$E186,Inputs!$F186,Inputs!$G186)</f>
        <v>12.5</v>
      </c>
      <c r="AH203" s="215">
        <f>CHOOSE(Inputs!$E$35,Inputs!$E186,Inputs!$F186,Inputs!$G186)</f>
        <v>12.5</v>
      </c>
      <c r="AI203" s="215">
        <f>CHOOSE(Inputs!$E$35,Inputs!$E186,Inputs!$F186,Inputs!$G186)</f>
        <v>12.5</v>
      </c>
      <c r="AJ203" s="215">
        <f>CHOOSE(Inputs!$E$35,Inputs!$E186,Inputs!$F186,Inputs!$G186)</f>
        <v>12.5</v>
      </c>
      <c r="AK203" s="215">
        <f>CHOOSE(Inputs!$E$35,Inputs!$E186,Inputs!$F186,Inputs!$G186)</f>
        <v>12.5</v>
      </c>
      <c r="AL203" s="215">
        <f>CHOOSE(Inputs!$E$35,Inputs!$E186,Inputs!$F186,Inputs!$G186)</f>
        <v>12.5</v>
      </c>
      <c r="AM203" s="215">
        <f>CHOOSE(Inputs!$E$35,Inputs!$E186,Inputs!$F186,Inputs!$G186)</f>
        <v>12.5</v>
      </c>
      <c r="AN203" s="215">
        <f>CHOOSE(Inputs!$E$35,Inputs!$E186,Inputs!$F186,Inputs!$G186)</f>
        <v>12.5</v>
      </c>
      <c r="AO203" s="215">
        <f>CHOOSE(Inputs!$E$35,Inputs!$E186,Inputs!$F186,Inputs!$G186)</f>
        <v>12.5</v>
      </c>
      <c r="AP203" s="215">
        <f>CHOOSE(Inputs!$E$35,Inputs!$E186,Inputs!$F186,Inputs!$G186)</f>
        <v>12.5</v>
      </c>
      <c r="AQ203" s="215">
        <f>CHOOSE(Inputs!$E$35,Inputs!$E186,Inputs!$F186,Inputs!$G186)</f>
        <v>12.5</v>
      </c>
      <c r="AR203" s="215">
        <f>CHOOSE(Inputs!$E$35,Inputs!$E186,Inputs!$F186,Inputs!$G186)</f>
        <v>12.5</v>
      </c>
      <c r="AS203" s="215">
        <f>CHOOSE(Inputs!$E$35,Inputs!$E186,Inputs!$F186,Inputs!$G186)</f>
        <v>12.5</v>
      </c>
      <c r="AT203" s="215">
        <f>CHOOSE(Inputs!$E$35,Inputs!$E186,Inputs!$F186,Inputs!$G186)</f>
        <v>12.5</v>
      </c>
      <c r="AU203" s="215">
        <f>CHOOSE(Inputs!$E$35,Inputs!$E186,Inputs!$F186,Inputs!$G186)</f>
        <v>12.5</v>
      </c>
      <c r="AV203" s="215">
        <f>CHOOSE(Inputs!$E$35,Inputs!$E186,Inputs!$F186,Inputs!$G186)</f>
        <v>12.5</v>
      </c>
      <c r="AW203" s="215">
        <f>CHOOSE(Inputs!$E$35,Inputs!$E186,Inputs!$F186,Inputs!$G186)</f>
        <v>12.5</v>
      </c>
      <c r="AX203" s="215">
        <f>CHOOSE(Inputs!$E$35,Inputs!$E186,Inputs!$F186,Inputs!$G186)</f>
        <v>12.5</v>
      </c>
      <c r="AY203" s="215">
        <f>CHOOSE(Inputs!$E$35,Inputs!$E186,Inputs!$F186,Inputs!$G186)</f>
        <v>12.5</v>
      </c>
      <c r="AZ203" s="215">
        <f>CHOOSE(Inputs!$E$35,Inputs!$E186,Inputs!$F186,Inputs!$G186)</f>
        <v>12.5</v>
      </c>
      <c r="BA203" s="215">
        <f>CHOOSE(Inputs!$E$35,Inputs!$E186,Inputs!$F186,Inputs!$G186)</f>
        <v>12.5</v>
      </c>
      <c r="BB203" s="215">
        <f>CHOOSE(Inputs!$E$35,Inputs!$E186,Inputs!$F186,Inputs!$G186)</f>
        <v>12.5</v>
      </c>
      <c r="BC203" s="215">
        <f>CHOOSE(Inputs!$E$35,Inputs!$E186,Inputs!$F186,Inputs!$G186)</f>
        <v>12.5</v>
      </c>
      <c r="BD203" s="215">
        <f>CHOOSE(Inputs!$E$35,Inputs!$E186,Inputs!$F186,Inputs!$G186)</f>
        <v>12.5</v>
      </c>
    </row>
    <row r="204" spans="3:56" ht="15" customHeight="1">
      <c r="D204" s="11" t="s">
        <v>416</v>
      </c>
      <c r="G204" s="215">
        <f t="shared" ref="G204:AL204" si="96">IF(G51-G56-G236-G240-G244-G330-G354&lt;0,0,G51-G56-G236-G240-G244-G330-G354)</f>
        <v>0</v>
      </c>
      <c r="H204" s="215">
        <f t="shared" si="96"/>
        <v>0</v>
      </c>
      <c r="I204" s="215">
        <f t="shared" si="96"/>
        <v>0</v>
      </c>
      <c r="J204" s="215">
        <f t="shared" si="96"/>
        <v>0</v>
      </c>
      <c r="K204" s="215">
        <f t="shared" si="96"/>
        <v>43.331316843600035</v>
      </c>
      <c r="L204" s="215">
        <f t="shared" si="96"/>
        <v>240.52859126596809</v>
      </c>
      <c r="M204" s="215">
        <f t="shared" si="96"/>
        <v>247.24946233928745</v>
      </c>
      <c r="N204" s="215">
        <f t="shared" si="96"/>
        <v>254.10475083407306</v>
      </c>
      <c r="O204" s="215">
        <f t="shared" si="96"/>
        <v>261.09714509875459</v>
      </c>
      <c r="P204" s="215">
        <f t="shared" si="96"/>
        <v>363.74434964872972</v>
      </c>
      <c r="Q204" s="215">
        <f t="shared" si="96"/>
        <v>371.01923664170437</v>
      </c>
      <c r="R204" s="215">
        <f t="shared" si="96"/>
        <v>378.43962137453826</v>
      </c>
      <c r="S204" s="215">
        <f t="shared" si="96"/>
        <v>386.00841380202917</v>
      </c>
      <c r="T204" s="215">
        <f t="shared" si="96"/>
        <v>393.72858207806973</v>
      </c>
      <c r="U204" s="215">
        <f t="shared" si="96"/>
        <v>401.60315371963111</v>
      </c>
      <c r="V204" s="215">
        <f t="shared" si="96"/>
        <v>409.63521679402362</v>
      </c>
      <c r="W204" s="215">
        <f t="shared" si="96"/>
        <v>417.82792112990421</v>
      </c>
      <c r="X204" s="215">
        <f t="shared" si="96"/>
        <v>426.18447955250235</v>
      </c>
      <c r="Y204" s="215">
        <f t="shared" si="96"/>
        <v>434.70816914355231</v>
      </c>
      <c r="Z204" s="215">
        <f t="shared" si="96"/>
        <v>443.40233252642332</v>
      </c>
      <c r="AA204" s="215">
        <f t="shared" si="96"/>
        <v>452.27037917695179</v>
      </c>
      <c r="AB204" s="215">
        <f t="shared" si="96"/>
        <v>461.31578676049088</v>
      </c>
      <c r="AC204" s="215">
        <f t="shared" si="96"/>
        <v>470.5421024957007</v>
      </c>
      <c r="AD204" s="215">
        <f t="shared" si="96"/>
        <v>476.08954134834562</v>
      </c>
      <c r="AE204" s="215">
        <f t="shared" si="96"/>
        <v>485.61133217531255</v>
      </c>
      <c r="AF204" s="215">
        <f t="shared" si="96"/>
        <v>495.32355881881881</v>
      </c>
      <c r="AG204" s="215">
        <f t="shared" si="96"/>
        <v>506.48509358096084</v>
      </c>
      <c r="AH204" s="215">
        <f t="shared" si="96"/>
        <v>221.95498299002602</v>
      </c>
      <c r="AI204" s="215">
        <f t="shared" si="96"/>
        <v>0</v>
      </c>
      <c r="AJ204" s="215">
        <f t="shared" si="96"/>
        <v>0</v>
      </c>
      <c r="AK204" s="215">
        <f t="shared" si="96"/>
        <v>0</v>
      </c>
      <c r="AL204" s="215">
        <f t="shared" si="96"/>
        <v>0</v>
      </c>
      <c r="AM204" s="215">
        <f t="shared" ref="AM204:BD204" si="97">IF(AM51-AM56-AM236-AM240-AM244-AM330-AM354&lt;0,0,AM51-AM56-AM236-AM240-AM244-AM330-AM354)</f>
        <v>0</v>
      </c>
      <c r="AN204" s="215">
        <f t="shared" si="97"/>
        <v>0</v>
      </c>
      <c r="AO204" s="215">
        <f t="shared" si="97"/>
        <v>0</v>
      </c>
      <c r="AP204" s="215">
        <f t="shared" si="97"/>
        <v>0</v>
      </c>
      <c r="AQ204" s="215">
        <f t="shared" si="97"/>
        <v>0</v>
      </c>
      <c r="AR204" s="215">
        <f t="shared" si="97"/>
        <v>0</v>
      </c>
      <c r="AS204" s="215">
        <f t="shared" si="97"/>
        <v>0</v>
      </c>
      <c r="AT204" s="215">
        <f t="shared" si="97"/>
        <v>0</v>
      </c>
      <c r="AU204" s="215">
        <f t="shared" si="97"/>
        <v>0</v>
      </c>
      <c r="AV204" s="215">
        <f t="shared" si="97"/>
        <v>0</v>
      </c>
      <c r="AW204" s="215">
        <f t="shared" si="97"/>
        <v>0</v>
      </c>
      <c r="AX204" s="215">
        <f t="shared" si="97"/>
        <v>0</v>
      </c>
      <c r="AY204" s="215">
        <f t="shared" si="97"/>
        <v>0</v>
      </c>
      <c r="AZ204" s="215">
        <f t="shared" si="97"/>
        <v>0</v>
      </c>
      <c r="BA204" s="215">
        <f t="shared" si="97"/>
        <v>0</v>
      </c>
      <c r="BB204" s="215">
        <f t="shared" si="97"/>
        <v>0</v>
      </c>
      <c r="BC204" s="215">
        <f t="shared" si="97"/>
        <v>0</v>
      </c>
      <c r="BD204" s="215">
        <f t="shared" si="97"/>
        <v>0</v>
      </c>
    </row>
    <row r="205" spans="3:56" ht="15" customHeight="1">
      <c r="D205" s="11" t="s">
        <v>417</v>
      </c>
      <c r="G205" s="215">
        <f>G201</f>
        <v>0</v>
      </c>
      <c r="H205" s="215">
        <f t="shared" ref="H205:BD205" si="98">H201</f>
        <v>0</v>
      </c>
      <c r="I205" s="215">
        <f t="shared" si="98"/>
        <v>0</v>
      </c>
      <c r="J205" s="215">
        <f t="shared" si="98"/>
        <v>0</v>
      </c>
      <c r="K205" s="215">
        <f t="shared" si="98"/>
        <v>259.7837184</v>
      </c>
      <c r="L205" s="215">
        <f t="shared" si="98"/>
        <v>618.28524979200006</v>
      </c>
      <c r="M205" s="215">
        <f t="shared" si="98"/>
        <v>630.65095478784008</v>
      </c>
      <c r="N205" s="215">
        <f t="shared" si="98"/>
        <v>643.26397388359669</v>
      </c>
      <c r="O205" s="215">
        <f t="shared" si="98"/>
        <v>656.12925336126864</v>
      </c>
      <c r="P205" s="215">
        <f t="shared" si="98"/>
        <v>669.25183842849401</v>
      </c>
      <c r="Q205" s="215">
        <f t="shared" si="98"/>
        <v>682.636875197064</v>
      </c>
      <c r="R205" s="215">
        <f t="shared" si="98"/>
        <v>696.28961270100513</v>
      </c>
      <c r="S205" s="215">
        <f t="shared" si="98"/>
        <v>710.21540495502541</v>
      </c>
      <c r="T205" s="215">
        <f t="shared" si="98"/>
        <v>724.41971305412585</v>
      </c>
      <c r="U205" s="215">
        <f t="shared" si="98"/>
        <v>738.90810731520844</v>
      </c>
      <c r="V205" s="215">
        <f t="shared" si="98"/>
        <v>753.68626946151232</v>
      </c>
      <c r="W205" s="215">
        <f t="shared" si="98"/>
        <v>768.75999485074271</v>
      </c>
      <c r="X205" s="215">
        <f t="shared" si="98"/>
        <v>784.13519474775762</v>
      </c>
      <c r="Y205" s="215">
        <f t="shared" si="98"/>
        <v>799.81789864271275</v>
      </c>
      <c r="Z205" s="215">
        <f t="shared" si="98"/>
        <v>815.81425661556693</v>
      </c>
      <c r="AA205" s="215">
        <f t="shared" si="98"/>
        <v>832.1305417478784</v>
      </c>
      <c r="AB205" s="215">
        <f t="shared" si="98"/>
        <v>848.77315258283591</v>
      </c>
      <c r="AC205" s="215">
        <f t="shared" si="98"/>
        <v>865.74861563449269</v>
      </c>
      <c r="AD205" s="215">
        <f t="shared" si="98"/>
        <v>883.06358794718233</v>
      </c>
      <c r="AE205" s="215">
        <f t="shared" si="98"/>
        <v>900.72485970612604</v>
      </c>
      <c r="AF205" s="215">
        <f t="shared" si="98"/>
        <v>918.73935690024859</v>
      </c>
      <c r="AG205" s="215">
        <f t="shared" si="98"/>
        <v>937.11414403825358</v>
      </c>
      <c r="AH205" s="215">
        <f t="shared" si="98"/>
        <v>409.65275439386505</v>
      </c>
      <c r="AI205" s="215">
        <f t="shared" si="98"/>
        <v>0</v>
      </c>
      <c r="AJ205" s="215">
        <f t="shared" si="98"/>
        <v>0</v>
      </c>
      <c r="AK205" s="215">
        <f t="shared" si="98"/>
        <v>0</v>
      </c>
      <c r="AL205" s="215">
        <f t="shared" si="98"/>
        <v>0</v>
      </c>
      <c r="AM205" s="215">
        <f t="shared" si="98"/>
        <v>0</v>
      </c>
      <c r="AN205" s="215">
        <f t="shared" si="98"/>
        <v>0</v>
      </c>
      <c r="AO205" s="215">
        <f t="shared" si="98"/>
        <v>0</v>
      </c>
      <c r="AP205" s="215">
        <f t="shared" si="98"/>
        <v>0</v>
      </c>
      <c r="AQ205" s="215">
        <f t="shared" si="98"/>
        <v>0</v>
      </c>
      <c r="AR205" s="215">
        <f t="shared" si="98"/>
        <v>0</v>
      </c>
      <c r="AS205" s="215">
        <f t="shared" si="98"/>
        <v>0</v>
      </c>
      <c r="AT205" s="215">
        <f t="shared" si="98"/>
        <v>0</v>
      </c>
      <c r="AU205" s="215">
        <f t="shared" si="98"/>
        <v>0</v>
      </c>
      <c r="AV205" s="215">
        <f t="shared" si="98"/>
        <v>0</v>
      </c>
      <c r="AW205" s="215">
        <f t="shared" si="98"/>
        <v>0</v>
      </c>
      <c r="AX205" s="215">
        <f t="shared" si="98"/>
        <v>0</v>
      </c>
      <c r="AY205" s="215">
        <f t="shared" si="98"/>
        <v>0</v>
      </c>
      <c r="AZ205" s="215">
        <f t="shared" si="98"/>
        <v>0</v>
      </c>
      <c r="BA205" s="215">
        <f t="shared" si="98"/>
        <v>0</v>
      </c>
      <c r="BB205" s="215">
        <f t="shared" si="98"/>
        <v>0</v>
      </c>
      <c r="BC205" s="215">
        <f t="shared" si="98"/>
        <v>0</v>
      </c>
      <c r="BD205" s="215">
        <f t="shared" si="98"/>
        <v>0</v>
      </c>
    </row>
    <row r="206" spans="3:56" ht="15" customHeight="1">
      <c r="D206" s="11" t="s">
        <v>418</v>
      </c>
      <c r="G206" s="215">
        <f>IFERROR(G204/(G205*G203)*100,0)</f>
        <v>0</v>
      </c>
      <c r="H206" s="215">
        <f t="shared" ref="H206:BD206" si="99">IFERROR(H204/(H205*H203)*100,0)</f>
        <v>0</v>
      </c>
      <c r="I206" s="215">
        <f t="shared" si="99"/>
        <v>0</v>
      </c>
      <c r="J206" s="215">
        <f t="shared" si="99"/>
        <v>0</v>
      </c>
      <c r="K206" s="215">
        <f t="shared" si="99"/>
        <v>1.3343812956555183</v>
      </c>
      <c r="L206" s="215">
        <f t="shared" si="99"/>
        <v>3.1122022250653441</v>
      </c>
      <c r="M206" s="215">
        <f t="shared" si="99"/>
        <v>3.1364349545458552</v>
      </c>
      <c r="N206" s="215">
        <f t="shared" si="99"/>
        <v>3.1601925324679243</v>
      </c>
      <c r="O206" s="215">
        <f t="shared" si="99"/>
        <v>3.1834842755287784</v>
      </c>
      <c r="P206" s="215">
        <f t="shared" si="99"/>
        <v>4.3480714285714299</v>
      </c>
      <c r="Q206" s="215">
        <f t="shared" si="99"/>
        <v>4.3480714285714299</v>
      </c>
      <c r="R206" s="215">
        <f t="shared" si="99"/>
        <v>4.348071428571429</v>
      </c>
      <c r="S206" s="215">
        <f t="shared" si="99"/>
        <v>4.348071428571429</v>
      </c>
      <c r="T206" s="215">
        <f t="shared" si="99"/>
        <v>4.348071428571429</v>
      </c>
      <c r="U206" s="215">
        <f t="shared" si="99"/>
        <v>4.3480714285714281</v>
      </c>
      <c r="V206" s="215">
        <f t="shared" si="99"/>
        <v>4.3480714285714299</v>
      </c>
      <c r="W206" s="215">
        <f t="shared" si="99"/>
        <v>4.3480714285714299</v>
      </c>
      <c r="X206" s="215">
        <f t="shared" si="99"/>
        <v>4.3480714285714299</v>
      </c>
      <c r="Y206" s="215">
        <f t="shared" si="99"/>
        <v>4.3480714285714299</v>
      </c>
      <c r="Z206" s="215">
        <f t="shared" si="99"/>
        <v>4.348071428571429</v>
      </c>
      <c r="AA206" s="215">
        <f t="shared" si="99"/>
        <v>4.3480714285714281</v>
      </c>
      <c r="AB206" s="215">
        <f t="shared" si="99"/>
        <v>4.3480714285714299</v>
      </c>
      <c r="AC206" s="215">
        <f t="shared" si="99"/>
        <v>4.348071428571429</v>
      </c>
      <c r="AD206" s="215">
        <f t="shared" si="99"/>
        <v>4.313071428571428</v>
      </c>
      <c r="AE206" s="215">
        <f t="shared" si="99"/>
        <v>4.3130714285714289</v>
      </c>
      <c r="AF206" s="215">
        <f t="shared" si="99"/>
        <v>4.3130714285714289</v>
      </c>
      <c r="AG206" s="215">
        <f t="shared" si="99"/>
        <v>4.323785714285715</v>
      </c>
      <c r="AH206" s="215">
        <f t="shared" si="99"/>
        <v>4.3345000000000011</v>
      </c>
      <c r="AI206" s="215">
        <f t="shared" si="99"/>
        <v>0</v>
      </c>
      <c r="AJ206" s="215">
        <f t="shared" si="99"/>
        <v>0</v>
      </c>
      <c r="AK206" s="215">
        <f t="shared" si="99"/>
        <v>0</v>
      </c>
      <c r="AL206" s="215">
        <f t="shared" si="99"/>
        <v>0</v>
      </c>
      <c r="AM206" s="215">
        <f t="shared" si="99"/>
        <v>0</v>
      </c>
      <c r="AN206" s="215">
        <f t="shared" si="99"/>
        <v>0</v>
      </c>
      <c r="AO206" s="215">
        <f t="shared" si="99"/>
        <v>0</v>
      </c>
      <c r="AP206" s="215">
        <f t="shared" si="99"/>
        <v>0</v>
      </c>
      <c r="AQ206" s="215">
        <f t="shared" si="99"/>
        <v>0</v>
      </c>
      <c r="AR206" s="215">
        <f t="shared" si="99"/>
        <v>0</v>
      </c>
      <c r="AS206" s="215">
        <f t="shared" si="99"/>
        <v>0</v>
      </c>
      <c r="AT206" s="215">
        <f t="shared" si="99"/>
        <v>0</v>
      </c>
      <c r="AU206" s="215">
        <f t="shared" si="99"/>
        <v>0</v>
      </c>
      <c r="AV206" s="215">
        <f t="shared" si="99"/>
        <v>0</v>
      </c>
      <c r="AW206" s="215">
        <f t="shared" si="99"/>
        <v>0</v>
      </c>
      <c r="AX206" s="215">
        <f t="shared" si="99"/>
        <v>0</v>
      </c>
      <c r="AY206" s="215">
        <f t="shared" si="99"/>
        <v>0</v>
      </c>
      <c r="AZ206" s="215">
        <f t="shared" si="99"/>
        <v>0</v>
      </c>
      <c r="BA206" s="215">
        <f t="shared" si="99"/>
        <v>0</v>
      </c>
      <c r="BB206" s="215">
        <f t="shared" si="99"/>
        <v>0</v>
      </c>
      <c r="BC206" s="215">
        <f t="shared" si="99"/>
        <v>0</v>
      </c>
      <c r="BD206" s="215">
        <f t="shared" si="99"/>
        <v>0</v>
      </c>
    </row>
    <row r="207" spans="3:56" ht="15" customHeight="1">
      <c r="D207" s="11" t="s">
        <v>371</v>
      </c>
      <c r="G207" s="222">
        <f>MIN(G202+G206/100,CHOOSE(Inputs!$E$35,Inputs!$E$187,Inputs!$F$187,Inputs!$G$187))</f>
        <v>5.0000000000000001E-3</v>
      </c>
      <c r="H207" s="222">
        <f>MIN(H202+H206/100,CHOOSE(Inputs!$E$35,Inputs!$E$187,Inputs!$F$187,Inputs!$G$187))</f>
        <v>5.0000000000000001E-3</v>
      </c>
      <c r="I207" s="222">
        <f>MIN(I202+I206/100,CHOOSE(Inputs!$E$35,Inputs!$E$187,Inputs!$F$187,Inputs!$G$187))</f>
        <v>5.0000000000000001E-3</v>
      </c>
      <c r="J207" s="222">
        <f>MIN(J202+J206/100,CHOOSE(Inputs!$E$35,Inputs!$E$187,Inputs!$F$187,Inputs!$G$187))</f>
        <v>5.0000000000000001E-3</v>
      </c>
      <c r="K207" s="222">
        <f>MIN(K202+K206/100,CHOOSE(Inputs!$E$35,Inputs!$E$187,Inputs!$F$187,Inputs!$G$187))</f>
        <v>1.8343812956555183E-2</v>
      </c>
      <c r="L207" s="222">
        <f>MIN(L202+L206/100,CHOOSE(Inputs!$E$35,Inputs!$E$187,Inputs!$F$187,Inputs!$G$187))</f>
        <v>3.6122022250653439E-2</v>
      </c>
      <c r="M207" s="222">
        <f>MIN(M202+M206/100,CHOOSE(Inputs!$E$35,Inputs!$E$187,Inputs!$F$187,Inputs!$G$187))</f>
        <v>3.6364349545458551E-2</v>
      </c>
      <c r="N207" s="222">
        <f>MIN(N202+N206/100,CHOOSE(Inputs!$E$35,Inputs!$E$187,Inputs!$F$187,Inputs!$G$187))</f>
        <v>3.6601925324679242E-2</v>
      </c>
      <c r="O207" s="222">
        <f>MIN(O202+O206/100,CHOOSE(Inputs!$E$35,Inputs!$E$187,Inputs!$F$187,Inputs!$G$187))</f>
        <v>3.6834842755287783E-2</v>
      </c>
      <c r="P207" s="222">
        <f>MIN(P202+P206/100,CHOOSE(Inputs!$E$35,Inputs!$E$187,Inputs!$F$187,Inputs!$G$187))</f>
        <v>4.8480714285714294E-2</v>
      </c>
      <c r="Q207" s="222">
        <f>MIN(Q202+Q206/100,CHOOSE(Inputs!$E$35,Inputs!$E$187,Inputs!$F$187,Inputs!$G$187))</f>
        <v>4.8480714285714294E-2</v>
      </c>
      <c r="R207" s="222">
        <f>MIN(R202+R206/100,CHOOSE(Inputs!$E$35,Inputs!$E$187,Inputs!$F$187,Inputs!$G$187))</f>
        <v>4.8480714285714287E-2</v>
      </c>
      <c r="S207" s="222">
        <f>MIN(S202+S206/100,CHOOSE(Inputs!$E$35,Inputs!$E$187,Inputs!$F$187,Inputs!$G$187))</f>
        <v>4.8480714285714287E-2</v>
      </c>
      <c r="T207" s="222">
        <f>MIN(T202+T206/100,CHOOSE(Inputs!$E$35,Inputs!$E$187,Inputs!$F$187,Inputs!$G$187))</f>
        <v>4.8480714285714287E-2</v>
      </c>
      <c r="U207" s="222">
        <f>MIN(U202+U206/100,CHOOSE(Inputs!$E$35,Inputs!$E$187,Inputs!$F$187,Inputs!$G$187))</f>
        <v>4.848071428571428E-2</v>
      </c>
      <c r="V207" s="222">
        <f>MIN(V202+V206/100,CHOOSE(Inputs!$E$35,Inputs!$E$187,Inputs!$F$187,Inputs!$G$187))</f>
        <v>4.8480714285714294E-2</v>
      </c>
      <c r="W207" s="222">
        <f>MIN(W202+W206/100,CHOOSE(Inputs!$E$35,Inputs!$E$187,Inputs!$F$187,Inputs!$G$187))</f>
        <v>4.8480714285714294E-2</v>
      </c>
      <c r="X207" s="222">
        <f>MIN(X202+X206/100,CHOOSE(Inputs!$E$35,Inputs!$E$187,Inputs!$F$187,Inputs!$G$187))</f>
        <v>4.8480714285714294E-2</v>
      </c>
      <c r="Y207" s="222">
        <f>MIN(Y202+Y206/100,CHOOSE(Inputs!$E$35,Inputs!$E$187,Inputs!$F$187,Inputs!$G$187))</f>
        <v>4.8480714285714294E-2</v>
      </c>
      <c r="Z207" s="222">
        <f>MIN(Z202+Z206/100,CHOOSE(Inputs!$E$35,Inputs!$E$187,Inputs!$F$187,Inputs!$G$187))</f>
        <v>4.8480714285714287E-2</v>
      </c>
      <c r="AA207" s="222">
        <f>MIN(AA202+AA206/100,CHOOSE(Inputs!$E$35,Inputs!$E$187,Inputs!$F$187,Inputs!$G$187))</f>
        <v>4.848071428571428E-2</v>
      </c>
      <c r="AB207" s="222">
        <f>MIN(AB202+AB206/100,CHOOSE(Inputs!$E$35,Inputs!$E$187,Inputs!$F$187,Inputs!$G$187))</f>
        <v>4.8480714285714294E-2</v>
      </c>
      <c r="AC207" s="222">
        <f>MIN(AC202+AC206/100,CHOOSE(Inputs!$E$35,Inputs!$E$187,Inputs!$F$187,Inputs!$G$187))</f>
        <v>4.8480714285714287E-2</v>
      </c>
      <c r="AD207" s="222">
        <f>MIN(AD202+AD206/100,CHOOSE(Inputs!$E$35,Inputs!$E$187,Inputs!$F$187,Inputs!$G$187))</f>
        <v>4.8130714285714277E-2</v>
      </c>
      <c r="AE207" s="222">
        <f>MIN(AE202+AE206/100,CHOOSE(Inputs!$E$35,Inputs!$E$187,Inputs!$F$187,Inputs!$G$187))</f>
        <v>4.8130714285714284E-2</v>
      </c>
      <c r="AF207" s="222">
        <f>MIN(AF202+AF206/100,CHOOSE(Inputs!$E$35,Inputs!$E$187,Inputs!$F$187,Inputs!$G$187))</f>
        <v>4.8130714285714284E-2</v>
      </c>
      <c r="AG207" s="222">
        <f>MIN(AG202+AG206/100,CHOOSE(Inputs!$E$35,Inputs!$E$187,Inputs!$F$187,Inputs!$G$187))</f>
        <v>4.8237857142857145E-2</v>
      </c>
      <c r="AH207" s="222">
        <f>MIN(AH202+AH206/100,CHOOSE(Inputs!$E$35,Inputs!$E$187,Inputs!$F$187,Inputs!$G$187))</f>
        <v>4.8345000000000006E-2</v>
      </c>
      <c r="AI207" s="222">
        <f>MIN(AI202+AI206/100,CHOOSE(Inputs!$E$35,Inputs!$E$187,Inputs!$F$187,Inputs!$G$187))</f>
        <v>5.0000000000000001E-3</v>
      </c>
      <c r="AJ207" s="222">
        <f>MIN(AJ202+AJ206/100,CHOOSE(Inputs!$E$35,Inputs!$E$187,Inputs!$F$187,Inputs!$G$187))</f>
        <v>5.0000000000000001E-3</v>
      </c>
      <c r="AK207" s="222">
        <f>MIN(AK202+AK206/100,CHOOSE(Inputs!$E$35,Inputs!$E$187,Inputs!$F$187,Inputs!$G$187))</f>
        <v>5.0000000000000001E-3</v>
      </c>
      <c r="AL207" s="222">
        <f>MIN(AL202+AL206/100,CHOOSE(Inputs!$E$35,Inputs!$E$187,Inputs!$F$187,Inputs!$G$187))</f>
        <v>5.0000000000000001E-3</v>
      </c>
      <c r="AM207" s="222">
        <f>MIN(AM202+AM206/100,CHOOSE(Inputs!$E$35,Inputs!$E$187,Inputs!$F$187,Inputs!$G$187))</f>
        <v>5.0000000000000001E-3</v>
      </c>
      <c r="AN207" s="222">
        <f>MIN(AN202+AN206/100,CHOOSE(Inputs!$E$35,Inputs!$E$187,Inputs!$F$187,Inputs!$G$187))</f>
        <v>5.0000000000000001E-3</v>
      </c>
      <c r="AO207" s="222">
        <f>MIN(AO202+AO206/100,CHOOSE(Inputs!$E$35,Inputs!$E$187,Inputs!$F$187,Inputs!$G$187))</f>
        <v>5.0000000000000001E-3</v>
      </c>
      <c r="AP207" s="222">
        <f>MIN(AP202+AP206/100,CHOOSE(Inputs!$E$35,Inputs!$E$187,Inputs!$F$187,Inputs!$G$187))</f>
        <v>5.0000000000000001E-3</v>
      </c>
      <c r="AQ207" s="222">
        <f>MIN(AQ202+AQ206/100,CHOOSE(Inputs!$E$35,Inputs!$E$187,Inputs!$F$187,Inputs!$G$187))</f>
        <v>5.0000000000000001E-3</v>
      </c>
      <c r="AR207" s="222">
        <f>MIN(AR202+AR206/100,CHOOSE(Inputs!$E$35,Inputs!$E$187,Inputs!$F$187,Inputs!$G$187))</f>
        <v>5.0000000000000001E-3</v>
      </c>
      <c r="AS207" s="222">
        <f>MIN(AS202+AS206/100,CHOOSE(Inputs!$E$35,Inputs!$E$187,Inputs!$F$187,Inputs!$G$187))</f>
        <v>5.0000000000000001E-3</v>
      </c>
      <c r="AT207" s="222">
        <f>MIN(AT202+AT206/100,CHOOSE(Inputs!$E$35,Inputs!$E$187,Inputs!$F$187,Inputs!$G$187))</f>
        <v>5.0000000000000001E-3</v>
      </c>
      <c r="AU207" s="222">
        <f>MIN(AU202+AU206/100,CHOOSE(Inputs!$E$35,Inputs!$E$187,Inputs!$F$187,Inputs!$G$187))</f>
        <v>5.0000000000000001E-3</v>
      </c>
      <c r="AV207" s="222">
        <f>MIN(AV202+AV206/100,CHOOSE(Inputs!$E$35,Inputs!$E$187,Inputs!$F$187,Inputs!$G$187))</f>
        <v>5.0000000000000001E-3</v>
      </c>
      <c r="AW207" s="222">
        <f>MIN(AW202+AW206/100,CHOOSE(Inputs!$E$35,Inputs!$E$187,Inputs!$F$187,Inputs!$G$187))</f>
        <v>5.0000000000000001E-3</v>
      </c>
      <c r="AX207" s="222">
        <f>MIN(AX202+AX206/100,CHOOSE(Inputs!$E$35,Inputs!$E$187,Inputs!$F$187,Inputs!$G$187))</f>
        <v>5.0000000000000001E-3</v>
      </c>
      <c r="AY207" s="222">
        <f>MIN(AY202+AY206/100,CHOOSE(Inputs!$E$35,Inputs!$E$187,Inputs!$F$187,Inputs!$G$187))</f>
        <v>5.0000000000000001E-3</v>
      </c>
      <c r="AZ207" s="222">
        <f>MIN(AZ202+AZ206/100,CHOOSE(Inputs!$E$35,Inputs!$E$187,Inputs!$F$187,Inputs!$G$187))</f>
        <v>5.0000000000000001E-3</v>
      </c>
      <c r="BA207" s="222">
        <f>MIN(BA202+BA206/100,CHOOSE(Inputs!$E$35,Inputs!$E$187,Inputs!$F$187,Inputs!$G$187))</f>
        <v>5.0000000000000001E-3</v>
      </c>
      <c r="BB207" s="222">
        <f>MIN(BB202+BB206/100,CHOOSE(Inputs!$E$35,Inputs!$E$187,Inputs!$F$187,Inputs!$G$187))</f>
        <v>5.0000000000000001E-3</v>
      </c>
      <c r="BC207" s="222">
        <f>MIN(BC202+BC206/100,CHOOSE(Inputs!$E$35,Inputs!$E$187,Inputs!$F$187,Inputs!$G$187))</f>
        <v>5.0000000000000001E-3</v>
      </c>
      <c r="BD207" s="222">
        <f>MIN(BD202+BD206/100,CHOOSE(Inputs!$E$35,Inputs!$E$187,Inputs!$F$187,Inputs!$G$187))</f>
        <v>5.0000000000000001E-3</v>
      </c>
    </row>
    <row r="208" spans="3:56" ht="15" customHeight="1">
      <c r="C208" s="21">
        <f>SUM(G208:BD208)</f>
        <v>0</v>
      </c>
      <c r="D208" s="11" t="s">
        <v>419</v>
      </c>
      <c r="F208" s="215"/>
      <c r="G208" s="215">
        <f>G207*G201*Inputs!$E$34</f>
        <v>0</v>
      </c>
      <c r="H208" s="215">
        <f>H207*H201*Inputs!$E$34</f>
        <v>0</v>
      </c>
      <c r="I208" s="215">
        <f>I207*I201*Inputs!$E$34</f>
        <v>0</v>
      </c>
      <c r="J208" s="215">
        <f>J207*J201*Inputs!$E$34</f>
        <v>0</v>
      </c>
      <c r="K208" s="215">
        <f>K207*K201*Inputs!$E$34</f>
        <v>0</v>
      </c>
      <c r="L208" s="215">
        <f>L207*L201*Inputs!$E$34</f>
        <v>0</v>
      </c>
      <c r="M208" s="215">
        <f>M207*M201*Inputs!$E$34</f>
        <v>0</v>
      </c>
      <c r="N208" s="215">
        <f>N207*N201*Inputs!$E$34</f>
        <v>0</v>
      </c>
      <c r="O208" s="215">
        <f>O207*O201*Inputs!$E$34</f>
        <v>0</v>
      </c>
      <c r="P208" s="215">
        <f>P207*P201*Inputs!$E$34</f>
        <v>0</v>
      </c>
      <c r="Q208" s="215">
        <f>Q207*Q201*Inputs!$E$34</f>
        <v>0</v>
      </c>
      <c r="R208" s="215">
        <f>R207*R201*Inputs!$E$34</f>
        <v>0</v>
      </c>
      <c r="S208" s="215">
        <f>S207*S201*Inputs!$E$34</f>
        <v>0</v>
      </c>
      <c r="T208" s="215">
        <f>T207*T201*Inputs!$E$34</f>
        <v>0</v>
      </c>
      <c r="U208" s="215">
        <f>U207*U201*Inputs!$E$34</f>
        <v>0</v>
      </c>
      <c r="V208" s="215">
        <f>V207*V201*Inputs!$E$34</f>
        <v>0</v>
      </c>
      <c r="W208" s="215">
        <f>W207*W201*Inputs!$E$34</f>
        <v>0</v>
      </c>
      <c r="X208" s="215">
        <f>X207*X201*Inputs!$E$34</f>
        <v>0</v>
      </c>
      <c r="Y208" s="215">
        <f>Y207*Y201*Inputs!$E$34</f>
        <v>0</v>
      </c>
      <c r="Z208" s="215">
        <f>Z207*Z201*Inputs!$E$34</f>
        <v>0</v>
      </c>
      <c r="AA208" s="215">
        <f>AA207*AA201*Inputs!$E$34</f>
        <v>0</v>
      </c>
      <c r="AB208" s="215">
        <f>AB207*AB201*Inputs!$E$34</f>
        <v>0</v>
      </c>
      <c r="AC208" s="215">
        <f>AC207*AC201*Inputs!$E$34</f>
        <v>0</v>
      </c>
      <c r="AD208" s="215">
        <f>AD207*AD201*Inputs!$E$34</f>
        <v>0</v>
      </c>
      <c r="AE208" s="215">
        <f>AE207*AE201*Inputs!$E$34</f>
        <v>0</v>
      </c>
      <c r="AF208" s="215">
        <f>AF207*AF201*Inputs!$E$34</f>
        <v>0</v>
      </c>
      <c r="AG208" s="215">
        <f>AG207*AG201*Inputs!$E$34</f>
        <v>0</v>
      </c>
      <c r="AH208" s="215">
        <f>AH207*AH201*Inputs!$E$34</f>
        <v>0</v>
      </c>
      <c r="AI208" s="215">
        <f>AI207*AI201*Inputs!$E$34</f>
        <v>0</v>
      </c>
      <c r="AJ208" s="215">
        <f>AJ207*AJ201*Inputs!$E$34</f>
        <v>0</v>
      </c>
      <c r="AK208" s="215">
        <f>AK207*AK201*Inputs!$E$34</f>
        <v>0</v>
      </c>
      <c r="AL208" s="215">
        <f>AL207*AL201*Inputs!$E$34</f>
        <v>0</v>
      </c>
      <c r="AM208" s="215">
        <f>AM207*AM201*Inputs!$E$34</f>
        <v>0</v>
      </c>
      <c r="AN208" s="215">
        <f>AN207*AN201*Inputs!$E$34</f>
        <v>0</v>
      </c>
      <c r="AO208" s="215">
        <f>AO207*AO201*Inputs!$E$34</f>
        <v>0</v>
      </c>
      <c r="AP208" s="215">
        <f>AP207*AP201*Inputs!$E$34</f>
        <v>0</v>
      </c>
      <c r="AQ208" s="215">
        <f>AQ207*AQ201*Inputs!$E$34</f>
        <v>0</v>
      </c>
      <c r="AR208" s="215">
        <f>AR207*AR201*Inputs!$E$34</f>
        <v>0</v>
      </c>
      <c r="AS208" s="215">
        <f>AS207*AS201*Inputs!$E$34</f>
        <v>0</v>
      </c>
      <c r="AT208" s="215">
        <f>AT207*AT201*Inputs!$E$34</f>
        <v>0</v>
      </c>
      <c r="AU208" s="215">
        <f>AU207*AU201*Inputs!$E$34</f>
        <v>0</v>
      </c>
      <c r="AV208" s="215">
        <f>AV207*AV201*Inputs!$E$34</f>
        <v>0</v>
      </c>
      <c r="AW208" s="215">
        <f>AW207*AW201*Inputs!$E$34</f>
        <v>0</v>
      </c>
      <c r="AX208" s="215">
        <f>AX207*AX201*Inputs!$E$34</f>
        <v>0</v>
      </c>
      <c r="AY208" s="215">
        <f>AY207*AY201*Inputs!$E$34</f>
        <v>0</v>
      </c>
      <c r="AZ208" s="215">
        <f>AZ207*AZ201*Inputs!$E$34</f>
        <v>0</v>
      </c>
      <c r="BA208" s="215">
        <f>BA207*BA201*Inputs!$E$34</f>
        <v>0</v>
      </c>
      <c r="BB208" s="215">
        <f>BB207*BB201*Inputs!$E$34</f>
        <v>0</v>
      </c>
      <c r="BC208" s="215">
        <f>BC207*BC201*Inputs!$E$34</f>
        <v>0</v>
      </c>
      <c r="BD208" s="215">
        <f>BD207*BD201*Inputs!$E$34</f>
        <v>0</v>
      </c>
    </row>
    <row r="209" spans="3:56" ht="15" customHeight="1">
      <c r="C209" s="21"/>
      <c r="D209" s="9"/>
      <c r="E209" s="18"/>
      <c r="G209" s="146"/>
      <c r="H209" s="146"/>
      <c r="I209" s="145"/>
      <c r="J209" s="21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row>
    <row r="210" spans="3:56" ht="15" customHeight="1">
      <c r="C210" s="21">
        <f>SUM(G210:BD210)</f>
        <v>1228.3596730401362</v>
      </c>
      <c r="D210" s="112" t="s">
        <v>420</v>
      </c>
      <c r="E210" s="18" t="s">
        <v>333</v>
      </c>
      <c r="G210" s="113">
        <f t="shared" ref="G210:AL210" si="100">G112+G119+G139+G198+G208</f>
        <v>0</v>
      </c>
      <c r="H210" s="113">
        <f t="shared" si="100"/>
        <v>0</v>
      </c>
      <c r="I210" s="113">
        <f t="shared" si="100"/>
        <v>0</v>
      </c>
      <c r="J210" s="113">
        <f t="shared" si="100"/>
        <v>0</v>
      </c>
      <c r="K210" s="113">
        <f t="shared" si="100"/>
        <v>18.184860287999999</v>
      </c>
      <c r="L210" s="113">
        <f t="shared" si="100"/>
        <v>43.279967485439997</v>
      </c>
      <c r="M210" s="113">
        <f t="shared" si="100"/>
        <v>44.145566835148799</v>
      </c>
      <c r="N210" s="113">
        <f t="shared" si="100"/>
        <v>45.028478171851766</v>
      </c>
      <c r="O210" s="113">
        <f t="shared" si="100"/>
        <v>45.929047735288798</v>
      </c>
      <c r="P210" s="113">
        <f t="shared" si="100"/>
        <v>46.847628689994579</v>
      </c>
      <c r="Q210" s="113">
        <f t="shared" si="100"/>
        <v>47.784581263794472</v>
      </c>
      <c r="R210" s="113">
        <f t="shared" si="100"/>
        <v>48.740272889070354</v>
      </c>
      <c r="S210" s="113">
        <f t="shared" si="100"/>
        <v>49.715078346851776</v>
      </c>
      <c r="T210" s="113">
        <f t="shared" si="100"/>
        <v>50.709379913788801</v>
      </c>
      <c r="U210" s="113">
        <f t="shared" si="100"/>
        <v>51.723567512064584</v>
      </c>
      <c r="V210" s="113">
        <f t="shared" si="100"/>
        <v>52.75803886230586</v>
      </c>
      <c r="W210" s="113">
        <f t="shared" si="100"/>
        <v>53.813199639551982</v>
      </c>
      <c r="X210" s="113">
        <f t="shared" si="100"/>
        <v>54.88946363234303</v>
      </c>
      <c r="Y210" s="113">
        <f t="shared" si="100"/>
        <v>55.987252904989887</v>
      </c>
      <c r="Z210" s="113">
        <f t="shared" si="100"/>
        <v>57.106997963089682</v>
      </c>
      <c r="AA210" s="113">
        <f t="shared" si="100"/>
        <v>58.24913792235148</v>
      </c>
      <c r="AB210" s="113">
        <f t="shared" si="100"/>
        <v>59.414120680798504</v>
      </c>
      <c r="AC210" s="113">
        <f t="shared" si="100"/>
        <v>60.602403094414484</v>
      </c>
      <c r="AD210" s="113">
        <f t="shared" si="100"/>
        <v>61.814451156302759</v>
      </c>
      <c r="AE210" s="113">
        <f t="shared" si="100"/>
        <v>63.050740179428814</v>
      </c>
      <c r="AF210" s="113">
        <f t="shared" si="100"/>
        <v>64.311754983017394</v>
      </c>
      <c r="AG210" s="113">
        <f t="shared" si="100"/>
        <v>65.59799008267774</v>
      </c>
      <c r="AH210" s="113">
        <f t="shared" si="100"/>
        <v>28.675692807570552</v>
      </c>
      <c r="AI210" s="113">
        <f t="shared" si="100"/>
        <v>0</v>
      </c>
      <c r="AJ210" s="113">
        <f t="shared" si="100"/>
        <v>0</v>
      </c>
      <c r="AK210" s="113">
        <f t="shared" si="100"/>
        <v>0</v>
      </c>
      <c r="AL210" s="113">
        <f t="shared" si="100"/>
        <v>0</v>
      </c>
      <c r="AM210" s="113">
        <f t="shared" ref="AM210:BD210" si="101">AM112+AM119+AM139+AM198+AM208</f>
        <v>0</v>
      </c>
      <c r="AN210" s="113">
        <f t="shared" si="101"/>
        <v>0</v>
      </c>
      <c r="AO210" s="113">
        <f t="shared" si="101"/>
        <v>0</v>
      </c>
      <c r="AP210" s="113">
        <f t="shared" si="101"/>
        <v>0</v>
      </c>
      <c r="AQ210" s="113">
        <f t="shared" si="101"/>
        <v>0</v>
      </c>
      <c r="AR210" s="113">
        <f t="shared" si="101"/>
        <v>0</v>
      </c>
      <c r="AS210" s="113">
        <f t="shared" si="101"/>
        <v>0</v>
      </c>
      <c r="AT210" s="113">
        <f t="shared" si="101"/>
        <v>0</v>
      </c>
      <c r="AU210" s="113">
        <f t="shared" si="101"/>
        <v>0</v>
      </c>
      <c r="AV210" s="113">
        <f t="shared" si="101"/>
        <v>0</v>
      </c>
      <c r="AW210" s="113">
        <f t="shared" si="101"/>
        <v>0</v>
      </c>
      <c r="AX210" s="113">
        <f t="shared" si="101"/>
        <v>0</v>
      </c>
      <c r="AY210" s="113">
        <f t="shared" si="101"/>
        <v>0</v>
      </c>
      <c r="AZ210" s="113">
        <f t="shared" si="101"/>
        <v>0</v>
      </c>
      <c r="BA210" s="113">
        <f t="shared" si="101"/>
        <v>0</v>
      </c>
      <c r="BB210" s="113">
        <f t="shared" si="101"/>
        <v>0</v>
      </c>
      <c r="BC210" s="113">
        <f t="shared" si="101"/>
        <v>0</v>
      </c>
      <c r="BD210" s="113">
        <f t="shared" si="101"/>
        <v>0</v>
      </c>
    </row>
    <row r="211" spans="3:56" ht="15" customHeight="1" thickBot="1">
      <c r="D211" s="112"/>
      <c r="E211" s="18"/>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row>
    <row r="212" spans="3:56" ht="15" customHeight="1">
      <c r="C212" s="130"/>
      <c r="D212" s="131"/>
      <c r="E212" s="130"/>
      <c r="F212" s="130"/>
      <c r="G212" s="130"/>
      <c r="H212" s="130"/>
      <c r="I212" s="130"/>
      <c r="J212" s="130"/>
      <c r="K212" s="130"/>
      <c r="L212" s="130"/>
      <c r="M212" s="130"/>
      <c r="N212" s="130"/>
      <c r="O212" s="130"/>
      <c r="P212" s="130"/>
      <c r="Q212" s="130"/>
      <c r="R212" s="130"/>
      <c r="S212" s="130"/>
      <c r="T212" s="130"/>
      <c r="U212" s="130"/>
      <c r="V212" s="130"/>
      <c r="W212" s="130"/>
      <c r="X212" s="130"/>
      <c r="Y212" s="130"/>
      <c r="Z212" s="130"/>
      <c r="AA212" s="130"/>
      <c r="AB212" s="130"/>
      <c r="AC212" s="130"/>
      <c r="AD212" s="130"/>
      <c r="AE212" s="130"/>
      <c r="AF212" s="130"/>
      <c r="AG212" s="130"/>
      <c r="AH212" s="130"/>
      <c r="AI212" s="130"/>
      <c r="AJ212" s="130"/>
      <c r="AK212" s="130"/>
      <c r="AL212" s="130"/>
      <c r="AM212" s="130"/>
      <c r="AN212" s="130"/>
      <c r="AO212" s="130"/>
      <c r="AP212" s="130"/>
      <c r="AQ212" s="130"/>
      <c r="AR212" s="130"/>
      <c r="AS212" s="130"/>
      <c r="AT212" s="130"/>
      <c r="AU212" s="130"/>
      <c r="AV212" s="130"/>
      <c r="AW212" s="130"/>
      <c r="AX212" s="130"/>
      <c r="AY212" s="130"/>
      <c r="AZ212" s="130"/>
      <c r="BA212" s="130"/>
      <c r="BB212" s="130"/>
      <c r="BC212" s="130"/>
      <c r="BD212" s="130"/>
    </row>
    <row r="213" spans="3:56" ht="15" customHeight="1">
      <c r="D213" s="213" t="s">
        <v>421</v>
      </c>
      <c r="E213" s="18"/>
    </row>
    <row r="214" spans="3:56" ht="15" customHeight="1">
      <c r="D214" s="213"/>
      <c r="E214" s="18"/>
    </row>
    <row r="215" spans="3:56" ht="15" customHeight="1">
      <c r="C215" s="21">
        <f>SUM(G215:BD215)</f>
        <v>8103.8960573885061</v>
      </c>
      <c r="D215" s="11" t="s">
        <v>319</v>
      </c>
      <c r="E215" s="18" t="s">
        <v>333</v>
      </c>
      <c r="G215" s="21">
        <f t="shared" ref="G215:AL215" si="102">G51 - SUM(G52:G55) - G56 - (G66 + G78 + G79 + G80)</f>
        <v>-20</v>
      </c>
      <c r="H215" s="21">
        <f t="shared" si="102"/>
        <v>-20.399999999999999</v>
      </c>
      <c r="I215" s="21">
        <f t="shared" si="102"/>
        <v>-78.03</v>
      </c>
      <c r="J215" s="21">
        <f t="shared" si="102"/>
        <v>-318.36239999999998</v>
      </c>
      <c r="K215" s="21">
        <f t="shared" si="102"/>
        <v>64.458835128000032</v>
      </c>
      <c r="L215" s="21">
        <f t="shared" si="102"/>
        <v>302.46293603664009</v>
      </c>
      <c r="M215" s="21">
        <f t="shared" si="102"/>
        <v>308.51219475737287</v>
      </c>
      <c r="N215" s="21">
        <f t="shared" si="102"/>
        <v>314.6824386525202</v>
      </c>
      <c r="O215" s="21">
        <f t="shared" si="102"/>
        <v>320.97608742557065</v>
      </c>
      <c r="P215" s="21">
        <f t="shared" si="102"/>
        <v>327.3956091740821</v>
      </c>
      <c r="Q215" s="21">
        <f t="shared" si="102"/>
        <v>333.94352135756378</v>
      </c>
      <c r="R215" s="21">
        <f t="shared" si="102"/>
        <v>340.62239178471492</v>
      </c>
      <c r="S215" s="21">
        <f t="shared" si="102"/>
        <v>347.43483962040938</v>
      </c>
      <c r="T215" s="21">
        <f t="shared" si="102"/>
        <v>354.38353641281748</v>
      </c>
      <c r="U215" s="21">
        <f t="shared" si="102"/>
        <v>361.47120714107388</v>
      </c>
      <c r="V215" s="21">
        <f t="shared" si="102"/>
        <v>368.70063128389523</v>
      </c>
      <c r="W215" s="21">
        <f t="shared" si="102"/>
        <v>376.07464390957324</v>
      </c>
      <c r="X215" s="21">
        <f t="shared" si="102"/>
        <v>383.59613678776481</v>
      </c>
      <c r="Y215" s="21">
        <f t="shared" si="102"/>
        <v>388.99584958419416</v>
      </c>
      <c r="Z215" s="21">
        <f t="shared" si="102"/>
        <v>396.77037489127611</v>
      </c>
      <c r="AA215" s="21">
        <f t="shared" si="102"/>
        <v>404.69341054666546</v>
      </c>
      <c r="AB215" s="21">
        <f t="shared" si="102"/>
        <v>412.76557211741851</v>
      </c>
      <c r="AC215" s="21">
        <f t="shared" si="102"/>
        <v>420.98614750715677</v>
      </c>
      <c r="AD215" s="21">
        <f t="shared" si="102"/>
        <v>425.48843927095157</v>
      </c>
      <c r="AE215" s="21">
        <f t="shared" si="102"/>
        <v>433.91302358989412</v>
      </c>
      <c r="AF215" s="21">
        <f t="shared" si="102"/>
        <v>442.44814854725649</v>
      </c>
      <c r="AG215" s="21">
        <f t="shared" si="102"/>
        <v>484.48047412544298</v>
      </c>
      <c r="AH215" s="21">
        <f t="shared" si="102"/>
        <v>225.9440736792433</v>
      </c>
      <c r="AI215" s="21">
        <f t="shared" si="102"/>
        <v>-0.51206594299233643</v>
      </c>
      <c r="AJ215" s="21">
        <f t="shared" si="102"/>
        <v>0</v>
      </c>
      <c r="AK215" s="21">
        <f t="shared" si="102"/>
        <v>0</v>
      </c>
      <c r="AL215" s="21">
        <f t="shared" si="102"/>
        <v>0</v>
      </c>
      <c r="AM215" s="21">
        <f t="shared" ref="AM215:BD215" si="103">AM51 - SUM(AM52:AM55) - AM56 - (AM66 + AM78 + AM79 + AM80)</f>
        <v>0</v>
      </c>
      <c r="AN215" s="21">
        <f t="shared" si="103"/>
        <v>0</v>
      </c>
      <c r="AO215" s="21">
        <f t="shared" si="103"/>
        <v>0</v>
      </c>
      <c r="AP215" s="21">
        <f t="shared" si="103"/>
        <v>0</v>
      </c>
      <c r="AQ215" s="21">
        <f t="shared" si="103"/>
        <v>0</v>
      </c>
      <c r="AR215" s="21">
        <f t="shared" si="103"/>
        <v>0</v>
      </c>
      <c r="AS215" s="21">
        <f t="shared" si="103"/>
        <v>0</v>
      </c>
      <c r="AT215" s="21">
        <f t="shared" si="103"/>
        <v>0</v>
      </c>
      <c r="AU215" s="21">
        <f t="shared" si="103"/>
        <v>0</v>
      </c>
      <c r="AV215" s="21">
        <f t="shared" si="103"/>
        <v>0</v>
      </c>
      <c r="AW215" s="21">
        <f t="shared" si="103"/>
        <v>0</v>
      </c>
      <c r="AX215" s="21">
        <f t="shared" si="103"/>
        <v>0</v>
      </c>
      <c r="AY215" s="21">
        <f t="shared" si="103"/>
        <v>0</v>
      </c>
      <c r="AZ215" s="21">
        <f t="shared" si="103"/>
        <v>0</v>
      </c>
      <c r="BA215" s="21">
        <f t="shared" si="103"/>
        <v>0</v>
      </c>
      <c r="BB215" s="21">
        <f t="shared" si="103"/>
        <v>0</v>
      </c>
      <c r="BC215" s="21">
        <f t="shared" si="103"/>
        <v>0</v>
      </c>
      <c r="BD215" s="21">
        <f t="shared" si="103"/>
        <v>0</v>
      </c>
    </row>
    <row r="216" spans="3:56" ht="15" customHeight="1">
      <c r="C216" s="21">
        <f>SUM(G216:BD216)</f>
        <v>61.422719040000068</v>
      </c>
      <c r="D216" s="11" t="s">
        <v>422</v>
      </c>
      <c r="E216" s="18" t="s">
        <v>333</v>
      </c>
      <c r="G216" s="21">
        <f t="shared" ref="G216:AL216" si="104">G101</f>
        <v>0</v>
      </c>
      <c r="H216" s="21">
        <f t="shared" si="104"/>
        <v>0</v>
      </c>
      <c r="I216" s="21">
        <f t="shared" si="104"/>
        <v>-39.015000000000001</v>
      </c>
      <c r="J216" s="21">
        <f t="shared" si="104"/>
        <v>-159.18119999999999</v>
      </c>
      <c r="K216" s="21">
        <f t="shared" si="104"/>
        <v>58.623626880000003</v>
      </c>
      <c r="L216" s="21">
        <f t="shared" si="104"/>
        <v>55.273705344000007</v>
      </c>
      <c r="M216" s="21">
        <f t="shared" si="104"/>
        <v>51.923783808000003</v>
      </c>
      <c r="N216" s="21">
        <f t="shared" si="104"/>
        <v>48.573862272000007</v>
      </c>
      <c r="O216" s="21">
        <f t="shared" si="104"/>
        <v>45.22394073600001</v>
      </c>
      <c r="P216" s="21">
        <f t="shared" si="104"/>
        <v>0</v>
      </c>
      <c r="Q216" s="21">
        <f t="shared" si="104"/>
        <v>0</v>
      </c>
      <c r="R216" s="21">
        <f t="shared" si="104"/>
        <v>0</v>
      </c>
      <c r="S216" s="21">
        <f t="shared" si="104"/>
        <v>0</v>
      </c>
      <c r="T216" s="21">
        <f t="shared" si="104"/>
        <v>0</v>
      </c>
      <c r="U216" s="21">
        <f t="shared" si="104"/>
        <v>0</v>
      </c>
      <c r="V216" s="21">
        <f t="shared" si="104"/>
        <v>0</v>
      </c>
      <c r="W216" s="21">
        <f t="shared" si="104"/>
        <v>0</v>
      </c>
      <c r="X216" s="21">
        <f t="shared" si="104"/>
        <v>0</v>
      </c>
      <c r="Y216" s="21">
        <f t="shared" si="104"/>
        <v>0</v>
      </c>
      <c r="Z216" s="21">
        <f t="shared" si="104"/>
        <v>0</v>
      </c>
      <c r="AA216" s="21">
        <f t="shared" si="104"/>
        <v>0</v>
      </c>
      <c r="AB216" s="21">
        <f t="shared" si="104"/>
        <v>0</v>
      </c>
      <c r="AC216" s="21">
        <f t="shared" si="104"/>
        <v>0</v>
      </c>
      <c r="AD216" s="21">
        <f t="shared" si="104"/>
        <v>0</v>
      </c>
      <c r="AE216" s="21">
        <f t="shared" si="104"/>
        <v>0</v>
      </c>
      <c r="AF216" s="21">
        <f t="shared" si="104"/>
        <v>0</v>
      </c>
      <c r="AG216" s="21">
        <f t="shared" si="104"/>
        <v>0</v>
      </c>
      <c r="AH216" s="21">
        <f t="shared" si="104"/>
        <v>0</v>
      </c>
      <c r="AI216" s="21">
        <f t="shared" si="104"/>
        <v>0</v>
      </c>
      <c r="AJ216" s="21">
        <f t="shared" si="104"/>
        <v>0</v>
      </c>
      <c r="AK216" s="21">
        <f t="shared" si="104"/>
        <v>0</v>
      </c>
      <c r="AL216" s="21">
        <f t="shared" si="104"/>
        <v>0</v>
      </c>
      <c r="AM216" s="21">
        <f t="shared" ref="AM216:BD216" si="105">AM101</f>
        <v>0</v>
      </c>
      <c r="AN216" s="21">
        <f t="shared" si="105"/>
        <v>0</v>
      </c>
      <c r="AO216" s="21">
        <f t="shared" si="105"/>
        <v>0</v>
      </c>
      <c r="AP216" s="21">
        <f t="shared" si="105"/>
        <v>0</v>
      </c>
      <c r="AQ216" s="21">
        <f t="shared" si="105"/>
        <v>0</v>
      </c>
      <c r="AR216" s="21">
        <f t="shared" si="105"/>
        <v>0</v>
      </c>
      <c r="AS216" s="21">
        <f t="shared" si="105"/>
        <v>0</v>
      </c>
      <c r="AT216" s="21">
        <f t="shared" si="105"/>
        <v>0</v>
      </c>
      <c r="AU216" s="21">
        <f t="shared" si="105"/>
        <v>0</v>
      </c>
      <c r="AV216" s="21">
        <f t="shared" si="105"/>
        <v>0</v>
      </c>
      <c r="AW216" s="21">
        <f t="shared" si="105"/>
        <v>0</v>
      </c>
      <c r="AX216" s="21">
        <f t="shared" si="105"/>
        <v>0</v>
      </c>
      <c r="AY216" s="21">
        <f t="shared" si="105"/>
        <v>0</v>
      </c>
      <c r="AZ216" s="21">
        <f t="shared" si="105"/>
        <v>0</v>
      </c>
      <c r="BA216" s="21">
        <f t="shared" si="105"/>
        <v>0</v>
      </c>
      <c r="BB216" s="21">
        <f t="shared" si="105"/>
        <v>0</v>
      </c>
      <c r="BC216" s="21">
        <f t="shared" si="105"/>
        <v>0</v>
      </c>
      <c r="BD216" s="21">
        <f t="shared" si="105"/>
        <v>0</v>
      </c>
    </row>
    <row r="217" spans="3:56" ht="15" customHeight="1">
      <c r="C217" s="21">
        <f>SUM(G217:BD217)</f>
        <v>1228.3596730401362</v>
      </c>
      <c r="D217" s="11" t="s">
        <v>423</v>
      </c>
      <c r="E217" s="18" t="s">
        <v>333</v>
      </c>
      <c r="G217" s="21">
        <f>G112+G119+G139+G198</f>
        <v>0</v>
      </c>
      <c r="H217" s="21">
        <f t="shared" ref="H217:BD217" si="106">H112+H119+H139+H198</f>
        <v>0</v>
      </c>
      <c r="I217" s="21">
        <f t="shared" si="106"/>
        <v>0</v>
      </c>
      <c r="J217" s="21">
        <f t="shared" si="106"/>
        <v>0</v>
      </c>
      <c r="K217" s="21">
        <f t="shared" si="106"/>
        <v>18.184860287999999</v>
      </c>
      <c r="L217" s="21">
        <f t="shared" si="106"/>
        <v>43.279967485439997</v>
      </c>
      <c r="M217" s="21">
        <f t="shared" si="106"/>
        <v>44.145566835148799</v>
      </c>
      <c r="N217" s="21">
        <f t="shared" si="106"/>
        <v>45.028478171851766</v>
      </c>
      <c r="O217" s="21">
        <f t="shared" si="106"/>
        <v>45.929047735288798</v>
      </c>
      <c r="P217" s="21">
        <f t="shared" si="106"/>
        <v>46.847628689994579</v>
      </c>
      <c r="Q217" s="21">
        <f t="shared" si="106"/>
        <v>47.784581263794472</v>
      </c>
      <c r="R217" s="21">
        <f t="shared" si="106"/>
        <v>48.740272889070354</v>
      </c>
      <c r="S217" s="21">
        <f t="shared" si="106"/>
        <v>49.715078346851776</v>
      </c>
      <c r="T217" s="21">
        <f t="shared" si="106"/>
        <v>50.709379913788801</v>
      </c>
      <c r="U217" s="21">
        <f t="shared" si="106"/>
        <v>51.723567512064584</v>
      </c>
      <c r="V217" s="21">
        <f t="shared" si="106"/>
        <v>52.75803886230586</v>
      </c>
      <c r="W217" s="21">
        <f t="shared" si="106"/>
        <v>53.813199639551982</v>
      </c>
      <c r="X217" s="21">
        <f t="shared" si="106"/>
        <v>54.88946363234303</v>
      </c>
      <c r="Y217" s="21">
        <f t="shared" si="106"/>
        <v>55.987252904989887</v>
      </c>
      <c r="Z217" s="21">
        <f t="shared" si="106"/>
        <v>57.106997963089682</v>
      </c>
      <c r="AA217" s="21">
        <f t="shared" si="106"/>
        <v>58.24913792235148</v>
      </c>
      <c r="AB217" s="21">
        <f t="shared" si="106"/>
        <v>59.414120680798504</v>
      </c>
      <c r="AC217" s="21">
        <f t="shared" si="106"/>
        <v>60.602403094414484</v>
      </c>
      <c r="AD217" s="21">
        <f t="shared" si="106"/>
        <v>61.814451156302759</v>
      </c>
      <c r="AE217" s="21">
        <f t="shared" si="106"/>
        <v>63.050740179428814</v>
      </c>
      <c r="AF217" s="21">
        <f t="shared" si="106"/>
        <v>64.311754983017394</v>
      </c>
      <c r="AG217" s="21">
        <f t="shared" si="106"/>
        <v>65.59799008267774</v>
      </c>
      <c r="AH217" s="21">
        <f t="shared" si="106"/>
        <v>28.675692807570552</v>
      </c>
      <c r="AI217" s="21">
        <f t="shared" si="106"/>
        <v>0</v>
      </c>
      <c r="AJ217" s="21">
        <f t="shared" si="106"/>
        <v>0</v>
      </c>
      <c r="AK217" s="21">
        <f t="shared" si="106"/>
        <v>0</v>
      </c>
      <c r="AL217" s="21">
        <f t="shared" si="106"/>
        <v>0</v>
      </c>
      <c r="AM217" s="21">
        <f t="shared" si="106"/>
        <v>0</v>
      </c>
      <c r="AN217" s="21">
        <f t="shared" si="106"/>
        <v>0</v>
      </c>
      <c r="AO217" s="21">
        <f t="shared" si="106"/>
        <v>0</v>
      </c>
      <c r="AP217" s="21">
        <f t="shared" si="106"/>
        <v>0</v>
      </c>
      <c r="AQ217" s="21">
        <f t="shared" si="106"/>
        <v>0</v>
      </c>
      <c r="AR217" s="21">
        <f t="shared" si="106"/>
        <v>0</v>
      </c>
      <c r="AS217" s="21">
        <f t="shared" si="106"/>
        <v>0</v>
      </c>
      <c r="AT217" s="21">
        <f t="shared" si="106"/>
        <v>0</v>
      </c>
      <c r="AU217" s="21">
        <f t="shared" si="106"/>
        <v>0</v>
      </c>
      <c r="AV217" s="21">
        <f t="shared" si="106"/>
        <v>0</v>
      </c>
      <c r="AW217" s="21">
        <f t="shared" si="106"/>
        <v>0</v>
      </c>
      <c r="AX217" s="21">
        <f t="shared" si="106"/>
        <v>0</v>
      </c>
      <c r="AY217" s="21">
        <f t="shared" si="106"/>
        <v>0</v>
      </c>
      <c r="AZ217" s="21">
        <f t="shared" si="106"/>
        <v>0</v>
      </c>
      <c r="BA217" s="21">
        <f t="shared" si="106"/>
        <v>0</v>
      </c>
      <c r="BB217" s="21">
        <f t="shared" si="106"/>
        <v>0</v>
      </c>
      <c r="BC217" s="21">
        <f t="shared" si="106"/>
        <v>0</v>
      </c>
      <c r="BD217" s="21">
        <f t="shared" si="106"/>
        <v>0</v>
      </c>
    </row>
    <row r="218" spans="3:56" ht="15" customHeight="1">
      <c r="C218" s="21">
        <f>SUM(G218:BD218)</f>
        <v>6814.1136653083704</v>
      </c>
      <c r="D218" s="11" t="s">
        <v>424</v>
      </c>
      <c r="E218" s="18" t="s">
        <v>333</v>
      </c>
      <c r="G218" s="21">
        <f>G215 - G216 - G217</f>
        <v>-20</v>
      </c>
      <c r="H218" s="21">
        <f t="shared" ref="H218:BD218" si="107">H215 - H216 - H217</f>
        <v>-20.399999999999999</v>
      </c>
      <c r="I218" s="21">
        <f t="shared" si="107"/>
        <v>-39.015000000000001</v>
      </c>
      <c r="J218" s="21">
        <f t="shared" si="107"/>
        <v>-159.18119999999999</v>
      </c>
      <c r="K218" s="21">
        <f t="shared" si="107"/>
        <v>-12.34965203999997</v>
      </c>
      <c r="L218" s="21">
        <f t="shared" si="107"/>
        <v>203.90926320720007</v>
      </c>
      <c r="M218" s="21">
        <f t="shared" si="107"/>
        <v>212.44284411422407</v>
      </c>
      <c r="N218" s="21">
        <f t="shared" si="107"/>
        <v>221.08009820866846</v>
      </c>
      <c r="O218" s="21">
        <f t="shared" si="107"/>
        <v>229.82309895428182</v>
      </c>
      <c r="P218" s="21">
        <f t="shared" si="107"/>
        <v>280.54798048408753</v>
      </c>
      <c r="Q218" s="21">
        <f t="shared" si="107"/>
        <v>286.15894009376933</v>
      </c>
      <c r="R218" s="21">
        <f t="shared" si="107"/>
        <v>291.88211889564457</v>
      </c>
      <c r="S218" s="21">
        <f t="shared" si="107"/>
        <v>297.71976127355759</v>
      </c>
      <c r="T218" s="21">
        <f t="shared" si="107"/>
        <v>303.6741564990287</v>
      </c>
      <c r="U218" s="21">
        <f t="shared" si="107"/>
        <v>309.74763962900931</v>
      </c>
      <c r="V218" s="21">
        <f t="shared" si="107"/>
        <v>315.94259242158938</v>
      </c>
      <c r="W218" s="21">
        <f t="shared" si="107"/>
        <v>322.26144427002123</v>
      </c>
      <c r="X218" s="21">
        <f t="shared" si="107"/>
        <v>328.70667315542175</v>
      </c>
      <c r="Y218" s="21">
        <f t="shared" si="107"/>
        <v>333.00859667920429</v>
      </c>
      <c r="Z218" s="21">
        <f t="shared" si="107"/>
        <v>339.66337692818644</v>
      </c>
      <c r="AA218" s="21">
        <f t="shared" si="107"/>
        <v>346.44427262431395</v>
      </c>
      <c r="AB218" s="21">
        <f t="shared" si="107"/>
        <v>353.35145143661998</v>
      </c>
      <c r="AC218" s="21">
        <f t="shared" si="107"/>
        <v>360.38374441274232</v>
      </c>
      <c r="AD218" s="21">
        <f t="shared" si="107"/>
        <v>363.67398811464881</v>
      </c>
      <c r="AE218" s="21">
        <f t="shared" si="107"/>
        <v>370.8622834104653</v>
      </c>
      <c r="AF218" s="21">
        <f t="shared" si="107"/>
        <v>378.13639356423909</v>
      </c>
      <c r="AG218" s="21">
        <f t="shared" si="107"/>
        <v>418.88248404276521</v>
      </c>
      <c r="AH218" s="21">
        <f t="shared" si="107"/>
        <v>197.26838087167275</v>
      </c>
      <c r="AI218" s="21">
        <f t="shared" si="107"/>
        <v>-0.51206594299233643</v>
      </c>
      <c r="AJ218" s="21">
        <f t="shared" si="107"/>
        <v>0</v>
      </c>
      <c r="AK218" s="21">
        <f t="shared" si="107"/>
        <v>0</v>
      </c>
      <c r="AL218" s="21">
        <f t="shared" si="107"/>
        <v>0</v>
      </c>
      <c r="AM218" s="21">
        <f t="shared" si="107"/>
        <v>0</v>
      </c>
      <c r="AN218" s="21">
        <f t="shared" si="107"/>
        <v>0</v>
      </c>
      <c r="AO218" s="21">
        <f t="shared" si="107"/>
        <v>0</v>
      </c>
      <c r="AP218" s="21">
        <f t="shared" si="107"/>
        <v>0</v>
      </c>
      <c r="AQ218" s="21">
        <f t="shared" si="107"/>
        <v>0</v>
      </c>
      <c r="AR218" s="21">
        <f t="shared" si="107"/>
        <v>0</v>
      </c>
      <c r="AS218" s="21">
        <f t="shared" si="107"/>
        <v>0</v>
      </c>
      <c r="AT218" s="21">
        <f t="shared" si="107"/>
        <v>0</v>
      </c>
      <c r="AU218" s="21">
        <f t="shared" si="107"/>
        <v>0</v>
      </c>
      <c r="AV218" s="21">
        <f t="shared" si="107"/>
        <v>0</v>
      </c>
      <c r="AW218" s="21">
        <f t="shared" si="107"/>
        <v>0</v>
      </c>
      <c r="AX218" s="21">
        <f t="shared" si="107"/>
        <v>0</v>
      </c>
      <c r="AY218" s="21">
        <f t="shared" si="107"/>
        <v>0</v>
      </c>
      <c r="AZ218" s="21">
        <f t="shared" si="107"/>
        <v>0</v>
      </c>
      <c r="BA218" s="21">
        <f t="shared" si="107"/>
        <v>0</v>
      </c>
      <c r="BB218" s="21">
        <f t="shared" si="107"/>
        <v>0</v>
      </c>
      <c r="BC218" s="21">
        <f t="shared" si="107"/>
        <v>0</v>
      </c>
      <c r="BD218" s="21">
        <f t="shared" si="107"/>
        <v>0</v>
      </c>
    </row>
    <row r="219" spans="3:56" ht="15" customHeight="1">
      <c r="C219" s="21">
        <f>SUM(G219:BD219)</f>
        <v>222066.35191631885</v>
      </c>
      <c r="D219" s="11" t="s">
        <v>425</v>
      </c>
      <c r="E219" s="18" t="s">
        <v>333</v>
      </c>
      <c r="G219" s="21">
        <f>SUM($G$218:G218)</f>
        <v>-20</v>
      </c>
      <c r="H219" s="21">
        <f>SUM($G$218:H218)</f>
        <v>-40.4</v>
      </c>
      <c r="I219" s="21">
        <f>SUM($G$218:I218)</f>
        <v>-79.414999999999992</v>
      </c>
      <c r="J219" s="21">
        <f>SUM($G$218:J218)</f>
        <v>-238.59619999999998</v>
      </c>
      <c r="K219" s="21">
        <f>SUM($G$218:K218)</f>
        <v>-250.94585203999995</v>
      </c>
      <c r="L219" s="21">
        <f>SUM($G$218:L218)</f>
        <v>-47.036588832799879</v>
      </c>
      <c r="M219" s="21">
        <f>SUM($G$218:M218)</f>
        <v>165.40625528142419</v>
      </c>
      <c r="N219" s="21">
        <f>SUM($G$218:N218)</f>
        <v>386.48635349009265</v>
      </c>
      <c r="O219" s="21">
        <f>SUM($G$218:O218)</f>
        <v>616.30945244437453</v>
      </c>
      <c r="P219" s="21">
        <f>SUM($G$218:P218)</f>
        <v>896.857432928462</v>
      </c>
      <c r="Q219" s="21">
        <f>SUM($G$218:Q218)</f>
        <v>1183.0163730222314</v>
      </c>
      <c r="R219" s="21">
        <f>SUM($G$218:R218)</f>
        <v>1474.8984919178761</v>
      </c>
      <c r="S219" s="21">
        <f>SUM($G$218:S218)</f>
        <v>1772.6182531914337</v>
      </c>
      <c r="T219" s="21">
        <f>SUM($G$218:T218)</f>
        <v>2076.2924096904626</v>
      </c>
      <c r="U219" s="21">
        <f>SUM($G$218:U218)</f>
        <v>2386.040049319472</v>
      </c>
      <c r="V219" s="21">
        <f>SUM($G$218:V218)</f>
        <v>2701.9826417410613</v>
      </c>
      <c r="W219" s="21">
        <f>SUM($G$218:W218)</f>
        <v>3024.2440860110828</v>
      </c>
      <c r="X219" s="21">
        <f>SUM($G$218:X218)</f>
        <v>3352.9507591665047</v>
      </c>
      <c r="Y219" s="21">
        <f>SUM($G$218:Y218)</f>
        <v>3685.9593558457091</v>
      </c>
      <c r="Z219" s="21">
        <f>SUM($G$218:Z218)</f>
        <v>4025.6227327738957</v>
      </c>
      <c r="AA219" s="21">
        <f>SUM($G$218:AA218)</f>
        <v>4372.0670053982094</v>
      </c>
      <c r="AB219" s="21">
        <f>SUM($G$218:AB218)</f>
        <v>4725.4184568348292</v>
      </c>
      <c r="AC219" s="21">
        <f>SUM($G$218:AC218)</f>
        <v>5085.8022012475712</v>
      </c>
      <c r="AD219" s="21">
        <f>SUM($G$218:AD218)</f>
        <v>5449.4761893622199</v>
      </c>
      <c r="AE219" s="21">
        <f>SUM($G$218:AE218)</f>
        <v>5820.3384727726852</v>
      </c>
      <c r="AF219" s="21">
        <f>SUM($G$218:AF218)</f>
        <v>6198.4748663369246</v>
      </c>
      <c r="AG219" s="21">
        <f>SUM($G$218:AG218)</f>
        <v>6617.3573503796897</v>
      </c>
      <c r="AH219" s="21">
        <f>SUM($G$218:AH218)</f>
        <v>6814.6257312513626</v>
      </c>
      <c r="AI219" s="21">
        <f>SUM($G$218:AI218)</f>
        <v>6814.1136653083704</v>
      </c>
      <c r="AJ219" s="21">
        <f>SUM($G$218:AJ218)</f>
        <v>6814.1136653083704</v>
      </c>
      <c r="AK219" s="21">
        <f>SUM($G$218:AK218)</f>
        <v>6814.1136653083704</v>
      </c>
      <c r="AL219" s="21">
        <f>SUM($G$218:AL218)</f>
        <v>6814.1136653083704</v>
      </c>
      <c r="AM219" s="21">
        <f>SUM($G$218:AM218)</f>
        <v>6814.1136653083704</v>
      </c>
      <c r="AN219" s="21">
        <f>SUM($G$218:AN218)</f>
        <v>6814.1136653083704</v>
      </c>
      <c r="AO219" s="21">
        <f>SUM($G$218:AO218)</f>
        <v>6814.1136653083704</v>
      </c>
      <c r="AP219" s="21">
        <f>SUM($G$218:AP218)</f>
        <v>6814.1136653083704</v>
      </c>
      <c r="AQ219" s="21">
        <f>SUM($G$218:AQ218)</f>
        <v>6814.1136653083704</v>
      </c>
      <c r="AR219" s="21">
        <f>SUM($G$218:AR218)</f>
        <v>6814.1136653083704</v>
      </c>
      <c r="AS219" s="21">
        <f>SUM($G$218:AS218)</f>
        <v>6814.1136653083704</v>
      </c>
      <c r="AT219" s="21">
        <f>SUM($G$218:AT218)</f>
        <v>6814.1136653083704</v>
      </c>
      <c r="AU219" s="21">
        <f>SUM($G$218:AU218)</f>
        <v>6814.1136653083704</v>
      </c>
      <c r="AV219" s="21">
        <f>SUM($G$218:AV218)</f>
        <v>6814.1136653083704</v>
      </c>
      <c r="AW219" s="21">
        <f>SUM($G$218:AW218)</f>
        <v>6814.1136653083704</v>
      </c>
      <c r="AX219" s="21">
        <f>SUM($G$218:AX218)</f>
        <v>6814.1136653083704</v>
      </c>
      <c r="AY219" s="21">
        <f>SUM($G$218:AY218)</f>
        <v>6814.1136653083704</v>
      </c>
      <c r="AZ219" s="21">
        <f>SUM($G$218:AZ218)</f>
        <v>6814.1136653083704</v>
      </c>
      <c r="BA219" s="21">
        <f>SUM($G$218:BA218)</f>
        <v>6814.1136653083704</v>
      </c>
      <c r="BB219" s="21">
        <f>SUM($G$218:BB218)</f>
        <v>6814.1136653083704</v>
      </c>
      <c r="BC219" s="21">
        <f>SUM($G$218:BC218)</f>
        <v>6814.1136653083704</v>
      </c>
      <c r="BD219" s="21">
        <f>SUM($G$218:BD218)</f>
        <v>6814.1136653083704</v>
      </c>
    </row>
    <row r="220" spans="3:56" ht="15" customHeight="1">
      <c r="C220" s="21"/>
      <c r="E220" s="18"/>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row>
    <row r="221" spans="3:56" ht="15" customHeight="1">
      <c r="C221" s="21"/>
      <c r="D221" s="11" t="s">
        <v>426</v>
      </c>
      <c r="E221" s="159" t="s">
        <v>427</v>
      </c>
      <c r="G221" s="21">
        <f>(G219 &gt; 0) * 1</f>
        <v>0</v>
      </c>
      <c r="H221" s="21">
        <f t="shared" ref="H221:BD221" si="108">(H219 &gt; 0) * 1</f>
        <v>0</v>
      </c>
      <c r="I221" s="21">
        <f t="shared" si="108"/>
        <v>0</v>
      </c>
      <c r="J221" s="21">
        <f t="shared" si="108"/>
        <v>0</v>
      </c>
      <c r="K221" s="21">
        <f t="shared" si="108"/>
        <v>0</v>
      </c>
      <c r="L221" s="21">
        <f t="shared" si="108"/>
        <v>0</v>
      </c>
      <c r="M221" s="21">
        <f t="shared" si="108"/>
        <v>1</v>
      </c>
      <c r="N221" s="21">
        <f t="shared" si="108"/>
        <v>1</v>
      </c>
      <c r="O221" s="21">
        <f t="shared" si="108"/>
        <v>1</v>
      </c>
      <c r="P221" s="21">
        <f t="shared" si="108"/>
        <v>1</v>
      </c>
      <c r="Q221" s="21">
        <f t="shared" si="108"/>
        <v>1</v>
      </c>
      <c r="R221" s="21">
        <f t="shared" si="108"/>
        <v>1</v>
      </c>
      <c r="S221" s="21">
        <f t="shared" si="108"/>
        <v>1</v>
      </c>
      <c r="T221" s="21">
        <f t="shared" si="108"/>
        <v>1</v>
      </c>
      <c r="U221" s="21">
        <f t="shared" si="108"/>
        <v>1</v>
      </c>
      <c r="V221" s="21">
        <f t="shared" si="108"/>
        <v>1</v>
      </c>
      <c r="W221" s="21">
        <f t="shared" si="108"/>
        <v>1</v>
      </c>
      <c r="X221" s="21">
        <f t="shared" si="108"/>
        <v>1</v>
      </c>
      <c r="Y221" s="21">
        <f t="shared" si="108"/>
        <v>1</v>
      </c>
      <c r="Z221" s="21">
        <f t="shared" si="108"/>
        <v>1</v>
      </c>
      <c r="AA221" s="21">
        <f t="shared" si="108"/>
        <v>1</v>
      </c>
      <c r="AB221" s="21">
        <f t="shared" si="108"/>
        <v>1</v>
      </c>
      <c r="AC221" s="21">
        <f t="shared" si="108"/>
        <v>1</v>
      </c>
      <c r="AD221" s="21">
        <f t="shared" si="108"/>
        <v>1</v>
      </c>
      <c r="AE221" s="21">
        <f t="shared" si="108"/>
        <v>1</v>
      </c>
      <c r="AF221" s="21">
        <f t="shared" si="108"/>
        <v>1</v>
      </c>
      <c r="AG221" s="21">
        <f t="shared" si="108"/>
        <v>1</v>
      </c>
      <c r="AH221" s="21">
        <f t="shared" si="108"/>
        <v>1</v>
      </c>
      <c r="AI221" s="21">
        <f t="shared" si="108"/>
        <v>1</v>
      </c>
      <c r="AJ221" s="21">
        <f t="shared" si="108"/>
        <v>1</v>
      </c>
      <c r="AK221" s="21">
        <f t="shared" si="108"/>
        <v>1</v>
      </c>
      <c r="AL221" s="21">
        <f t="shared" si="108"/>
        <v>1</v>
      </c>
      <c r="AM221" s="21">
        <f t="shared" si="108"/>
        <v>1</v>
      </c>
      <c r="AN221" s="21">
        <f t="shared" si="108"/>
        <v>1</v>
      </c>
      <c r="AO221" s="21">
        <f t="shared" si="108"/>
        <v>1</v>
      </c>
      <c r="AP221" s="21">
        <f t="shared" si="108"/>
        <v>1</v>
      </c>
      <c r="AQ221" s="21">
        <f t="shared" si="108"/>
        <v>1</v>
      </c>
      <c r="AR221" s="21">
        <f t="shared" si="108"/>
        <v>1</v>
      </c>
      <c r="AS221" s="21">
        <f t="shared" si="108"/>
        <v>1</v>
      </c>
      <c r="AT221" s="21">
        <f t="shared" si="108"/>
        <v>1</v>
      </c>
      <c r="AU221" s="21">
        <f t="shared" si="108"/>
        <v>1</v>
      </c>
      <c r="AV221" s="21">
        <f t="shared" si="108"/>
        <v>1</v>
      </c>
      <c r="AW221" s="21">
        <f t="shared" si="108"/>
        <v>1</v>
      </c>
      <c r="AX221" s="21">
        <f t="shared" si="108"/>
        <v>1</v>
      </c>
      <c r="AY221" s="21">
        <f t="shared" si="108"/>
        <v>1</v>
      </c>
      <c r="AZ221" s="21">
        <f t="shared" si="108"/>
        <v>1</v>
      </c>
      <c r="BA221" s="21">
        <f t="shared" si="108"/>
        <v>1</v>
      </c>
      <c r="BB221" s="21">
        <f t="shared" si="108"/>
        <v>1</v>
      </c>
      <c r="BC221" s="21">
        <f t="shared" si="108"/>
        <v>1</v>
      </c>
      <c r="BD221" s="21">
        <f t="shared" si="108"/>
        <v>1</v>
      </c>
    </row>
    <row r="222" spans="3:56" ht="15" customHeight="1">
      <c r="C222" s="21"/>
      <c r="D222" s="11" t="s">
        <v>428</v>
      </c>
      <c r="E222" s="159">
        <f>IF(SUMPRODUCT(G222:BD222,G33:BD33) &gt; 0, SUMPRODUCT(G222:BD222,G33:BD33), 51)</f>
        <v>3</v>
      </c>
      <c r="G222" s="21">
        <f>IF(AND(G221 = 1, SUM($F$221:F221) = 0), 1, 0)</f>
        <v>0</v>
      </c>
      <c r="H222" s="21">
        <f>IF(AND(H221 = 1, SUM($F$221:G221) = 0), 1, 0)</f>
        <v>0</v>
      </c>
      <c r="I222" s="21">
        <f>IF(AND(I221 = 1, SUM($F$221:H221) = 0), 1, 0)</f>
        <v>0</v>
      </c>
      <c r="J222" s="21">
        <f>IF(AND(J221 = 1, SUM($F$221:I221) = 0), 1, 0)</f>
        <v>0</v>
      </c>
      <c r="K222" s="21">
        <f>IF(AND(K221 = 1, SUM($F$221:J221) = 0), 1, 0)</f>
        <v>0</v>
      </c>
      <c r="L222" s="21">
        <f>IF(AND(L221 = 1, SUM($F$221:K221) = 0), 1, 0)</f>
        <v>0</v>
      </c>
      <c r="M222" s="21">
        <f>IF(AND(M221 = 1, SUM($F$221:L221) = 0), 1, 0)</f>
        <v>1</v>
      </c>
      <c r="N222" s="21">
        <f>IF(AND(N221 = 1, SUM($F$221:M221) = 0), 1, 0)</f>
        <v>0</v>
      </c>
      <c r="O222" s="21">
        <f>IF(AND(O221 = 1, SUM($F$221:N221) = 0), 1, 0)</f>
        <v>0</v>
      </c>
      <c r="P222" s="21">
        <f>IF(AND(P221 = 1, SUM($F$221:O221) = 0), 1, 0)</f>
        <v>0</v>
      </c>
      <c r="Q222" s="21">
        <f>IF(AND(Q221 = 1, SUM($F$221:P221) = 0), 1, 0)</f>
        <v>0</v>
      </c>
      <c r="R222" s="21">
        <f>IF(AND(R221 = 1, SUM($F$221:Q221) = 0), 1, 0)</f>
        <v>0</v>
      </c>
      <c r="S222" s="21">
        <f>IF(AND(S221 = 1, SUM($F$221:R221) = 0), 1, 0)</f>
        <v>0</v>
      </c>
      <c r="T222" s="21">
        <f>IF(AND(T221 = 1, SUM($F$221:S221) = 0), 1, 0)</f>
        <v>0</v>
      </c>
      <c r="U222" s="21">
        <f>IF(AND(U221 = 1, SUM($F$221:T221) = 0), 1, 0)</f>
        <v>0</v>
      </c>
      <c r="V222" s="21">
        <f>IF(AND(V221 = 1, SUM($F$221:U221) = 0), 1, 0)</f>
        <v>0</v>
      </c>
      <c r="W222" s="21">
        <f>IF(AND(W221 = 1, SUM($F$221:V221) = 0), 1, 0)</f>
        <v>0</v>
      </c>
      <c r="X222" s="21">
        <f>IF(AND(X221 = 1, SUM($F$221:W221) = 0), 1, 0)</f>
        <v>0</v>
      </c>
      <c r="Y222" s="21">
        <f>IF(AND(Y221 = 1, SUM($F$221:X221) = 0), 1, 0)</f>
        <v>0</v>
      </c>
      <c r="Z222" s="21">
        <f>IF(AND(Z221 = 1, SUM($F$221:Y221) = 0), 1, 0)</f>
        <v>0</v>
      </c>
      <c r="AA222" s="21">
        <f>IF(AND(AA221 = 1, SUM($F$221:Z221) = 0), 1, 0)</f>
        <v>0</v>
      </c>
      <c r="AB222" s="21">
        <f>IF(AND(AB221 = 1, SUM($F$221:AA221) = 0), 1, 0)</f>
        <v>0</v>
      </c>
      <c r="AC222" s="21">
        <f>IF(AND(AC221 = 1, SUM($F$221:AB221) = 0), 1, 0)</f>
        <v>0</v>
      </c>
      <c r="AD222" s="21">
        <f>IF(AND(AD221 = 1, SUM($F$221:AC221) = 0), 1, 0)</f>
        <v>0</v>
      </c>
      <c r="AE222" s="21">
        <f>IF(AND(AE221 = 1, SUM($F$221:AD221) = 0), 1, 0)</f>
        <v>0</v>
      </c>
      <c r="AF222" s="21">
        <f>IF(AND(AF221 = 1, SUM($F$221:AE221) = 0), 1, 0)</f>
        <v>0</v>
      </c>
      <c r="AG222" s="21">
        <f>IF(AND(AG221 = 1, SUM($F$221:AF221) = 0), 1, 0)</f>
        <v>0</v>
      </c>
      <c r="AH222" s="21">
        <f>IF(AND(AH221 = 1, SUM($F$221:AG221) = 0), 1, 0)</f>
        <v>0</v>
      </c>
      <c r="AI222" s="21">
        <f>IF(AND(AI221 = 1, SUM($F$221:AH221) = 0), 1, 0)</f>
        <v>0</v>
      </c>
      <c r="AJ222" s="21">
        <f>IF(AND(AJ221 = 1, SUM($F$221:AI221) = 0), 1, 0)</f>
        <v>0</v>
      </c>
      <c r="AK222" s="21">
        <f>IF(AND(AK221 = 1, SUM($F$221:AJ221) = 0), 1, 0)</f>
        <v>0</v>
      </c>
      <c r="AL222" s="21">
        <f>IF(AND(AL221 = 1, SUM($F$221:AK221) = 0), 1, 0)</f>
        <v>0</v>
      </c>
      <c r="AM222" s="21">
        <f>IF(AND(AM221 = 1, SUM($F$221:AL221) = 0), 1, 0)</f>
        <v>0</v>
      </c>
      <c r="AN222" s="21">
        <f>IF(AND(AN221 = 1, SUM($F$221:AM221) = 0), 1, 0)</f>
        <v>0</v>
      </c>
      <c r="AO222" s="21">
        <f>IF(AND(AO221 = 1, SUM($F$221:AN221) = 0), 1, 0)</f>
        <v>0</v>
      </c>
      <c r="AP222" s="21">
        <f>IF(AND(AP221 = 1, SUM($F$221:AO221) = 0), 1, 0)</f>
        <v>0</v>
      </c>
      <c r="AQ222" s="21">
        <f>IF(AND(AQ221 = 1, SUM($F$221:AP221) = 0), 1, 0)</f>
        <v>0</v>
      </c>
      <c r="AR222" s="21">
        <f>IF(AND(AR221 = 1, SUM($F$221:AQ221) = 0), 1, 0)</f>
        <v>0</v>
      </c>
      <c r="AS222" s="21">
        <f>IF(AND(AS221 = 1, SUM($F$221:AR221) = 0), 1, 0)</f>
        <v>0</v>
      </c>
      <c r="AT222" s="21">
        <f>IF(AND(AT221 = 1, SUM($F$221:AS221) = 0), 1, 0)</f>
        <v>0</v>
      </c>
      <c r="AU222" s="21">
        <f>IF(AND(AU221 = 1, SUM($F$221:AT221) = 0), 1, 0)</f>
        <v>0</v>
      </c>
      <c r="AV222" s="21">
        <f>IF(AND(AV221 = 1, SUM($F$221:AU221) = 0), 1, 0)</f>
        <v>0</v>
      </c>
      <c r="AW222" s="21">
        <f>IF(AND(AW221 = 1, SUM($F$221:AV221) = 0), 1, 0)</f>
        <v>0</v>
      </c>
      <c r="AX222" s="21">
        <f>IF(AND(AX221 = 1, SUM($F$221:AW221) = 0), 1, 0)</f>
        <v>0</v>
      </c>
      <c r="AY222" s="21">
        <f>IF(AND(AY221 = 1, SUM($F$221:AX221) = 0), 1, 0)</f>
        <v>0</v>
      </c>
      <c r="AZ222" s="21">
        <f>IF(AND(AZ221 = 1, SUM($F$221:AY221) = 0), 1, 0)</f>
        <v>0</v>
      </c>
      <c r="BA222" s="21">
        <f>IF(AND(BA221 = 1, SUM($F$221:AZ221) = 0), 1, 0)</f>
        <v>0</v>
      </c>
      <c r="BB222" s="21">
        <f>IF(AND(BB221 = 1, SUM($F$221:BA221) = 0), 1, 0)</f>
        <v>0</v>
      </c>
      <c r="BC222" s="21">
        <f>IF(AND(BC221 = 1, SUM($F$221:BB221) = 0), 1, 0)</f>
        <v>0</v>
      </c>
      <c r="BD222" s="21">
        <f>IF(AND(BD221 = 1, SUM($F$221:BC221) = 0), 1, 0)</f>
        <v>0</v>
      </c>
    </row>
    <row r="223" spans="3:56" ht="15" customHeight="1">
      <c r="C223" s="21"/>
      <c r="D223" s="11" t="s">
        <v>429</v>
      </c>
      <c r="E223" s="18">
        <f>MIN(E222, Inputs!E91)</f>
        <v>0</v>
      </c>
      <c r="G223" s="21">
        <f t="shared" ref="G223:AL223" si="109">IF(G33 = $E$223, 1, 0)</f>
        <v>1</v>
      </c>
      <c r="H223" s="21">
        <f t="shared" si="109"/>
        <v>1</v>
      </c>
      <c r="I223" s="21">
        <f t="shared" si="109"/>
        <v>1</v>
      </c>
      <c r="J223" s="21">
        <f t="shared" si="109"/>
        <v>1</v>
      </c>
      <c r="K223" s="21">
        <f t="shared" si="109"/>
        <v>0</v>
      </c>
      <c r="L223" s="21">
        <f t="shared" si="109"/>
        <v>0</v>
      </c>
      <c r="M223" s="21">
        <f t="shared" si="109"/>
        <v>0</v>
      </c>
      <c r="N223" s="21">
        <f t="shared" si="109"/>
        <v>0</v>
      </c>
      <c r="O223" s="21">
        <f t="shared" si="109"/>
        <v>0</v>
      </c>
      <c r="P223" s="21">
        <f t="shared" si="109"/>
        <v>0</v>
      </c>
      <c r="Q223" s="21">
        <f t="shared" si="109"/>
        <v>0</v>
      </c>
      <c r="R223" s="21">
        <f t="shared" si="109"/>
        <v>0</v>
      </c>
      <c r="S223" s="21">
        <f t="shared" si="109"/>
        <v>0</v>
      </c>
      <c r="T223" s="21">
        <f t="shared" si="109"/>
        <v>0</v>
      </c>
      <c r="U223" s="21">
        <f t="shared" si="109"/>
        <v>0</v>
      </c>
      <c r="V223" s="21">
        <f t="shared" si="109"/>
        <v>0</v>
      </c>
      <c r="W223" s="21">
        <f t="shared" si="109"/>
        <v>0</v>
      </c>
      <c r="X223" s="21">
        <f t="shared" si="109"/>
        <v>0</v>
      </c>
      <c r="Y223" s="21">
        <f t="shared" si="109"/>
        <v>0</v>
      </c>
      <c r="Z223" s="21">
        <f t="shared" si="109"/>
        <v>0</v>
      </c>
      <c r="AA223" s="21">
        <f t="shared" si="109"/>
        <v>0</v>
      </c>
      <c r="AB223" s="21">
        <f t="shared" si="109"/>
        <v>0</v>
      </c>
      <c r="AC223" s="21">
        <f t="shared" si="109"/>
        <v>0</v>
      </c>
      <c r="AD223" s="21">
        <f t="shared" si="109"/>
        <v>0</v>
      </c>
      <c r="AE223" s="21">
        <f t="shared" si="109"/>
        <v>0</v>
      </c>
      <c r="AF223" s="21">
        <f t="shared" si="109"/>
        <v>0</v>
      </c>
      <c r="AG223" s="21">
        <f t="shared" si="109"/>
        <v>0</v>
      </c>
      <c r="AH223" s="21">
        <f t="shared" si="109"/>
        <v>0</v>
      </c>
      <c r="AI223" s="21">
        <f t="shared" si="109"/>
        <v>1</v>
      </c>
      <c r="AJ223" s="21">
        <f t="shared" si="109"/>
        <v>1</v>
      </c>
      <c r="AK223" s="21">
        <f t="shared" si="109"/>
        <v>1</v>
      </c>
      <c r="AL223" s="21">
        <f t="shared" si="109"/>
        <v>1</v>
      </c>
      <c r="AM223" s="21">
        <f t="shared" ref="AM223:BD223" si="110">IF(AM33 = $E$223, 1, 0)</f>
        <v>1</v>
      </c>
      <c r="AN223" s="21">
        <f t="shared" si="110"/>
        <v>1</v>
      </c>
      <c r="AO223" s="21">
        <f t="shared" si="110"/>
        <v>1</v>
      </c>
      <c r="AP223" s="21">
        <f t="shared" si="110"/>
        <v>1</v>
      </c>
      <c r="AQ223" s="21">
        <f t="shared" si="110"/>
        <v>1</v>
      </c>
      <c r="AR223" s="21">
        <f t="shared" si="110"/>
        <v>1</v>
      </c>
      <c r="AS223" s="21">
        <f t="shared" si="110"/>
        <v>1</v>
      </c>
      <c r="AT223" s="21">
        <f t="shared" si="110"/>
        <v>1</v>
      </c>
      <c r="AU223" s="21">
        <f t="shared" si="110"/>
        <v>1</v>
      </c>
      <c r="AV223" s="21">
        <f t="shared" si="110"/>
        <v>1</v>
      </c>
      <c r="AW223" s="21">
        <f t="shared" si="110"/>
        <v>1</v>
      </c>
      <c r="AX223" s="21">
        <f t="shared" si="110"/>
        <v>1</v>
      </c>
      <c r="AY223" s="21">
        <f t="shared" si="110"/>
        <v>1</v>
      </c>
      <c r="AZ223" s="21">
        <f t="shared" si="110"/>
        <v>1</v>
      </c>
      <c r="BA223" s="21">
        <f t="shared" si="110"/>
        <v>1</v>
      </c>
      <c r="BB223" s="21">
        <f t="shared" si="110"/>
        <v>1</v>
      </c>
      <c r="BC223" s="21">
        <f t="shared" si="110"/>
        <v>1</v>
      </c>
      <c r="BD223" s="21">
        <f t="shared" si="110"/>
        <v>1</v>
      </c>
    </row>
    <row r="224" spans="3:56" ht="15" customHeight="1">
      <c r="C224" s="21"/>
      <c r="D224" s="11" t="s">
        <v>430</v>
      </c>
      <c r="E224" s="159" t="s">
        <v>427</v>
      </c>
      <c r="G224" s="21">
        <f>IF(G33 &gt;= $E$223, 1, 0)</f>
        <v>1</v>
      </c>
      <c r="H224" s="21">
        <f t="shared" ref="H224:BD224" si="111">IF(H33 &gt;= $E$223, 1, 0)</f>
        <v>1</v>
      </c>
      <c r="I224" s="21">
        <f t="shared" si="111"/>
        <v>1</v>
      </c>
      <c r="J224" s="21">
        <f t="shared" si="111"/>
        <v>1</v>
      </c>
      <c r="K224" s="21">
        <f t="shared" si="111"/>
        <v>1</v>
      </c>
      <c r="L224" s="21">
        <f t="shared" si="111"/>
        <v>1</v>
      </c>
      <c r="M224" s="21">
        <f t="shared" si="111"/>
        <v>1</v>
      </c>
      <c r="N224" s="21">
        <f t="shared" si="111"/>
        <v>1</v>
      </c>
      <c r="O224" s="21">
        <f t="shared" si="111"/>
        <v>1</v>
      </c>
      <c r="P224" s="21">
        <f t="shared" si="111"/>
        <v>1</v>
      </c>
      <c r="Q224" s="21">
        <f t="shared" si="111"/>
        <v>1</v>
      </c>
      <c r="R224" s="21">
        <f t="shared" si="111"/>
        <v>1</v>
      </c>
      <c r="S224" s="21">
        <f t="shared" si="111"/>
        <v>1</v>
      </c>
      <c r="T224" s="21">
        <f t="shared" si="111"/>
        <v>1</v>
      </c>
      <c r="U224" s="21">
        <f t="shared" si="111"/>
        <v>1</v>
      </c>
      <c r="V224" s="21">
        <f t="shared" si="111"/>
        <v>1</v>
      </c>
      <c r="W224" s="21">
        <f t="shared" si="111"/>
        <v>1</v>
      </c>
      <c r="X224" s="21">
        <f t="shared" si="111"/>
        <v>1</v>
      </c>
      <c r="Y224" s="21">
        <f t="shared" si="111"/>
        <v>1</v>
      </c>
      <c r="Z224" s="21">
        <f t="shared" si="111"/>
        <v>1</v>
      </c>
      <c r="AA224" s="21">
        <f t="shared" si="111"/>
        <v>1</v>
      </c>
      <c r="AB224" s="21">
        <f t="shared" si="111"/>
        <v>1</v>
      </c>
      <c r="AC224" s="21">
        <f t="shared" si="111"/>
        <v>1</v>
      </c>
      <c r="AD224" s="21">
        <f t="shared" si="111"/>
        <v>1</v>
      </c>
      <c r="AE224" s="21">
        <f t="shared" si="111"/>
        <v>1</v>
      </c>
      <c r="AF224" s="21">
        <f t="shared" si="111"/>
        <v>1</v>
      </c>
      <c r="AG224" s="21">
        <f t="shared" si="111"/>
        <v>1</v>
      </c>
      <c r="AH224" s="21">
        <f t="shared" si="111"/>
        <v>1</v>
      </c>
      <c r="AI224" s="21">
        <f t="shared" si="111"/>
        <v>1</v>
      </c>
      <c r="AJ224" s="21">
        <f t="shared" si="111"/>
        <v>1</v>
      </c>
      <c r="AK224" s="21">
        <f t="shared" si="111"/>
        <v>1</v>
      </c>
      <c r="AL224" s="21">
        <f t="shared" si="111"/>
        <v>1</v>
      </c>
      <c r="AM224" s="21">
        <f t="shared" si="111"/>
        <v>1</v>
      </c>
      <c r="AN224" s="21">
        <f t="shared" si="111"/>
        <v>1</v>
      </c>
      <c r="AO224" s="21">
        <f t="shared" si="111"/>
        <v>1</v>
      </c>
      <c r="AP224" s="21">
        <f t="shared" si="111"/>
        <v>1</v>
      </c>
      <c r="AQ224" s="21">
        <f t="shared" si="111"/>
        <v>1</v>
      </c>
      <c r="AR224" s="21">
        <f t="shared" si="111"/>
        <v>1</v>
      </c>
      <c r="AS224" s="21">
        <f t="shared" si="111"/>
        <v>1</v>
      </c>
      <c r="AT224" s="21">
        <f t="shared" si="111"/>
        <v>1</v>
      </c>
      <c r="AU224" s="21">
        <f t="shared" si="111"/>
        <v>1</v>
      </c>
      <c r="AV224" s="21">
        <f t="shared" si="111"/>
        <v>1</v>
      </c>
      <c r="AW224" s="21">
        <f t="shared" si="111"/>
        <v>1</v>
      </c>
      <c r="AX224" s="21">
        <f t="shared" si="111"/>
        <v>1</v>
      </c>
      <c r="AY224" s="21">
        <f t="shared" si="111"/>
        <v>1</v>
      </c>
      <c r="AZ224" s="21">
        <f t="shared" si="111"/>
        <v>1</v>
      </c>
      <c r="BA224" s="21">
        <f t="shared" si="111"/>
        <v>1</v>
      </c>
      <c r="BB224" s="21">
        <f t="shared" si="111"/>
        <v>1</v>
      </c>
      <c r="BC224" s="21">
        <f t="shared" si="111"/>
        <v>1</v>
      </c>
      <c r="BD224" s="21">
        <f t="shared" si="111"/>
        <v>1</v>
      </c>
    </row>
    <row r="225" spans="3:56" ht="15" customHeight="1">
      <c r="C225" s="21"/>
      <c r="E225" s="18"/>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row>
    <row r="226" spans="3:56" ht="15" customHeight="1">
      <c r="C226" s="21"/>
      <c r="D226" s="11" t="s">
        <v>431</v>
      </c>
      <c r="E226" s="18">
        <f>IF(E223 &lt; E222, 1, 2)</f>
        <v>1</v>
      </c>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row>
    <row r="227" spans="3:56" ht="15" customHeight="1">
      <c r="C227" s="21">
        <f>SUM(G227:BD227)</f>
        <v>149532.0894367841</v>
      </c>
      <c r="D227" s="11" t="s">
        <v>432</v>
      </c>
      <c r="E227" s="18" t="s">
        <v>333</v>
      </c>
      <c r="G227" s="21">
        <f>G219 * G223</f>
        <v>-20</v>
      </c>
      <c r="H227" s="21">
        <f t="shared" ref="H227:BD227" si="112">H219 * H223</f>
        <v>-40.4</v>
      </c>
      <c r="I227" s="21">
        <f t="shared" si="112"/>
        <v>-79.414999999999992</v>
      </c>
      <c r="J227" s="21">
        <f t="shared" si="112"/>
        <v>-238.59619999999998</v>
      </c>
      <c r="K227" s="21">
        <f t="shared" si="112"/>
        <v>0</v>
      </c>
      <c r="L227" s="21">
        <f t="shared" si="112"/>
        <v>0</v>
      </c>
      <c r="M227" s="21">
        <f t="shared" si="112"/>
        <v>0</v>
      </c>
      <c r="N227" s="21">
        <f t="shared" si="112"/>
        <v>0</v>
      </c>
      <c r="O227" s="21">
        <f t="shared" si="112"/>
        <v>0</v>
      </c>
      <c r="P227" s="21">
        <f t="shared" si="112"/>
        <v>0</v>
      </c>
      <c r="Q227" s="21">
        <f t="shared" si="112"/>
        <v>0</v>
      </c>
      <c r="R227" s="21">
        <f t="shared" si="112"/>
        <v>0</v>
      </c>
      <c r="S227" s="21">
        <f t="shared" si="112"/>
        <v>0</v>
      </c>
      <c r="T227" s="21">
        <f t="shared" si="112"/>
        <v>0</v>
      </c>
      <c r="U227" s="21">
        <f t="shared" si="112"/>
        <v>0</v>
      </c>
      <c r="V227" s="21">
        <f t="shared" si="112"/>
        <v>0</v>
      </c>
      <c r="W227" s="21">
        <f t="shared" si="112"/>
        <v>0</v>
      </c>
      <c r="X227" s="21">
        <f t="shared" si="112"/>
        <v>0</v>
      </c>
      <c r="Y227" s="21">
        <f t="shared" si="112"/>
        <v>0</v>
      </c>
      <c r="Z227" s="21">
        <f t="shared" si="112"/>
        <v>0</v>
      </c>
      <c r="AA227" s="21">
        <f t="shared" si="112"/>
        <v>0</v>
      </c>
      <c r="AB227" s="21">
        <f t="shared" si="112"/>
        <v>0</v>
      </c>
      <c r="AC227" s="21">
        <f t="shared" si="112"/>
        <v>0</v>
      </c>
      <c r="AD227" s="21">
        <f t="shared" si="112"/>
        <v>0</v>
      </c>
      <c r="AE227" s="21">
        <f t="shared" si="112"/>
        <v>0</v>
      </c>
      <c r="AF227" s="21">
        <f t="shared" si="112"/>
        <v>0</v>
      </c>
      <c r="AG227" s="21">
        <f t="shared" si="112"/>
        <v>0</v>
      </c>
      <c r="AH227" s="21">
        <f t="shared" si="112"/>
        <v>0</v>
      </c>
      <c r="AI227" s="21">
        <f t="shared" si="112"/>
        <v>6814.1136653083704</v>
      </c>
      <c r="AJ227" s="21">
        <f t="shared" si="112"/>
        <v>6814.1136653083704</v>
      </c>
      <c r="AK227" s="21">
        <f t="shared" si="112"/>
        <v>6814.1136653083704</v>
      </c>
      <c r="AL227" s="21">
        <f t="shared" si="112"/>
        <v>6814.1136653083704</v>
      </c>
      <c r="AM227" s="21">
        <f t="shared" si="112"/>
        <v>6814.1136653083704</v>
      </c>
      <c r="AN227" s="21">
        <f t="shared" si="112"/>
        <v>6814.1136653083704</v>
      </c>
      <c r="AO227" s="21">
        <f t="shared" si="112"/>
        <v>6814.1136653083704</v>
      </c>
      <c r="AP227" s="21">
        <f t="shared" si="112"/>
        <v>6814.1136653083704</v>
      </c>
      <c r="AQ227" s="21">
        <f t="shared" si="112"/>
        <v>6814.1136653083704</v>
      </c>
      <c r="AR227" s="21">
        <f t="shared" si="112"/>
        <v>6814.1136653083704</v>
      </c>
      <c r="AS227" s="21">
        <f t="shared" si="112"/>
        <v>6814.1136653083704</v>
      </c>
      <c r="AT227" s="21">
        <f t="shared" si="112"/>
        <v>6814.1136653083704</v>
      </c>
      <c r="AU227" s="21">
        <f t="shared" si="112"/>
        <v>6814.1136653083704</v>
      </c>
      <c r="AV227" s="21">
        <f t="shared" si="112"/>
        <v>6814.1136653083704</v>
      </c>
      <c r="AW227" s="21">
        <f t="shared" si="112"/>
        <v>6814.1136653083704</v>
      </c>
      <c r="AX227" s="21">
        <f t="shared" si="112"/>
        <v>6814.1136653083704</v>
      </c>
      <c r="AY227" s="21">
        <f t="shared" si="112"/>
        <v>6814.1136653083704</v>
      </c>
      <c r="AZ227" s="21">
        <f t="shared" si="112"/>
        <v>6814.1136653083704</v>
      </c>
      <c r="BA227" s="21">
        <f t="shared" si="112"/>
        <v>6814.1136653083704</v>
      </c>
      <c r="BB227" s="21">
        <f t="shared" si="112"/>
        <v>6814.1136653083704</v>
      </c>
      <c r="BC227" s="21">
        <f t="shared" si="112"/>
        <v>6814.1136653083704</v>
      </c>
      <c r="BD227" s="21">
        <f t="shared" si="112"/>
        <v>6814.1136653083704</v>
      </c>
    </row>
    <row r="228" spans="3:56" ht="15" customHeight="1">
      <c r="C228" s="21">
        <f>SUM(G228:BD228)</f>
        <v>378.41120000000001</v>
      </c>
      <c r="D228" s="11" t="s">
        <v>433</v>
      </c>
      <c r="E228" s="18" t="s">
        <v>333</v>
      </c>
      <c r="G228" s="21">
        <f t="shared" ref="G228:I228" si="113">IF(G227 &lt; 0, -G227, 0)</f>
        <v>20</v>
      </c>
      <c r="H228" s="21">
        <f t="shared" si="113"/>
        <v>40.4</v>
      </c>
      <c r="I228" s="21">
        <f t="shared" si="113"/>
        <v>79.414999999999992</v>
      </c>
      <c r="J228" s="21">
        <f>IF(J227 &lt; 0, -J227, 0)</f>
        <v>238.59619999999998</v>
      </c>
      <c r="K228" s="21">
        <f t="shared" ref="K228:BD228" si="114">IF(K227 &lt; 0, -K227, 0)</f>
        <v>0</v>
      </c>
      <c r="L228" s="21">
        <f t="shared" si="114"/>
        <v>0</v>
      </c>
      <c r="M228" s="21">
        <f t="shared" si="114"/>
        <v>0</v>
      </c>
      <c r="N228" s="21">
        <f t="shared" si="114"/>
        <v>0</v>
      </c>
      <c r="O228" s="21">
        <f t="shared" si="114"/>
        <v>0</v>
      </c>
      <c r="P228" s="21">
        <f t="shared" si="114"/>
        <v>0</v>
      </c>
      <c r="Q228" s="21">
        <f t="shared" si="114"/>
        <v>0</v>
      </c>
      <c r="R228" s="21">
        <f t="shared" si="114"/>
        <v>0</v>
      </c>
      <c r="S228" s="21">
        <f t="shared" si="114"/>
        <v>0</v>
      </c>
      <c r="T228" s="21">
        <f t="shared" si="114"/>
        <v>0</v>
      </c>
      <c r="U228" s="21">
        <f t="shared" si="114"/>
        <v>0</v>
      </c>
      <c r="V228" s="21">
        <f t="shared" si="114"/>
        <v>0</v>
      </c>
      <c r="W228" s="21">
        <f t="shared" si="114"/>
        <v>0</v>
      </c>
      <c r="X228" s="21">
        <f t="shared" si="114"/>
        <v>0</v>
      </c>
      <c r="Y228" s="21">
        <f t="shared" si="114"/>
        <v>0</v>
      </c>
      <c r="Z228" s="21">
        <f t="shared" si="114"/>
        <v>0</v>
      </c>
      <c r="AA228" s="21">
        <f t="shared" si="114"/>
        <v>0</v>
      </c>
      <c r="AB228" s="21">
        <f t="shared" si="114"/>
        <v>0</v>
      </c>
      <c r="AC228" s="21">
        <f t="shared" si="114"/>
        <v>0</v>
      </c>
      <c r="AD228" s="21">
        <f t="shared" si="114"/>
        <v>0</v>
      </c>
      <c r="AE228" s="21">
        <f t="shared" si="114"/>
        <v>0</v>
      </c>
      <c r="AF228" s="21">
        <f t="shared" si="114"/>
        <v>0</v>
      </c>
      <c r="AG228" s="21">
        <f t="shared" si="114"/>
        <v>0</v>
      </c>
      <c r="AH228" s="21">
        <f t="shared" si="114"/>
        <v>0</v>
      </c>
      <c r="AI228" s="21">
        <f t="shared" si="114"/>
        <v>0</v>
      </c>
      <c r="AJ228" s="21">
        <f t="shared" si="114"/>
        <v>0</v>
      </c>
      <c r="AK228" s="21">
        <f t="shared" si="114"/>
        <v>0</v>
      </c>
      <c r="AL228" s="21">
        <f t="shared" si="114"/>
        <v>0</v>
      </c>
      <c r="AM228" s="21">
        <f t="shared" si="114"/>
        <v>0</v>
      </c>
      <c r="AN228" s="21">
        <f t="shared" si="114"/>
        <v>0</v>
      </c>
      <c r="AO228" s="21">
        <f t="shared" si="114"/>
        <v>0</v>
      </c>
      <c r="AP228" s="21">
        <f t="shared" si="114"/>
        <v>0</v>
      </c>
      <c r="AQ228" s="21">
        <f t="shared" si="114"/>
        <v>0</v>
      </c>
      <c r="AR228" s="21">
        <f t="shared" si="114"/>
        <v>0</v>
      </c>
      <c r="AS228" s="21">
        <f t="shared" si="114"/>
        <v>0</v>
      </c>
      <c r="AT228" s="21">
        <f t="shared" si="114"/>
        <v>0</v>
      </c>
      <c r="AU228" s="21">
        <f t="shared" si="114"/>
        <v>0</v>
      </c>
      <c r="AV228" s="21">
        <f t="shared" si="114"/>
        <v>0</v>
      </c>
      <c r="AW228" s="21">
        <f t="shared" si="114"/>
        <v>0</v>
      </c>
      <c r="AX228" s="21">
        <f t="shared" si="114"/>
        <v>0</v>
      </c>
      <c r="AY228" s="21">
        <f t="shared" si="114"/>
        <v>0</v>
      </c>
      <c r="AZ228" s="21">
        <f t="shared" si="114"/>
        <v>0</v>
      </c>
      <c r="BA228" s="21">
        <f t="shared" si="114"/>
        <v>0</v>
      </c>
      <c r="BB228" s="21">
        <f t="shared" si="114"/>
        <v>0</v>
      </c>
      <c r="BC228" s="21">
        <f t="shared" si="114"/>
        <v>0</v>
      </c>
      <c r="BD228" s="21">
        <f t="shared" si="114"/>
        <v>0</v>
      </c>
    </row>
    <row r="229" spans="3:56" ht="15" customHeight="1" thickBot="1">
      <c r="D229" s="112"/>
      <c r="E229" s="18"/>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row>
    <row r="230" spans="3:56" ht="15" customHeight="1">
      <c r="C230" s="130"/>
      <c r="D230" s="131"/>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row>
    <row r="231" spans="3:56" ht="15" customHeight="1">
      <c r="D231" s="213" t="s">
        <v>434</v>
      </c>
      <c r="E231" s="18"/>
    </row>
    <row r="232" spans="3:56" ht="15" customHeight="1">
      <c r="D232" s="22"/>
      <c r="E232" s="18"/>
    </row>
    <row r="233" spans="3:56" ht="15" customHeight="1">
      <c r="D233" s="11" t="s">
        <v>435</v>
      </c>
      <c r="E233" s="18">
        <f>IF(AND(Inputs!$E$85 = 1, Inputs!$E$88 = 0), 1, IF(AND(Inputs!$E$85 = 1, Inputs!$E$88 = 1), 2, IF(Inputs!$E$89 = 1, 3, IF(Inputs!$E$93 = 1, 4, 5))))</f>
        <v>5</v>
      </c>
      <c r="G233" s="287"/>
    </row>
    <row r="234" spans="3:56" ht="15" customHeight="1">
      <c r="D234" s="22"/>
      <c r="E234" s="18"/>
    </row>
    <row r="235" spans="3:56" ht="15" customHeight="1">
      <c r="D235" s="9" t="s">
        <v>436</v>
      </c>
    </row>
    <row r="236" spans="3:56" ht="15" customHeight="1">
      <c r="C236" s="21">
        <f>SUM(G236:BD236)</f>
        <v>253.7956162848387</v>
      </c>
      <c r="D236" s="11" t="s">
        <v>437</v>
      </c>
      <c r="E236" s="18" t="s">
        <v>333</v>
      </c>
      <c r="G236" s="19">
        <f>((G56*Inputs!$E$272)+(SUM(G54:G55)*Inputs!$E$273))*IF(Inputs!$E$20=0,Inputs!$E$18,IF(G33&lt;Inputs!$E$20,Inputs!$E$18,Inputs!$E$19)) * IF($E$233 &lt;&gt; 3, 1, G224)</f>
        <v>0</v>
      </c>
      <c r="H236" s="19">
        <f>((H56*Inputs!$E$272)+(SUM(H54:H55)*Inputs!$E$273))*IF(Inputs!$E$20=0,Inputs!$E$18,IF(H33&lt;Inputs!$E$20,Inputs!$E$18,Inputs!$E$19)) * IF($E$233 &lt;&gt; 3, 1, H224)</f>
        <v>0</v>
      </c>
      <c r="I236" s="19">
        <f>((I56*Inputs!$E$272)+(SUM(I54:I55)*Inputs!$E$273))*IF(Inputs!$E$20=0,Inputs!$E$18,IF(I33&lt;Inputs!$E$20,Inputs!$E$18,Inputs!$E$19)) * IF($E$233 &lt;&gt; 3, 1, I224)</f>
        <v>2.9261250000000003</v>
      </c>
      <c r="J236" s="19">
        <f>((J56*Inputs!$E$272)+(SUM(J54:J55)*Inputs!$E$273))*IF(Inputs!$E$20=0,Inputs!$E$18,IF(J33&lt;Inputs!$E$20,Inputs!$E$18,Inputs!$E$19)) * IF($E$233 &lt;&gt; 3, 1, J224)</f>
        <v>11.93859</v>
      </c>
      <c r="K236" s="19">
        <f>((K56*Inputs!$E$272)+(SUM(K54:K55)*Inputs!$E$273))*IF(Inputs!$E$20=0,Inputs!$E$18,IF(K33&lt;Inputs!$E$20,Inputs!$E$18,Inputs!$E$19)) * IF($E$233 &lt;&gt; 3, 1, K224)</f>
        <v>5.8857248700000007</v>
      </c>
      <c r="L236" s="19">
        <f>((L56*Inputs!$E$272)+(SUM(L54:L55)*Inputs!$E$273))*IF(Inputs!$E$20=0,Inputs!$E$18,IF(L33&lt;Inputs!$E$20,Inputs!$E$18,Inputs!$E$19)) * IF($E$233 &lt;&gt; 3, 1, L224)</f>
        <v>8.4186161244000015</v>
      </c>
      <c r="M236" s="19">
        <f>((M56*Inputs!$E$272)+(SUM(M54:M55)*Inputs!$E$273))*IF(Inputs!$E$20=0,Inputs!$E$18,IF(M33&lt;Inputs!$E$20,Inputs!$E$18,Inputs!$E$19)) * IF($E$233 &lt;&gt; 3, 1, M224)</f>
        <v>8.5869884468880002</v>
      </c>
      <c r="N236" s="19">
        <f>((N56*Inputs!$E$272)+(SUM(N54:N55)*Inputs!$E$273))*IF(Inputs!$E$20=0,Inputs!$E$18,IF(N33&lt;Inputs!$E$20,Inputs!$E$18,Inputs!$E$19)) * IF($E$233 &lt;&gt; 3, 1, N224)</f>
        <v>8.7587282158257587</v>
      </c>
      <c r="O236" s="19">
        <f>((O56*Inputs!$E$272)+(SUM(O54:O55)*Inputs!$E$273))*IF(Inputs!$E$20=0,Inputs!$E$18,IF(O33&lt;Inputs!$E$20,Inputs!$E$18,Inputs!$E$19)) * IF($E$233 &lt;&gt; 3, 1, O224)</f>
        <v>8.9339027801422741</v>
      </c>
      <c r="P236" s="19">
        <f>((P56*Inputs!$E$272)+(SUM(P54:P55)*Inputs!$E$273))*IF(Inputs!$E$20=0,Inputs!$E$18,IF(P33&lt;Inputs!$E$20,Inputs!$E$18,Inputs!$E$19)) * IF($E$233 &lt;&gt; 3, 1, P224)</f>
        <v>9.1125808357451188</v>
      </c>
      <c r="Q236" s="19">
        <f>((Q56*Inputs!$E$272)+(SUM(Q54:Q55)*Inputs!$E$273))*IF(Inputs!$E$20=0,Inputs!$E$18,IF(Q33&lt;Inputs!$E$20,Inputs!$E$18,Inputs!$E$19)) * IF($E$233 &lt;&gt; 3, 1, Q224)</f>
        <v>9.2948324524600228</v>
      </c>
      <c r="R236" s="19">
        <f>((R56*Inputs!$E$272)+(SUM(R54:R55)*Inputs!$E$273))*IF(Inputs!$E$20=0,Inputs!$E$18,IF(R33&lt;Inputs!$E$20,Inputs!$E$18,Inputs!$E$19)) * IF($E$233 &lt;&gt; 3, 1, R224)</f>
        <v>9.4807291015092208</v>
      </c>
      <c r="S236" s="19">
        <f>((S56*Inputs!$E$272)+(SUM(S54:S55)*Inputs!$E$273))*IF(Inputs!$E$20=0,Inputs!$E$18,IF(S33&lt;Inputs!$E$20,Inputs!$E$18,Inputs!$E$19)) * IF($E$233 &lt;&gt; 3, 1, S224)</f>
        <v>9.670343683539409</v>
      </c>
      <c r="T236" s="19">
        <f>((T56*Inputs!$E$272)+(SUM(T54:T55)*Inputs!$E$273))*IF(Inputs!$E$20=0,Inputs!$E$18,IF(T33&lt;Inputs!$E$20,Inputs!$E$18,Inputs!$E$19)) * IF($E$233 &lt;&gt; 3, 1, T224)</f>
        <v>9.8637505572101958</v>
      </c>
      <c r="U236" s="19">
        <f>((U56*Inputs!$E$272)+(SUM(U54:U55)*Inputs!$E$273))*IF(Inputs!$E$20=0,Inputs!$E$18,IF(U33&lt;Inputs!$E$20,Inputs!$E$18,Inputs!$E$19)) * IF($E$233 &lt;&gt; 3, 1, U224)</f>
        <v>10.061025568354403</v>
      </c>
      <c r="V236" s="19">
        <f>((V56*Inputs!$E$272)+(SUM(V54:V55)*Inputs!$E$273))*IF(Inputs!$E$20=0,Inputs!$E$18,IF(V33&lt;Inputs!$E$20,Inputs!$E$18,Inputs!$E$19)) * IF($E$233 &lt;&gt; 3, 1, V224)</f>
        <v>10.262246079721486</v>
      </c>
      <c r="W236" s="19">
        <f>((W56*Inputs!$E$272)+(SUM(W54:W55)*Inputs!$E$273))*IF(Inputs!$E$20=0,Inputs!$E$18,IF(W33&lt;Inputs!$E$20,Inputs!$E$18,Inputs!$E$19)) * IF($E$233 &lt;&gt; 3, 1, W224)</f>
        <v>10.467491001315919</v>
      </c>
      <c r="X236" s="19">
        <f>((X56*Inputs!$E$272)+(SUM(X54:X55)*Inputs!$E$273))*IF(Inputs!$E$20=0,Inputs!$E$18,IF(X33&lt;Inputs!$E$20,Inputs!$E$18,Inputs!$E$19)) * IF($E$233 &lt;&gt; 3, 1, X224)</f>
        <v>10.676840821342237</v>
      </c>
      <c r="Y236" s="19">
        <f>((Y56*Inputs!$E$272)+(SUM(Y54:Y55)*Inputs!$E$273))*IF(Inputs!$E$20=0,Inputs!$E$18,IF(Y33&lt;Inputs!$E$20,Inputs!$E$18,Inputs!$E$19)) * IF($E$233 &lt;&gt; 3, 1, Y224)</f>
        <v>10.890377637769081</v>
      </c>
      <c r="Z236" s="19">
        <f>((Z56*Inputs!$E$272)+(SUM(Z54:Z55)*Inputs!$E$273))*IF(Inputs!$E$20=0,Inputs!$E$18,IF(Z33&lt;Inputs!$E$20,Inputs!$E$18,Inputs!$E$19)) * IF($E$233 &lt;&gt; 3, 1, Z224)</f>
        <v>11.108185190524461</v>
      </c>
      <c r="AA236" s="19">
        <f>((AA56*Inputs!$E$272)+(SUM(AA54:AA55)*Inputs!$E$273))*IF(Inputs!$E$20=0,Inputs!$E$18,IF(AA33&lt;Inputs!$E$20,Inputs!$E$18,Inputs!$E$19)) * IF($E$233 &lt;&gt; 3, 1, AA224)</f>
        <v>11.330348894334952</v>
      </c>
      <c r="AB236" s="19">
        <f>((AB56*Inputs!$E$272)+(SUM(AB54:AB55)*Inputs!$E$273))*IF(Inputs!$E$20=0,Inputs!$E$18,IF(AB33&lt;Inputs!$E$20,Inputs!$E$18,Inputs!$E$19)) * IF($E$233 &lt;&gt; 3, 1, AB224)</f>
        <v>11.55695587222165</v>
      </c>
      <c r="AC236" s="19">
        <f>((AC56*Inputs!$E$272)+(SUM(AC54:AC55)*Inputs!$E$273))*IF(Inputs!$E$20=0,Inputs!$E$18,IF(AC33&lt;Inputs!$E$20,Inputs!$E$18,Inputs!$E$19)) * IF($E$233 &lt;&gt; 3, 1, AC224)</f>
        <v>11.788094989666085</v>
      </c>
      <c r="AD236" s="19">
        <f>((AD56*Inputs!$E$272)+(SUM(AD54:AD55)*Inputs!$E$273))*IF(Inputs!$E$20=0,Inputs!$E$18,IF(AD33&lt;Inputs!$E$20,Inputs!$E$18,Inputs!$E$19)) * IF($E$233 &lt;&gt; 3, 1, AD224)</f>
        <v>12.023856889459402</v>
      </c>
      <c r="AE236" s="19">
        <f>((AE56*Inputs!$E$272)+(SUM(AE54:AE55)*Inputs!$E$273))*IF(Inputs!$E$20=0,Inputs!$E$18,IF(AE33&lt;Inputs!$E$20,Inputs!$E$18,Inputs!$E$19)) * IF($E$233 &lt;&gt; 3, 1, AE224)</f>
        <v>12.264334027248593</v>
      </c>
      <c r="AF236" s="19">
        <f>((AF56*Inputs!$E$272)+(SUM(AF54:AF55)*Inputs!$E$273))*IF(Inputs!$E$20=0,Inputs!$E$18,IF(AF33&lt;Inputs!$E$20,Inputs!$E$18,Inputs!$E$19)) * IF($E$233 &lt;&gt; 3, 1, AF224)</f>
        <v>12.509620707793564</v>
      </c>
      <c r="AG236" s="19">
        <f>((AG56*Inputs!$E$272)+(SUM(AG54:AG55)*Inputs!$E$273))*IF(Inputs!$E$20=0,Inputs!$E$18,IF(AG33&lt;Inputs!$E$20,Inputs!$E$18,Inputs!$E$19)) * IF($E$233 &lt;&gt; 3, 1, AG224)</f>
        <v>11.504749536183917</v>
      </c>
      <c r="AH236" s="19">
        <f>((AH56*Inputs!$E$272)+(SUM(AH54:AH55)*Inputs!$E$273))*IF(Inputs!$E$20=0,Inputs!$E$18,IF(AH33&lt;Inputs!$E$20,Inputs!$E$18,Inputs!$E$19)) * IF($E$233 &lt;&gt; 3, 1, AH224)</f>
        <v>4.4805770011828994</v>
      </c>
      <c r="AI236" s="19">
        <f>((AI56*Inputs!$E$272)+(SUM(AI54:AI55)*Inputs!$E$273))*IF(Inputs!$E$20=0,Inputs!$E$18,IF(AI33&lt;Inputs!$E$20,Inputs!$E$18,Inputs!$E$19)) * IF($E$233 &lt;&gt; 3, 1, AI224)</f>
        <v>0</v>
      </c>
      <c r="AJ236" s="19">
        <f>((AJ56*Inputs!$E$272)+(SUM(AJ54:AJ55)*Inputs!$E$273))*IF(Inputs!$E$20=0,Inputs!$E$18,IF(AJ33&lt;Inputs!$E$20,Inputs!$E$18,Inputs!$E$19)) * IF($E$233 &lt;&gt; 3, 1, AJ224)</f>
        <v>0</v>
      </c>
      <c r="AK236" s="19">
        <f>((AK56*Inputs!$E$272)+(SUM(AK54:AK55)*Inputs!$E$273))*IF(Inputs!$E$20=0,Inputs!$E$18,IF(AK33&lt;Inputs!$E$20,Inputs!$E$18,Inputs!$E$19)) * IF($E$233 &lt;&gt; 3, 1, AK224)</f>
        <v>0</v>
      </c>
      <c r="AL236" s="19">
        <f>((AL56*Inputs!$E$272)+(SUM(AL54:AL55)*Inputs!$E$273))*IF(Inputs!$E$20=0,Inputs!$E$18,IF(AL33&lt;Inputs!$E$20,Inputs!$E$18,Inputs!$E$19)) * IF($E$233 &lt;&gt; 3, 1, AL224)</f>
        <v>0</v>
      </c>
      <c r="AM236" s="19">
        <f>((AM56*Inputs!$E$272)+(SUM(AM54:AM55)*Inputs!$E$273))*IF(Inputs!$E$20=0,Inputs!$E$18,IF(AM33&lt;Inputs!$E$20,Inputs!$E$18,Inputs!$E$19)) * IF($E$233 &lt;&gt; 3, 1, AM224)</f>
        <v>0</v>
      </c>
      <c r="AN236" s="19">
        <f>((AN56*Inputs!$E$272)+(SUM(AN54:AN55)*Inputs!$E$273))*IF(Inputs!$E$20=0,Inputs!$E$18,IF(AN33&lt;Inputs!$E$20,Inputs!$E$18,Inputs!$E$19)) * IF($E$233 &lt;&gt; 3, 1, AN224)</f>
        <v>0</v>
      </c>
      <c r="AO236" s="19">
        <f>((AO56*Inputs!$E$272)+(SUM(AO54:AO55)*Inputs!$E$273))*IF(Inputs!$E$20=0,Inputs!$E$18,IF(AO33&lt;Inputs!$E$20,Inputs!$E$18,Inputs!$E$19)) * IF($E$233 &lt;&gt; 3, 1, AO224)</f>
        <v>0</v>
      </c>
      <c r="AP236" s="19">
        <f>((AP56*Inputs!$E$272)+(SUM(AP54:AP55)*Inputs!$E$273))*IF(Inputs!$E$20=0,Inputs!$E$18,IF(AP33&lt;Inputs!$E$20,Inputs!$E$18,Inputs!$E$19)) * IF($E$233 &lt;&gt; 3, 1, AP224)</f>
        <v>0</v>
      </c>
      <c r="AQ236" s="19">
        <f>((AQ56*Inputs!$E$272)+(SUM(AQ54:AQ55)*Inputs!$E$273))*IF(Inputs!$E$20=0,Inputs!$E$18,IF(AQ33&lt;Inputs!$E$20,Inputs!$E$18,Inputs!$E$19)) * IF($E$233 &lt;&gt; 3, 1, AQ224)</f>
        <v>0</v>
      </c>
      <c r="AR236" s="19">
        <f>((AR56*Inputs!$E$272)+(SUM(AR54:AR55)*Inputs!$E$273))*IF(Inputs!$E$20=0,Inputs!$E$18,IF(AR33&lt;Inputs!$E$20,Inputs!$E$18,Inputs!$E$19)) * IF($E$233 &lt;&gt; 3, 1, AR224)</f>
        <v>0</v>
      </c>
      <c r="AS236" s="19">
        <f>((AS56*Inputs!$E$272)+(SUM(AS54:AS55)*Inputs!$E$273))*IF(Inputs!$E$20=0,Inputs!$E$18,IF(AS33&lt;Inputs!$E$20,Inputs!$E$18,Inputs!$E$19)) * IF($E$233 &lt;&gt; 3, 1, AS224)</f>
        <v>0</v>
      </c>
      <c r="AT236" s="19">
        <f>((AT56*Inputs!$E$272)+(SUM(AT54:AT55)*Inputs!$E$273))*IF(Inputs!$E$20=0,Inputs!$E$18,IF(AT33&lt;Inputs!$E$20,Inputs!$E$18,Inputs!$E$19)) * IF($E$233 &lt;&gt; 3, 1, AT224)</f>
        <v>0</v>
      </c>
      <c r="AU236" s="19">
        <f>((AU56*Inputs!$E$272)+(SUM(AU54:AU55)*Inputs!$E$273))*IF(Inputs!$E$20=0,Inputs!$E$18,IF(AU33&lt;Inputs!$E$20,Inputs!$E$18,Inputs!$E$19)) * IF($E$233 &lt;&gt; 3, 1, AU224)</f>
        <v>0</v>
      </c>
      <c r="AV236" s="19">
        <f>((AV56*Inputs!$E$272)+(SUM(AV54:AV55)*Inputs!$E$273))*IF(Inputs!$E$20=0,Inputs!$E$18,IF(AV33&lt;Inputs!$E$20,Inputs!$E$18,Inputs!$E$19)) * IF($E$233 &lt;&gt; 3, 1, AV224)</f>
        <v>0</v>
      </c>
      <c r="AW236" s="19">
        <f>((AW56*Inputs!$E$272)+(SUM(AW54:AW55)*Inputs!$E$273))*IF(Inputs!$E$20=0,Inputs!$E$18,IF(AW33&lt;Inputs!$E$20,Inputs!$E$18,Inputs!$E$19)) * IF($E$233 &lt;&gt; 3, 1, AW224)</f>
        <v>0</v>
      </c>
      <c r="AX236" s="19">
        <f>((AX56*Inputs!$E$272)+(SUM(AX54:AX55)*Inputs!$E$273))*IF(Inputs!$E$20=0,Inputs!$E$18,IF(AX33&lt;Inputs!$E$20,Inputs!$E$18,Inputs!$E$19)) * IF($E$233 &lt;&gt; 3, 1, AX224)</f>
        <v>0</v>
      </c>
      <c r="AY236" s="19">
        <f>((AY56*Inputs!$E$272)+(SUM(AY54:AY55)*Inputs!$E$273))*IF(Inputs!$E$20=0,Inputs!$E$18,IF(AY33&lt;Inputs!$E$20,Inputs!$E$18,Inputs!$E$19)) * IF($E$233 &lt;&gt; 3, 1, AY224)</f>
        <v>0</v>
      </c>
      <c r="AZ236" s="19">
        <f>((AZ56*Inputs!$E$272)+(SUM(AZ54:AZ55)*Inputs!$E$273))*IF(Inputs!$E$20=0,Inputs!$E$18,IF(AZ33&lt;Inputs!$E$20,Inputs!$E$18,Inputs!$E$19)) * IF($E$233 &lt;&gt; 3, 1, AZ224)</f>
        <v>0</v>
      </c>
      <c r="BA236" s="19">
        <f>((BA56*Inputs!$E$272)+(SUM(BA54:BA55)*Inputs!$E$273))*IF(Inputs!$E$20=0,Inputs!$E$18,IF(BA33&lt;Inputs!$E$20,Inputs!$E$18,Inputs!$E$19)) * IF($E$233 &lt;&gt; 3, 1, BA224)</f>
        <v>0</v>
      </c>
      <c r="BB236" s="19">
        <f>((BB56*Inputs!$E$272)+(SUM(BB54:BB55)*Inputs!$E$273))*IF(Inputs!$E$20=0,Inputs!$E$18,IF(BB33&lt;Inputs!$E$20,Inputs!$E$18,Inputs!$E$19)) * IF($E$233 &lt;&gt; 3, 1, BB224)</f>
        <v>0</v>
      </c>
      <c r="BC236" s="19">
        <f>((BC56*Inputs!$E$272)+(SUM(BC54:BC55)*Inputs!$E$273))*IF(Inputs!$E$20=0,Inputs!$E$18,IF(BC33&lt;Inputs!$E$20,Inputs!$E$18,Inputs!$E$19)) * IF($E$233 &lt;&gt; 3, 1, BC224)</f>
        <v>0</v>
      </c>
      <c r="BD236" s="19">
        <f>((BD56*Inputs!$E$272)+(SUM(BD54:BD55)*Inputs!$E$273))*IF(Inputs!$E$20=0,Inputs!$E$18,IF(BD33&lt;Inputs!$E$20,Inputs!$E$18,Inputs!$E$19)) * IF($E$233 &lt;&gt; 3, 1, BD224)</f>
        <v>0</v>
      </c>
    </row>
    <row r="237" spans="3:56" ht="15" customHeight="1">
      <c r="C237" s="21"/>
      <c r="D237" s="132"/>
      <c r="E237" s="18"/>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row>
    <row r="238" spans="3:56" ht="15" customHeight="1">
      <c r="C238" s="21"/>
      <c r="D238" s="136" t="s">
        <v>438</v>
      </c>
    </row>
    <row r="239" spans="3:56" ht="15" customHeight="1">
      <c r="C239" s="21"/>
      <c r="D239" s="132" t="s">
        <v>439</v>
      </c>
      <c r="E239" s="18" t="s">
        <v>333</v>
      </c>
      <c r="G239" s="19">
        <f>(SUM(G54:G55)*Inputs!$E$275)+(Model!G56*Inputs!$E$274)</f>
        <v>0</v>
      </c>
      <c r="H239" s="19">
        <f>(SUM(H54:H55)*Inputs!$E$275)+(Model!H56*Inputs!$E$274)</f>
        <v>0</v>
      </c>
      <c r="I239" s="19">
        <f>(SUM(I54:I55)*Inputs!$E$275)+(Model!I56*Inputs!$E$274)</f>
        <v>78.03</v>
      </c>
      <c r="J239" s="19">
        <f>(SUM(J54:J55)*Inputs!$E$275)+(Model!J56*Inputs!$E$274)</f>
        <v>318.36239999999998</v>
      </c>
      <c r="K239" s="19">
        <f>(SUM(K54:K55)*Inputs!$E$275)+(Model!K56*Inputs!$E$274)</f>
        <v>138.0101004</v>
      </c>
      <c r="L239" s="19">
        <f>(SUM(L54:L55)*Inputs!$E$275)+(Model!L56*Inputs!$E$274)</f>
        <v>179.41313052000001</v>
      </c>
      <c r="M239" s="19">
        <f>(SUM(M54:M55)*Inputs!$E$275)+(Model!M56*Inputs!$E$274)</f>
        <v>183.0013931304</v>
      </c>
      <c r="N239" s="19">
        <f>(SUM(N54:N55)*Inputs!$E$275)+(Model!N56*Inputs!$E$274)</f>
        <v>186.66142099300797</v>
      </c>
      <c r="O239" s="19">
        <f>(SUM(O54:O55)*Inputs!$E$275)+(Model!O56*Inputs!$E$274)</f>
        <v>190.39464941286815</v>
      </c>
      <c r="P239" s="19">
        <f>(SUM(P54:P55)*Inputs!$E$275)+(Model!P56*Inputs!$E$274)</f>
        <v>194.2025424011255</v>
      </c>
      <c r="Q239" s="19">
        <f>(SUM(Q54:Q55)*Inputs!$E$275)+(Model!Q56*Inputs!$E$274)</f>
        <v>198.08659324914805</v>
      </c>
      <c r="R239" s="19">
        <f>(SUM(R54:R55)*Inputs!$E$275)+(Model!R56*Inputs!$E$274)</f>
        <v>202.04832511413093</v>
      </c>
      <c r="S239" s="19">
        <f>(SUM(S54:S55)*Inputs!$E$275)+(Model!S56*Inputs!$E$274)</f>
        <v>206.08929161641362</v>
      </c>
      <c r="T239" s="19">
        <f>(SUM(T54:T55)*Inputs!$E$275)+(Model!T56*Inputs!$E$274)</f>
        <v>210.21107744874186</v>
      </c>
      <c r="U239" s="19">
        <f>(SUM(U54:U55)*Inputs!$E$275)+(Model!U56*Inputs!$E$274)</f>
        <v>214.41529899771672</v>
      </c>
      <c r="V239" s="19">
        <f>(SUM(V54:V55)*Inputs!$E$275)+(Model!V56*Inputs!$E$274)</f>
        <v>218.70360497767101</v>
      </c>
      <c r="W239" s="19">
        <f>(SUM(W54:W55)*Inputs!$E$275)+(Model!W56*Inputs!$E$274)</f>
        <v>223.07767707722445</v>
      </c>
      <c r="X239" s="19">
        <f>(SUM(X54:X55)*Inputs!$E$275)+(Model!X56*Inputs!$E$274)</f>
        <v>227.53923061876898</v>
      </c>
      <c r="Y239" s="19">
        <f>(SUM(Y54:Y55)*Inputs!$E$275)+(Model!Y56*Inputs!$E$274)</f>
        <v>232.09001523114432</v>
      </c>
      <c r="Z239" s="19">
        <f>(SUM(Z54:Z55)*Inputs!$E$275)+(Model!Z56*Inputs!$E$274)</f>
        <v>236.7318155357672</v>
      </c>
      <c r="AA239" s="19">
        <f>(SUM(AA54:AA55)*Inputs!$E$275)+(Model!AA56*Inputs!$E$274)</f>
        <v>241.46645184648256</v>
      </c>
      <c r="AB239" s="19">
        <f>(SUM(AB54:AB55)*Inputs!$E$275)+(Model!AB56*Inputs!$E$274)</f>
        <v>246.29578088341219</v>
      </c>
      <c r="AC239" s="19">
        <f>(SUM(AC54:AC55)*Inputs!$E$275)+(Model!AC56*Inputs!$E$274)</f>
        <v>251.22169650108046</v>
      </c>
      <c r="AD239" s="19">
        <f>(SUM(AD54:AD55)*Inputs!$E$275)+(Model!AD56*Inputs!$E$274)</f>
        <v>256.24613043110202</v>
      </c>
      <c r="AE239" s="19">
        <f>(SUM(AE54:AE55)*Inputs!$E$275)+(Model!AE56*Inputs!$E$274)</f>
        <v>261.37105303972407</v>
      </c>
      <c r="AF239" s="19">
        <f>(SUM(AF54:AF55)*Inputs!$E$275)+(Model!AF56*Inputs!$E$274)</f>
        <v>266.59847410051856</v>
      </c>
      <c r="AG239" s="19">
        <f>(SUM(AG54:AG55)*Inputs!$E$275)+(Model!AG56*Inputs!$E$274)</f>
        <v>238.46208129544846</v>
      </c>
      <c r="AH239" s="19">
        <f>(SUM(AH54:AH55)*Inputs!$E$275)+(Model!AH56*Inputs!$E$274)</f>
        <v>89.61154002365798</v>
      </c>
      <c r="AI239" s="19">
        <f>(SUM(AI54:AI55)*Inputs!$E$275)+(Model!AI56*Inputs!$E$274)</f>
        <v>0</v>
      </c>
      <c r="AJ239" s="19">
        <f>(SUM(AJ54:AJ55)*Inputs!$E$275)+(Model!AJ56*Inputs!$E$274)</f>
        <v>0</v>
      </c>
      <c r="AK239" s="19">
        <f>(SUM(AK54:AK55)*Inputs!$E$275)+(Model!AK56*Inputs!$E$274)</f>
        <v>0</v>
      </c>
      <c r="AL239" s="19">
        <f>(SUM(AL54:AL55)*Inputs!$E$275)+(Model!AL56*Inputs!$E$274)</f>
        <v>0</v>
      </c>
      <c r="AM239" s="19">
        <f>(SUM(AM54:AM55)*Inputs!$E$275)+(Model!AM56*Inputs!$E$274)</f>
        <v>0</v>
      </c>
      <c r="AN239" s="19">
        <f>(SUM(AN54:AN55)*Inputs!$E$275)+(Model!AN56*Inputs!$E$274)</f>
        <v>0</v>
      </c>
      <c r="AO239" s="19">
        <f>(SUM(AO54:AO55)*Inputs!$E$275)+(Model!AO56*Inputs!$E$274)</f>
        <v>0</v>
      </c>
      <c r="AP239" s="19">
        <f>(SUM(AP54:AP55)*Inputs!$E$275)+(Model!AP56*Inputs!$E$274)</f>
        <v>0</v>
      </c>
      <c r="AQ239" s="19">
        <f>(SUM(AQ54:AQ55)*Inputs!$E$275)+(Model!AQ56*Inputs!$E$274)</f>
        <v>0</v>
      </c>
      <c r="AR239" s="19">
        <f>(SUM(AR54:AR55)*Inputs!$E$275)+(Model!AR56*Inputs!$E$274)</f>
        <v>0</v>
      </c>
      <c r="AS239" s="19">
        <f>(SUM(AS54:AS55)*Inputs!$E$275)+(Model!AS56*Inputs!$E$274)</f>
        <v>0</v>
      </c>
      <c r="AT239" s="19">
        <f>(SUM(AT54:AT55)*Inputs!$E$275)+(Model!AT56*Inputs!$E$274)</f>
        <v>0</v>
      </c>
      <c r="AU239" s="19">
        <f>(SUM(AU54:AU55)*Inputs!$E$275)+(Model!AU56*Inputs!$E$274)</f>
        <v>0</v>
      </c>
      <c r="AV239" s="19">
        <f>(SUM(AV54:AV55)*Inputs!$E$275)+(Model!AV56*Inputs!$E$274)</f>
        <v>0</v>
      </c>
      <c r="AW239" s="19">
        <f>(SUM(AW54:AW55)*Inputs!$E$275)+(Model!AW56*Inputs!$E$274)</f>
        <v>0</v>
      </c>
      <c r="AX239" s="19">
        <f>(SUM(AX54:AX55)*Inputs!$E$275)+(Model!AX56*Inputs!$E$274)</f>
        <v>0</v>
      </c>
      <c r="AY239" s="19">
        <f>(SUM(AY54:AY55)*Inputs!$E$275)+(Model!AY56*Inputs!$E$274)</f>
        <v>0</v>
      </c>
      <c r="AZ239" s="19">
        <f>(SUM(AZ54:AZ55)*Inputs!$E$275)+(Model!AZ56*Inputs!$E$274)</f>
        <v>0</v>
      </c>
      <c r="BA239" s="19">
        <f>(SUM(BA54:BA55)*Inputs!$E$275)+(Model!BA56*Inputs!$E$274)</f>
        <v>0</v>
      </c>
      <c r="BB239" s="19">
        <f>(SUM(BB54:BB55)*Inputs!$E$275)+(Model!BB56*Inputs!$E$274)</f>
        <v>0</v>
      </c>
      <c r="BC239" s="19">
        <f>(SUM(BC54:BC55)*Inputs!$E$275)+(Model!BC56*Inputs!$E$274)</f>
        <v>0</v>
      </c>
      <c r="BD239" s="19">
        <f>(SUM(BD54:BD55)*Inputs!$E$275)+(Model!BD56*Inputs!$E$274)</f>
        <v>0</v>
      </c>
    </row>
    <row r="240" spans="3:56" ht="15" customHeight="1">
      <c r="C240" s="21">
        <f>SUM(G240:BD240)</f>
        <v>0</v>
      </c>
      <c r="D240" s="132" t="s">
        <v>440</v>
      </c>
      <c r="E240" s="18" t="s">
        <v>333</v>
      </c>
      <c r="G240" s="19">
        <f>G239 * Inputs!$E$21 * IF($E$233 &lt;&gt; 3, 1, G224)</f>
        <v>0</v>
      </c>
      <c r="H240" s="19">
        <f>H239 * Inputs!$E$21 * IF($E$233 &lt;&gt; 3, 1, H224)</f>
        <v>0</v>
      </c>
      <c r="I240" s="19">
        <f>I239 * Inputs!$E$21 * IF($E$233 &lt;&gt; 3, 1, I224)</f>
        <v>0</v>
      </c>
      <c r="J240" s="19">
        <f>J239 * Inputs!$E$21 * IF($E$233 &lt;&gt; 3, 1, J224)</f>
        <v>0</v>
      </c>
      <c r="K240" s="19">
        <f>K239 * Inputs!$E$21 * IF($E$233 &lt;&gt; 3, 1, K224)</f>
        <v>0</v>
      </c>
      <c r="L240" s="19">
        <f>L239 * Inputs!$E$21 * IF($E$233 &lt;&gt; 3, 1, L224)</f>
        <v>0</v>
      </c>
      <c r="M240" s="19">
        <f>M239 * Inputs!$E$21 * IF($E$233 &lt;&gt; 3, 1, M224)</f>
        <v>0</v>
      </c>
      <c r="N240" s="19">
        <f>N239 * Inputs!$E$21 * IF($E$233 &lt;&gt; 3, 1, N224)</f>
        <v>0</v>
      </c>
      <c r="O240" s="19">
        <f>O239 * Inputs!$E$21 * IF($E$233 &lt;&gt; 3, 1, O224)</f>
        <v>0</v>
      </c>
      <c r="P240" s="19">
        <f>P239 * Inputs!$E$21 * IF($E$233 &lt;&gt; 3, 1, P224)</f>
        <v>0</v>
      </c>
      <c r="Q240" s="19">
        <f>Q239 * Inputs!$E$21 * IF($E$233 &lt;&gt; 3, 1, Q224)</f>
        <v>0</v>
      </c>
      <c r="R240" s="19">
        <f>R239 * Inputs!$E$21 * IF($E$233 &lt;&gt; 3, 1, R224)</f>
        <v>0</v>
      </c>
      <c r="S240" s="19">
        <f>S239 * Inputs!$E$21 * IF($E$233 &lt;&gt; 3, 1, S224)</f>
        <v>0</v>
      </c>
      <c r="T240" s="19">
        <f>T239 * Inputs!$E$21 * IF($E$233 &lt;&gt; 3, 1, T224)</f>
        <v>0</v>
      </c>
      <c r="U240" s="19">
        <f>U239 * Inputs!$E$21 * IF($E$233 &lt;&gt; 3, 1, U224)</f>
        <v>0</v>
      </c>
      <c r="V240" s="19">
        <f>V239 * Inputs!$E$21 * IF($E$233 &lt;&gt; 3, 1, V224)</f>
        <v>0</v>
      </c>
      <c r="W240" s="19">
        <f>W239 * Inputs!$E$21 * IF($E$233 &lt;&gt; 3, 1, W224)</f>
        <v>0</v>
      </c>
      <c r="X240" s="19">
        <f>X239 * Inputs!$E$21 * IF($E$233 &lt;&gt; 3, 1, X224)</f>
        <v>0</v>
      </c>
      <c r="Y240" s="19">
        <f>Y239 * Inputs!$E$21 * IF($E$233 &lt;&gt; 3, 1, Y224)</f>
        <v>0</v>
      </c>
      <c r="Z240" s="19">
        <f>Z239 * Inputs!$E$21 * IF($E$233 &lt;&gt; 3, 1, Z224)</f>
        <v>0</v>
      </c>
      <c r="AA240" s="19">
        <f>AA239 * Inputs!$E$21 * IF($E$233 &lt;&gt; 3, 1, AA224)</f>
        <v>0</v>
      </c>
      <c r="AB240" s="19">
        <f>AB239 * Inputs!$E$21 * IF($E$233 &lt;&gt; 3, 1, AB224)</f>
        <v>0</v>
      </c>
      <c r="AC240" s="19">
        <f>AC239 * Inputs!$E$21 * IF($E$233 &lt;&gt; 3, 1, AC224)</f>
        <v>0</v>
      </c>
      <c r="AD240" s="19">
        <f>AD239 * Inputs!$E$21 * IF($E$233 &lt;&gt; 3, 1, AD224)</f>
        <v>0</v>
      </c>
      <c r="AE240" s="19">
        <f>AE239 * Inputs!$E$21 * IF($E$233 &lt;&gt; 3, 1, AE224)</f>
        <v>0</v>
      </c>
      <c r="AF240" s="19">
        <f>AF239 * Inputs!$E$21 * IF($E$233 &lt;&gt; 3, 1, AF224)</f>
        <v>0</v>
      </c>
      <c r="AG240" s="19">
        <f>AG239 * Inputs!$E$21 * IF($E$233 &lt;&gt; 3, 1, AG224)</f>
        <v>0</v>
      </c>
      <c r="AH240" s="19">
        <f>AH239 * Inputs!$E$21 * IF($E$233 &lt;&gt; 3, 1, AH224)</f>
        <v>0</v>
      </c>
      <c r="AI240" s="19">
        <f>AI239 * Inputs!$E$21 * IF($E$233 &lt;&gt; 3, 1, AI224)</f>
        <v>0</v>
      </c>
      <c r="AJ240" s="19">
        <f>AJ239 * Inputs!$E$21 * IF($E$233 &lt;&gt; 3, 1, AJ224)</f>
        <v>0</v>
      </c>
      <c r="AK240" s="19">
        <f>AK239 * Inputs!$E$21 * IF($E$233 &lt;&gt; 3, 1, AK224)</f>
        <v>0</v>
      </c>
      <c r="AL240" s="19">
        <f>AL239 * Inputs!$E$21 * IF($E$233 &lt;&gt; 3, 1, AL224)</f>
        <v>0</v>
      </c>
      <c r="AM240" s="19">
        <f>AM239 * Inputs!$E$21 * IF($E$233 &lt;&gt; 3, 1, AM224)</f>
        <v>0</v>
      </c>
      <c r="AN240" s="19">
        <f>AN239 * Inputs!$E$21 * IF($E$233 &lt;&gt; 3, 1, AN224)</f>
        <v>0</v>
      </c>
      <c r="AO240" s="19">
        <f>AO239 * Inputs!$E$21 * IF($E$233 &lt;&gt; 3, 1, AO224)</f>
        <v>0</v>
      </c>
      <c r="AP240" s="19">
        <f>AP239 * Inputs!$E$21 * IF($E$233 &lt;&gt; 3, 1, AP224)</f>
        <v>0</v>
      </c>
      <c r="AQ240" s="19">
        <f>AQ239 * Inputs!$E$21 * IF($E$233 &lt;&gt; 3, 1, AQ224)</f>
        <v>0</v>
      </c>
      <c r="AR240" s="19">
        <f>AR239 * Inputs!$E$21 * IF($E$233 &lt;&gt; 3, 1, AR224)</f>
        <v>0</v>
      </c>
      <c r="AS240" s="19">
        <f>AS239 * Inputs!$E$21 * IF($E$233 &lt;&gt; 3, 1, AS224)</f>
        <v>0</v>
      </c>
      <c r="AT240" s="19">
        <f>AT239 * Inputs!$E$21 * IF($E$233 &lt;&gt; 3, 1, AT224)</f>
        <v>0</v>
      </c>
      <c r="AU240" s="19">
        <f>AU239 * Inputs!$E$21 * IF($E$233 &lt;&gt; 3, 1, AU224)</f>
        <v>0</v>
      </c>
      <c r="AV240" s="19">
        <f>AV239 * Inputs!$E$21 * IF($E$233 &lt;&gt; 3, 1, AV224)</f>
        <v>0</v>
      </c>
      <c r="AW240" s="19">
        <f>AW239 * Inputs!$E$21 * IF($E$233 &lt;&gt; 3, 1, AW224)</f>
        <v>0</v>
      </c>
      <c r="AX240" s="19">
        <f>AX239 * Inputs!$E$21 * IF($E$233 &lt;&gt; 3, 1, AX224)</f>
        <v>0</v>
      </c>
      <c r="AY240" s="19">
        <f>AY239 * Inputs!$E$21 * IF($E$233 &lt;&gt; 3, 1, AY224)</f>
        <v>0</v>
      </c>
      <c r="AZ240" s="19">
        <f>AZ239 * Inputs!$E$21 * IF($E$233 &lt;&gt; 3, 1, AZ224)</f>
        <v>0</v>
      </c>
      <c r="BA240" s="19">
        <f>BA239 * Inputs!$E$21 * IF($E$233 &lt;&gt; 3, 1, BA224)</f>
        <v>0</v>
      </c>
      <c r="BB240" s="19">
        <f>BB239 * Inputs!$E$21 * IF($E$233 &lt;&gt; 3, 1, BB224)</f>
        <v>0</v>
      </c>
      <c r="BC240" s="19">
        <f>BC239 * Inputs!$E$21 * IF($E$233 &lt;&gt; 3, 1, BC224)</f>
        <v>0</v>
      </c>
      <c r="BD240" s="19">
        <f>BD239 * Inputs!$E$21 * IF($E$233 &lt;&gt; 3, 1, BD224)</f>
        <v>0</v>
      </c>
    </row>
    <row r="241" spans="2:56" ht="15" customHeight="1">
      <c r="C241" s="21"/>
      <c r="D241" s="132"/>
      <c r="E241" s="18"/>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row>
    <row r="242" spans="2:56" ht="15" customHeight="1">
      <c r="C242" s="21"/>
      <c r="D242" s="136" t="s">
        <v>441</v>
      </c>
      <c r="E242" s="18"/>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row>
    <row r="243" spans="2:56" ht="15" customHeight="1">
      <c r="C243" s="21"/>
      <c r="D243" s="132" t="s">
        <v>442</v>
      </c>
      <c r="E243" s="18" t="s">
        <v>333</v>
      </c>
      <c r="G243" s="19">
        <f>G56*Inputs!$E$276</f>
        <v>0</v>
      </c>
      <c r="H243" s="19">
        <f>H56*Inputs!$E$276</f>
        <v>0</v>
      </c>
      <c r="I243" s="19">
        <f>I56*Inputs!$E$276</f>
        <v>0</v>
      </c>
      <c r="J243" s="19">
        <f>J56*Inputs!$E$276</f>
        <v>0</v>
      </c>
      <c r="K243" s="19">
        <f>K56*Inputs!$E$276</f>
        <v>22.731075360000002</v>
      </c>
      <c r="L243" s="19">
        <f>L56*Inputs!$E$276</f>
        <v>54.099959356800007</v>
      </c>
      <c r="M243" s="19">
        <f>M56*Inputs!$E$276</f>
        <v>55.181958543936005</v>
      </c>
      <c r="N243" s="19">
        <f>N56*Inputs!$E$276</f>
        <v>56.285597714814713</v>
      </c>
      <c r="O243" s="19">
        <f>O56*Inputs!$E$276</f>
        <v>57.411309669111006</v>
      </c>
      <c r="P243" s="19">
        <f>P56*Inputs!$E$276</f>
        <v>58.559535862493227</v>
      </c>
      <c r="Q243" s="19">
        <f>Q56*Inputs!$E$276</f>
        <v>59.730726579743106</v>
      </c>
      <c r="R243" s="19">
        <f>R56*Inputs!$E$276</f>
        <v>60.92534111133795</v>
      </c>
      <c r="S243" s="19">
        <f>S56*Inputs!$E$276</f>
        <v>62.143847933564729</v>
      </c>
      <c r="T243" s="19">
        <f>T56*Inputs!$E$276</f>
        <v>63.38672489223601</v>
      </c>
      <c r="U243" s="19">
        <f>U56*Inputs!$E$276</f>
        <v>64.654459390080746</v>
      </c>
      <c r="V243" s="19">
        <f>V56*Inputs!$E$276</f>
        <v>65.94754857788233</v>
      </c>
      <c r="W243" s="19">
        <f>W56*Inputs!$E$276</f>
        <v>67.266499549439999</v>
      </c>
      <c r="X243" s="19">
        <f>X56*Inputs!$E$276</f>
        <v>68.611829540428801</v>
      </c>
      <c r="Y243" s="19">
        <f>Y56*Inputs!$E$276</f>
        <v>69.98406613123737</v>
      </c>
      <c r="Z243" s="19">
        <f>Z56*Inputs!$E$276</f>
        <v>71.383747453862114</v>
      </c>
      <c r="AA243" s="19">
        <f>AA56*Inputs!$E$276</f>
        <v>72.811422402939357</v>
      </c>
      <c r="AB243" s="19">
        <f>AB56*Inputs!$E$276</f>
        <v>74.267650850998152</v>
      </c>
      <c r="AC243" s="19">
        <f>AC56*Inputs!$E$276</f>
        <v>75.753003868018112</v>
      </c>
      <c r="AD243" s="19">
        <f>AD56*Inputs!$E$276</f>
        <v>77.268063945378458</v>
      </c>
      <c r="AE243" s="19">
        <f>AE56*Inputs!$E$276</f>
        <v>78.813425224286036</v>
      </c>
      <c r="AF243" s="19">
        <f>AF56*Inputs!$E$276</f>
        <v>80.389693728771761</v>
      </c>
      <c r="AG243" s="19">
        <f>AG56*Inputs!$E$276</f>
        <v>81.997487603347196</v>
      </c>
      <c r="AH243" s="19">
        <f>AH56*Inputs!$E$276</f>
        <v>35.844616009463195</v>
      </c>
      <c r="AI243" s="19">
        <f>AI56*Inputs!$E$276</f>
        <v>0</v>
      </c>
      <c r="AJ243" s="19">
        <f>AJ56*Inputs!$E$276</f>
        <v>0</v>
      </c>
      <c r="AK243" s="19">
        <f>AK56*Inputs!$E$276</f>
        <v>0</v>
      </c>
      <c r="AL243" s="19">
        <f>AL56*Inputs!$E$276</f>
        <v>0</v>
      </c>
      <c r="AM243" s="19">
        <f>AM56*Inputs!$E$276</f>
        <v>0</v>
      </c>
      <c r="AN243" s="19">
        <f>AN56*Inputs!$E$276</f>
        <v>0</v>
      </c>
      <c r="AO243" s="19">
        <f>AO56*Inputs!$E$276</f>
        <v>0</v>
      </c>
      <c r="AP243" s="19">
        <f>AP56*Inputs!$E$276</f>
        <v>0</v>
      </c>
      <c r="AQ243" s="19">
        <f>AQ56*Inputs!$E$276</f>
        <v>0</v>
      </c>
      <c r="AR243" s="19">
        <f>AR56*Inputs!$E$276</f>
        <v>0</v>
      </c>
      <c r="AS243" s="19">
        <f>AS56*Inputs!$E$276</f>
        <v>0</v>
      </c>
      <c r="AT243" s="19">
        <f>AT56*Inputs!$E$276</f>
        <v>0</v>
      </c>
      <c r="AU243" s="19">
        <f>AU56*Inputs!$E$276</f>
        <v>0</v>
      </c>
      <c r="AV243" s="19">
        <f>AV56*Inputs!$E$276</f>
        <v>0</v>
      </c>
      <c r="AW243" s="19">
        <f>AW56*Inputs!$E$276</f>
        <v>0</v>
      </c>
      <c r="AX243" s="19">
        <f>AX56*Inputs!$E$276</f>
        <v>0</v>
      </c>
      <c r="AY243" s="19">
        <f>AY56*Inputs!$E$276</f>
        <v>0</v>
      </c>
      <c r="AZ243" s="19">
        <f>AZ56*Inputs!$E$276</f>
        <v>0</v>
      </c>
      <c r="BA243" s="19">
        <f>BA56*Inputs!$E$276</f>
        <v>0</v>
      </c>
      <c r="BB243" s="19">
        <f>BB56*Inputs!$E$276</f>
        <v>0</v>
      </c>
      <c r="BC243" s="19">
        <f>BC56*Inputs!$E$276</f>
        <v>0</v>
      </c>
      <c r="BD243" s="19">
        <f>BD56*Inputs!$E$276</f>
        <v>0</v>
      </c>
    </row>
    <row r="244" spans="2:56" ht="15" customHeight="1">
      <c r="C244" s="21">
        <f>SUM(G244:BD244)</f>
        <v>61.417983652006825</v>
      </c>
      <c r="D244" s="132" t="s">
        <v>443</v>
      </c>
      <c r="E244" s="18" t="s">
        <v>333</v>
      </c>
      <c r="G244" s="19">
        <f>G243 * IF(Inputs!$E$24 = 0, Inputs!$E$22, IF(G33 &lt; Inputs!$E$24, Inputs!$E$22, Inputs!$E$23))</f>
        <v>0</v>
      </c>
      <c r="H244" s="19">
        <f>H243 * IF(Inputs!$E$24 = 0, Inputs!$E$22, IF(H33 &lt; Inputs!$E$24, Inputs!$E$22, Inputs!$E$23))</f>
        <v>0</v>
      </c>
      <c r="I244" s="19">
        <f>I243 * IF(Inputs!$E$24 = 0, Inputs!$E$22, IF(I33 &lt; Inputs!$E$24, Inputs!$E$22, Inputs!$E$23))</f>
        <v>0</v>
      </c>
      <c r="J244" s="19">
        <f>J243 * IF(Inputs!$E$24 = 0, Inputs!$E$22, IF(J33 &lt; Inputs!$E$24, Inputs!$E$22, Inputs!$E$23))</f>
        <v>0</v>
      </c>
      <c r="K244" s="19">
        <f>K243 * IF(Inputs!$E$24 = 0, Inputs!$E$22, IF(K33 &lt; Inputs!$E$24, Inputs!$E$22, Inputs!$E$23))</f>
        <v>0.9092430144000001</v>
      </c>
      <c r="L244" s="19">
        <f>L243 * IF(Inputs!$E$24 = 0, Inputs!$E$22, IF(L33 &lt; Inputs!$E$24, Inputs!$E$22, Inputs!$E$23))</f>
        <v>2.1639983742720004</v>
      </c>
      <c r="M244" s="19">
        <f>M243 * IF(Inputs!$E$24 = 0, Inputs!$E$22, IF(M33 &lt; Inputs!$E$24, Inputs!$E$22, Inputs!$E$23))</f>
        <v>2.2072783417574402</v>
      </c>
      <c r="N244" s="19">
        <f>N243 * IF(Inputs!$E$24 = 0, Inputs!$E$22, IF(N33 &lt; Inputs!$E$24, Inputs!$E$22, Inputs!$E$23))</f>
        <v>2.2514239085925887</v>
      </c>
      <c r="O244" s="19">
        <f>O243 * IF(Inputs!$E$24 = 0, Inputs!$E$22, IF(O33 &lt; Inputs!$E$24, Inputs!$E$22, Inputs!$E$23))</f>
        <v>2.2964523867644404</v>
      </c>
      <c r="P244" s="19">
        <f>P243 * IF(Inputs!$E$24 = 0, Inputs!$E$22, IF(P33 &lt; Inputs!$E$24, Inputs!$E$22, Inputs!$E$23))</f>
        <v>2.3423814344997291</v>
      </c>
      <c r="Q244" s="19">
        <f>Q243 * IF(Inputs!$E$24 = 0, Inputs!$E$22, IF(Q33 &lt; Inputs!$E$24, Inputs!$E$22, Inputs!$E$23))</f>
        <v>2.3892290631897244</v>
      </c>
      <c r="R244" s="19">
        <f>R243 * IF(Inputs!$E$24 = 0, Inputs!$E$22, IF(R33 &lt; Inputs!$E$24, Inputs!$E$22, Inputs!$E$23))</f>
        <v>2.437013644453518</v>
      </c>
      <c r="S244" s="19">
        <f>S243 * IF(Inputs!$E$24 = 0, Inputs!$E$22, IF(S33 &lt; Inputs!$E$24, Inputs!$E$22, Inputs!$E$23))</f>
        <v>2.4857539173425893</v>
      </c>
      <c r="T244" s="19">
        <f>T243 * IF(Inputs!$E$24 = 0, Inputs!$E$22, IF(T33 &lt; Inputs!$E$24, Inputs!$E$22, Inputs!$E$23))</f>
        <v>2.5354689956894405</v>
      </c>
      <c r="U244" s="19">
        <f>U243 * IF(Inputs!$E$24 = 0, Inputs!$E$22, IF(U33 &lt; Inputs!$E$24, Inputs!$E$22, Inputs!$E$23))</f>
        <v>2.5861783756032297</v>
      </c>
      <c r="V244" s="19">
        <f>V243 * IF(Inputs!$E$24 = 0, Inputs!$E$22, IF(V33 &lt; Inputs!$E$24, Inputs!$E$22, Inputs!$E$23))</f>
        <v>2.6379019431152932</v>
      </c>
      <c r="W244" s="19">
        <f>W243 * IF(Inputs!$E$24 = 0, Inputs!$E$22, IF(W33 &lt; Inputs!$E$24, Inputs!$E$22, Inputs!$E$23))</f>
        <v>2.6906599819775998</v>
      </c>
      <c r="X244" s="19">
        <f>X243 * IF(Inputs!$E$24 = 0, Inputs!$E$22, IF(X33 &lt; Inputs!$E$24, Inputs!$E$22, Inputs!$E$23))</f>
        <v>2.7444731816171521</v>
      </c>
      <c r="Y244" s="19">
        <f>Y243 * IF(Inputs!$E$24 = 0, Inputs!$E$22, IF(Y33 &lt; Inputs!$E$24, Inputs!$E$22, Inputs!$E$23))</f>
        <v>2.7993626452494946</v>
      </c>
      <c r="Z244" s="19">
        <f>Z243 * IF(Inputs!$E$24 = 0, Inputs!$E$22, IF(Z33 &lt; Inputs!$E$24, Inputs!$E$22, Inputs!$E$23))</f>
        <v>2.8553498981544845</v>
      </c>
      <c r="AA244" s="19">
        <f>AA243 * IF(Inputs!$E$24 = 0, Inputs!$E$22, IF(AA33 &lt; Inputs!$E$24, Inputs!$E$22, Inputs!$E$23))</f>
        <v>2.9124568961175745</v>
      </c>
      <c r="AB244" s="19">
        <f>AB243 * IF(Inputs!$E$24 = 0, Inputs!$E$22, IF(AB33 &lt; Inputs!$E$24, Inputs!$E$22, Inputs!$E$23))</f>
        <v>2.9707060340399263</v>
      </c>
      <c r="AC244" s="19">
        <f>AC243 * IF(Inputs!$E$24 = 0, Inputs!$E$22, IF(AC33 &lt; Inputs!$E$24, Inputs!$E$22, Inputs!$E$23))</f>
        <v>3.0301201547207244</v>
      </c>
      <c r="AD244" s="19">
        <f>AD243 * IF(Inputs!$E$24 = 0, Inputs!$E$22, IF(AD33 &lt; Inputs!$E$24, Inputs!$E$22, Inputs!$E$23))</f>
        <v>3.0907225578151385</v>
      </c>
      <c r="AE244" s="19">
        <f>AE243 * IF(Inputs!$E$24 = 0, Inputs!$E$22, IF(AE33 &lt; Inputs!$E$24, Inputs!$E$22, Inputs!$E$23))</f>
        <v>3.1525370089714415</v>
      </c>
      <c r="AF244" s="19">
        <f>AF243 * IF(Inputs!$E$24 = 0, Inputs!$E$22, IF(AF33 &lt; Inputs!$E$24, Inputs!$E$22, Inputs!$E$23))</f>
        <v>3.2155877491508704</v>
      </c>
      <c r="AG244" s="19">
        <f>AG243 * IF(Inputs!$E$24 = 0, Inputs!$E$22, IF(AG33 &lt; Inputs!$E$24, Inputs!$E$22, Inputs!$E$23))</f>
        <v>3.2798995041338879</v>
      </c>
      <c r="AH244" s="19">
        <f>AH243 * IF(Inputs!$E$24 = 0, Inputs!$E$22, IF(AH33 &lt; Inputs!$E$24, Inputs!$E$22, Inputs!$E$23))</f>
        <v>1.4337846403785279</v>
      </c>
      <c r="AI244" s="19">
        <f>AI243 * IF(Inputs!$E$24 = 0, Inputs!$E$22, IF(AI33 &lt; Inputs!$E$24, Inputs!$E$22, Inputs!$E$23))</f>
        <v>0</v>
      </c>
      <c r="AJ244" s="19">
        <f>AJ243 * IF(Inputs!$E$24 = 0, Inputs!$E$22, IF(AJ33 &lt; Inputs!$E$24, Inputs!$E$22, Inputs!$E$23))</f>
        <v>0</v>
      </c>
      <c r="AK244" s="19">
        <f>AK243 * IF(Inputs!$E$24 = 0, Inputs!$E$22, IF(AK33 &lt; Inputs!$E$24, Inputs!$E$22, Inputs!$E$23))</f>
        <v>0</v>
      </c>
      <c r="AL244" s="19">
        <f>AL243 * IF(Inputs!$E$24 = 0, Inputs!$E$22, IF(AL33 &lt; Inputs!$E$24, Inputs!$E$22, Inputs!$E$23))</f>
        <v>0</v>
      </c>
      <c r="AM244" s="19">
        <f>AM243 * IF(Inputs!$E$24 = 0, Inputs!$E$22, IF(AM33 &lt; Inputs!$E$24, Inputs!$E$22, Inputs!$E$23))</f>
        <v>0</v>
      </c>
      <c r="AN244" s="19">
        <f>AN243 * IF(Inputs!$E$24 = 0, Inputs!$E$22, IF(AN33 &lt; Inputs!$E$24, Inputs!$E$22, Inputs!$E$23))</f>
        <v>0</v>
      </c>
      <c r="AO244" s="19">
        <f>AO243 * IF(Inputs!$E$24 = 0, Inputs!$E$22, IF(AO33 &lt; Inputs!$E$24, Inputs!$E$22, Inputs!$E$23))</f>
        <v>0</v>
      </c>
      <c r="AP244" s="19">
        <f>AP243 * IF(Inputs!$E$24 = 0, Inputs!$E$22, IF(AP33 &lt; Inputs!$E$24, Inputs!$E$22, Inputs!$E$23))</f>
        <v>0</v>
      </c>
      <c r="AQ244" s="19">
        <f>AQ243 * IF(Inputs!$E$24 = 0, Inputs!$E$22, IF(AQ33 &lt; Inputs!$E$24, Inputs!$E$22, Inputs!$E$23))</f>
        <v>0</v>
      </c>
      <c r="AR244" s="19">
        <f>AR243 * IF(Inputs!$E$24 = 0, Inputs!$E$22, IF(AR33 &lt; Inputs!$E$24, Inputs!$E$22, Inputs!$E$23))</f>
        <v>0</v>
      </c>
      <c r="AS244" s="19">
        <f>AS243 * IF(Inputs!$E$24 = 0, Inputs!$E$22, IF(AS33 &lt; Inputs!$E$24, Inputs!$E$22, Inputs!$E$23))</f>
        <v>0</v>
      </c>
      <c r="AT244" s="19">
        <f>AT243 * IF(Inputs!$E$24 = 0, Inputs!$E$22, IF(AT33 &lt; Inputs!$E$24, Inputs!$E$22, Inputs!$E$23))</f>
        <v>0</v>
      </c>
      <c r="AU244" s="19">
        <f>AU243 * IF(Inputs!$E$24 = 0, Inputs!$E$22, IF(AU33 &lt; Inputs!$E$24, Inputs!$E$22, Inputs!$E$23))</f>
        <v>0</v>
      </c>
      <c r="AV244" s="19">
        <f>AV243 * IF(Inputs!$E$24 = 0, Inputs!$E$22, IF(AV33 &lt; Inputs!$E$24, Inputs!$E$22, Inputs!$E$23))</f>
        <v>0</v>
      </c>
      <c r="AW244" s="19">
        <f>AW243 * IF(Inputs!$E$24 = 0, Inputs!$E$22, IF(AW33 &lt; Inputs!$E$24, Inputs!$E$22, Inputs!$E$23))</f>
        <v>0</v>
      </c>
      <c r="AX244" s="19">
        <f>AX243 * IF(Inputs!$E$24 = 0, Inputs!$E$22, IF(AX33 &lt; Inputs!$E$24, Inputs!$E$22, Inputs!$E$23))</f>
        <v>0</v>
      </c>
      <c r="AY244" s="19">
        <f>AY243 * IF(Inputs!$E$24 = 0, Inputs!$E$22, IF(AY33 &lt; Inputs!$E$24, Inputs!$E$22, Inputs!$E$23))</f>
        <v>0</v>
      </c>
      <c r="AZ244" s="19">
        <f>AZ243 * IF(Inputs!$E$24 = 0, Inputs!$E$22, IF(AZ33 &lt; Inputs!$E$24, Inputs!$E$22, Inputs!$E$23))</f>
        <v>0</v>
      </c>
      <c r="BA244" s="19">
        <f>BA243 * IF(Inputs!$E$24 = 0, Inputs!$E$22, IF(BA33 &lt; Inputs!$E$24, Inputs!$E$22, Inputs!$E$23))</f>
        <v>0</v>
      </c>
      <c r="BB244" s="19">
        <f>BB243 * IF(Inputs!$E$24 = 0, Inputs!$E$22, IF(BB33 &lt; Inputs!$E$24, Inputs!$E$22, Inputs!$E$23))</f>
        <v>0</v>
      </c>
      <c r="BC244" s="19">
        <f>BC243 * IF(Inputs!$E$24 = 0, Inputs!$E$22, IF(BC33 &lt; Inputs!$E$24, Inputs!$E$22, Inputs!$E$23))</f>
        <v>0</v>
      </c>
      <c r="BD244" s="19">
        <f>BD243 * IF(Inputs!$E$24 = 0, Inputs!$E$22, IF(BD33 &lt; Inputs!$E$24, Inputs!$E$22, Inputs!$E$23))</f>
        <v>0</v>
      </c>
    </row>
    <row r="245" spans="2:56" ht="15" customHeight="1" thickBot="1">
      <c r="C245" s="106"/>
      <c r="D245" s="108"/>
      <c r="E245" s="107"/>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c r="AP245" s="106"/>
      <c r="AQ245" s="106"/>
      <c r="AR245" s="106"/>
      <c r="AS245" s="106"/>
      <c r="AT245" s="106"/>
      <c r="AU245" s="106"/>
      <c r="AV245" s="106"/>
      <c r="AW245" s="106"/>
      <c r="AX245" s="106"/>
      <c r="AY245" s="106"/>
      <c r="AZ245" s="106"/>
      <c r="BA245" s="106"/>
      <c r="BB245" s="106"/>
      <c r="BC245" s="106"/>
      <c r="BD245" s="106"/>
    </row>
    <row r="246" spans="2:56" ht="15" customHeight="1">
      <c r="C246" s="130"/>
      <c r="D246" s="131"/>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row>
    <row r="247" spans="2:56" ht="15" customHeight="1">
      <c r="D247" s="213" t="s">
        <v>444</v>
      </c>
    </row>
    <row r="248" spans="2:56" ht="15" customHeight="1">
      <c r="D248" s="9"/>
    </row>
    <row r="249" spans="2:56" ht="15" customHeight="1">
      <c r="D249" s="11" t="s">
        <v>445</v>
      </c>
      <c r="E249" s="388">
        <f>IF(AND(Inputs!E80 = 2, Inputs!E81 &lt; 3), Inputs!E79, 0%)</f>
        <v>0</v>
      </c>
    </row>
    <row r="250" spans="2:56" ht="15" customHeight="1">
      <c r="D250" s="11" t="s">
        <v>446</v>
      </c>
      <c r="E250" s="307" t="str">
        <f>IF(E249 &gt; 0, Inputs!E81, "-")</f>
        <v>-</v>
      </c>
    </row>
    <row r="251" spans="2:56" ht="15" customHeight="1">
      <c r="D251" s="11" t="s">
        <v>447</v>
      </c>
      <c r="E251" s="307">
        <f>Inputs!E82</f>
        <v>2</v>
      </c>
    </row>
    <row r="252" spans="2:56" ht="15" customHeight="1">
      <c r="C252" s="21"/>
      <c r="E252" s="18"/>
      <c r="F252" s="214"/>
      <c r="G252" s="391"/>
      <c r="H252" s="392"/>
      <c r="I252" s="80"/>
      <c r="J252" s="80"/>
      <c r="K252" s="80"/>
      <c r="L252" s="80"/>
      <c r="M252" s="80"/>
      <c r="N252" s="80"/>
      <c r="O252" s="80"/>
      <c r="P252" s="80"/>
      <c r="Q252" s="80"/>
      <c r="R252" s="80"/>
      <c r="S252" s="80"/>
      <c r="T252" s="80"/>
      <c r="U252" s="80"/>
      <c r="V252" s="80"/>
      <c r="W252" s="80"/>
      <c r="X252" s="80"/>
      <c r="Y252" s="80"/>
      <c r="Z252" s="80"/>
      <c r="AA252" s="80"/>
      <c r="AB252" s="80"/>
      <c r="AC252" s="80"/>
      <c r="AD252" s="80"/>
      <c r="AE252" s="80"/>
      <c r="AF252" s="80"/>
      <c r="AG252" s="80"/>
      <c r="AH252" s="80"/>
      <c r="AI252" s="80"/>
      <c r="AJ252" s="80"/>
      <c r="AK252" s="80"/>
      <c r="AL252" s="80"/>
      <c r="AM252" s="80"/>
      <c r="AN252" s="80"/>
      <c r="AO252" s="80"/>
      <c r="AP252" s="80"/>
      <c r="AQ252" s="80"/>
      <c r="AR252" s="80"/>
      <c r="AS252" s="80"/>
      <c r="AT252" s="80"/>
      <c r="AU252" s="80"/>
      <c r="AV252" s="80"/>
      <c r="AW252" s="80"/>
      <c r="AX252" s="80"/>
      <c r="AY252" s="80"/>
      <c r="AZ252" s="80"/>
      <c r="BA252" s="80"/>
      <c r="BB252" s="80"/>
      <c r="BC252" s="80"/>
      <c r="BD252" s="80"/>
    </row>
    <row r="253" spans="2:56" ht="15" customHeight="1">
      <c r="C253" s="21">
        <f t="shared" ref="C253" si="115">SUM(G253:BD253)</f>
        <v>17497.377173577093</v>
      </c>
      <c r="D253" s="11" t="s">
        <v>448</v>
      </c>
      <c r="E253" s="18" t="s">
        <v>333</v>
      </c>
      <c r="G253" s="21">
        <f t="shared" ref="G253:AL253" si="116">G51</f>
        <v>0</v>
      </c>
      <c r="H253" s="21">
        <f t="shared" si="116"/>
        <v>0</v>
      </c>
      <c r="I253" s="21">
        <f t="shared" si="116"/>
        <v>0</v>
      </c>
      <c r="J253" s="21">
        <f t="shared" si="116"/>
        <v>0</v>
      </c>
      <c r="K253" s="21">
        <f t="shared" si="116"/>
        <v>259.29662392800003</v>
      </c>
      <c r="L253" s="21">
        <f t="shared" si="116"/>
        <v>617.1259649486401</v>
      </c>
      <c r="M253" s="21">
        <f t="shared" si="116"/>
        <v>629.46848424761288</v>
      </c>
      <c r="N253" s="21">
        <f t="shared" si="116"/>
        <v>642.05785393256497</v>
      </c>
      <c r="O253" s="21">
        <f t="shared" si="116"/>
        <v>654.89901101121632</v>
      </c>
      <c r="P253" s="21">
        <f t="shared" si="116"/>
        <v>667.99699123144069</v>
      </c>
      <c r="Q253" s="21">
        <f t="shared" si="116"/>
        <v>681.35693105606958</v>
      </c>
      <c r="R253" s="21">
        <f t="shared" si="116"/>
        <v>694.98406967719075</v>
      </c>
      <c r="S253" s="21">
        <f t="shared" si="116"/>
        <v>708.88375107073477</v>
      </c>
      <c r="T253" s="21">
        <f t="shared" si="116"/>
        <v>723.06142609214942</v>
      </c>
      <c r="U253" s="21">
        <f t="shared" si="116"/>
        <v>737.52265461399247</v>
      </c>
      <c r="V253" s="21">
        <f t="shared" si="116"/>
        <v>752.27310770627207</v>
      </c>
      <c r="W253" s="21">
        <f t="shared" si="116"/>
        <v>767.3185698603977</v>
      </c>
      <c r="X253" s="21">
        <f t="shared" si="116"/>
        <v>782.66494125760573</v>
      </c>
      <c r="Y253" s="21">
        <f t="shared" si="116"/>
        <v>798.31824008275771</v>
      </c>
      <c r="Z253" s="21">
        <f t="shared" si="116"/>
        <v>814.28460488441283</v>
      </c>
      <c r="AA253" s="21">
        <f t="shared" si="116"/>
        <v>830.57029698210113</v>
      </c>
      <c r="AB253" s="21">
        <f t="shared" si="116"/>
        <v>847.18170292174318</v>
      </c>
      <c r="AC253" s="21">
        <f t="shared" si="116"/>
        <v>864.12533698017808</v>
      </c>
      <c r="AD253" s="21">
        <f t="shared" si="116"/>
        <v>877.54444052251245</v>
      </c>
      <c r="AE253" s="21">
        <f t="shared" si="116"/>
        <v>895.09532933296271</v>
      </c>
      <c r="AF253" s="21">
        <f t="shared" si="116"/>
        <v>912.99723591962197</v>
      </c>
      <c r="AG253" s="21">
        <f t="shared" si="116"/>
        <v>931.25718063801457</v>
      </c>
      <c r="AH253" s="21">
        <f t="shared" si="116"/>
        <v>407.0924246789034</v>
      </c>
      <c r="AI253" s="21">
        <f t="shared" si="116"/>
        <v>0</v>
      </c>
      <c r="AJ253" s="21">
        <f t="shared" si="116"/>
        <v>0</v>
      </c>
      <c r="AK253" s="21">
        <f t="shared" si="116"/>
        <v>0</v>
      </c>
      <c r="AL253" s="21">
        <f t="shared" si="116"/>
        <v>0</v>
      </c>
      <c r="AM253" s="21">
        <f t="shared" ref="AM253:BD253" si="117">AM51</f>
        <v>0</v>
      </c>
      <c r="AN253" s="21">
        <f t="shared" si="117"/>
        <v>0</v>
      </c>
      <c r="AO253" s="21">
        <f t="shared" si="117"/>
        <v>0</v>
      </c>
      <c r="AP253" s="21">
        <f t="shared" si="117"/>
        <v>0</v>
      </c>
      <c r="AQ253" s="21">
        <f t="shared" si="117"/>
        <v>0</v>
      </c>
      <c r="AR253" s="21">
        <f t="shared" si="117"/>
        <v>0</v>
      </c>
      <c r="AS253" s="21">
        <f t="shared" si="117"/>
        <v>0</v>
      </c>
      <c r="AT253" s="21">
        <f t="shared" si="117"/>
        <v>0</v>
      </c>
      <c r="AU253" s="21">
        <f t="shared" si="117"/>
        <v>0</v>
      </c>
      <c r="AV253" s="21">
        <f t="shared" si="117"/>
        <v>0</v>
      </c>
      <c r="AW253" s="21">
        <f t="shared" si="117"/>
        <v>0</v>
      </c>
      <c r="AX253" s="21">
        <f t="shared" si="117"/>
        <v>0</v>
      </c>
      <c r="AY253" s="21">
        <f t="shared" si="117"/>
        <v>0</v>
      </c>
      <c r="AZ253" s="21">
        <f t="shared" si="117"/>
        <v>0</v>
      </c>
      <c r="BA253" s="21">
        <f t="shared" si="117"/>
        <v>0</v>
      </c>
      <c r="BB253" s="21">
        <f t="shared" si="117"/>
        <v>0</v>
      </c>
      <c r="BC253" s="21">
        <f t="shared" si="117"/>
        <v>0</v>
      </c>
      <c r="BD253" s="21">
        <f t="shared" si="117"/>
        <v>0</v>
      </c>
    </row>
    <row r="254" spans="2:56" ht="15" customHeight="1">
      <c r="B254" s="47"/>
      <c r="C254" s="21">
        <f>SUM(G254:BD254)</f>
        <v>0</v>
      </c>
      <c r="D254" s="11" t="s">
        <v>449</v>
      </c>
      <c r="E254" s="18" t="s">
        <v>333</v>
      </c>
      <c r="G254" s="116">
        <f>G253 * $E$249</f>
        <v>0</v>
      </c>
      <c r="H254" s="116">
        <f t="shared" ref="H254:BD254" si="118">H253 * $E$249</f>
        <v>0</v>
      </c>
      <c r="I254" s="116">
        <f t="shared" si="118"/>
        <v>0</v>
      </c>
      <c r="J254" s="116">
        <f t="shared" si="118"/>
        <v>0</v>
      </c>
      <c r="K254" s="116">
        <f t="shared" si="118"/>
        <v>0</v>
      </c>
      <c r="L254" s="116">
        <f t="shared" si="118"/>
        <v>0</v>
      </c>
      <c r="M254" s="116">
        <f t="shared" si="118"/>
        <v>0</v>
      </c>
      <c r="N254" s="116">
        <f t="shared" si="118"/>
        <v>0</v>
      </c>
      <c r="O254" s="116">
        <f t="shared" si="118"/>
        <v>0</v>
      </c>
      <c r="P254" s="116">
        <f t="shared" si="118"/>
        <v>0</v>
      </c>
      <c r="Q254" s="116">
        <f t="shared" si="118"/>
        <v>0</v>
      </c>
      <c r="R254" s="116">
        <f t="shared" si="118"/>
        <v>0</v>
      </c>
      <c r="S254" s="116">
        <f t="shared" si="118"/>
        <v>0</v>
      </c>
      <c r="T254" s="116">
        <f t="shared" si="118"/>
        <v>0</v>
      </c>
      <c r="U254" s="116">
        <f t="shared" si="118"/>
        <v>0</v>
      </c>
      <c r="V254" s="116">
        <f t="shared" si="118"/>
        <v>0</v>
      </c>
      <c r="W254" s="116">
        <f t="shared" si="118"/>
        <v>0</v>
      </c>
      <c r="X254" s="116">
        <f t="shared" si="118"/>
        <v>0</v>
      </c>
      <c r="Y254" s="116">
        <f t="shared" si="118"/>
        <v>0</v>
      </c>
      <c r="Z254" s="116">
        <f t="shared" si="118"/>
        <v>0</v>
      </c>
      <c r="AA254" s="116">
        <f t="shared" si="118"/>
        <v>0</v>
      </c>
      <c r="AB254" s="116">
        <f t="shared" si="118"/>
        <v>0</v>
      </c>
      <c r="AC254" s="116">
        <f t="shared" si="118"/>
        <v>0</v>
      </c>
      <c r="AD254" s="116">
        <f t="shared" si="118"/>
        <v>0</v>
      </c>
      <c r="AE254" s="116">
        <f t="shared" si="118"/>
        <v>0</v>
      </c>
      <c r="AF254" s="116">
        <f t="shared" si="118"/>
        <v>0</v>
      </c>
      <c r="AG254" s="116">
        <f t="shared" si="118"/>
        <v>0</v>
      </c>
      <c r="AH254" s="116">
        <f t="shared" si="118"/>
        <v>0</v>
      </c>
      <c r="AI254" s="116">
        <f t="shared" si="118"/>
        <v>0</v>
      </c>
      <c r="AJ254" s="116">
        <f t="shared" si="118"/>
        <v>0</v>
      </c>
      <c r="AK254" s="116">
        <f t="shared" si="118"/>
        <v>0</v>
      </c>
      <c r="AL254" s="116">
        <f t="shared" si="118"/>
        <v>0</v>
      </c>
      <c r="AM254" s="116">
        <f t="shared" si="118"/>
        <v>0</v>
      </c>
      <c r="AN254" s="116">
        <f t="shared" si="118"/>
        <v>0</v>
      </c>
      <c r="AO254" s="116">
        <f t="shared" si="118"/>
        <v>0</v>
      </c>
      <c r="AP254" s="116">
        <f t="shared" si="118"/>
        <v>0</v>
      </c>
      <c r="AQ254" s="116">
        <f t="shared" si="118"/>
        <v>0</v>
      </c>
      <c r="AR254" s="116">
        <f t="shared" si="118"/>
        <v>0</v>
      </c>
      <c r="AS254" s="116">
        <f t="shared" si="118"/>
        <v>0</v>
      </c>
      <c r="AT254" s="116">
        <f t="shared" si="118"/>
        <v>0</v>
      </c>
      <c r="AU254" s="116">
        <f t="shared" si="118"/>
        <v>0</v>
      </c>
      <c r="AV254" s="116">
        <f t="shared" si="118"/>
        <v>0</v>
      </c>
      <c r="AW254" s="116">
        <f t="shared" si="118"/>
        <v>0</v>
      </c>
      <c r="AX254" s="116">
        <f t="shared" si="118"/>
        <v>0</v>
      </c>
      <c r="AY254" s="116">
        <f t="shared" si="118"/>
        <v>0</v>
      </c>
      <c r="AZ254" s="116">
        <f t="shared" si="118"/>
        <v>0</v>
      </c>
      <c r="BA254" s="116">
        <f t="shared" si="118"/>
        <v>0</v>
      </c>
      <c r="BB254" s="116">
        <f t="shared" si="118"/>
        <v>0</v>
      </c>
      <c r="BC254" s="116">
        <f t="shared" si="118"/>
        <v>0</v>
      </c>
      <c r="BD254" s="116">
        <f t="shared" si="118"/>
        <v>0</v>
      </c>
    </row>
    <row r="255" spans="2:56" ht="15" customHeight="1">
      <c r="B255" s="47"/>
      <c r="C255" s="21"/>
      <c r="E255" s="18"/>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c r="AK255" s="116"/>
      <c r="AL255" s="116"/>
      <c r="AM255" s="116"/>
      <c r="AN255" s="116"/>
      <c r="AO255" s="116"/>
      <c r="AP255" s="116"/>
      <c r="AQ255" s="116"/>
      <c r="AR255" s="116"/>
      <c r="AS255" s="116"/>
      <c r="AT255" s="116"/>
      <c r="AU255" s="116"/>
      <c r="AV255" s="116"/>
      <c r="AW255" s="116"/>
      <c r="AX255" s="116"/>
      <c r="AY255" s="116"/>
      <c r="AZ255" s="116"/>
      <c r="BA255" s="116"/>
      <c r="BB255" s="116"/>
      <c r="BC255" s="116"/>
      <c r="BD255" s="116"/>
    </row>
    <row r="256" spans="2:56" ht="15" customHeight="1">
      <c r="C256" s="21"/>
      <c r="D256" s="11" t="s">
        <v>450</v>
      </c>
      <c r="E256" s="18"/>
      <c r="F256" s="214"/>
      <c r="G256" s="80"/>
      <c r="H256" s="80"/>
      <c r="I256" s="80"/>
      <c r="J256" s="80"/>
      <c r="K256" s="80"/>
      <c r="L256" s="80"/>
      <c r="M256" s="80"/>
      <c r="N256" s="80"/>
      <c r="O256" s="80"/>
      <c r="P256" s="80"/>
      <c r="Q256" s="80"/>
      <c r="R256" s="80"/>
      <c r="S256" s="80"/>
      <c r="T256" s="80"/>
      <c r="U256" s="80"/>
      <c r="V256" s="80"/>
      <c r="W256" s="80"/>
      <c r="X256" s="80"/>
      <c r="Y256" s="80"/>
      <c r="Z256" s="80"/>
      <c r="AA256" s="80"/>
      <c r="AB256" s="80"/>
      <c r="AC256" s="80"/>
      <c r="AD256" s="80"/>
      <c r="AE256" s="80"/>
      <c r="AF256" s="80"/>
      <c r="AG256" s="80"/>
      <c r="AH256" s="80"/>
      <c r="AI256" s="80"/>
      <c r="AJ256" s="80"/>
      <c r="AK256" s="80"/>
      <c r="AL256" s="80"/>
      <c r="AM256" s="80"/>
      <c r="AN256" s="80"/>
      <c r="AO256" s="80"/>
      <c r="AP256" s="80"/>
      <c r="AQ256" s="80"/>
      <c r="AR256" s="80"/>
      <c r="AS256" s="80"/>
      <c r="AT256" s="80"/>
      <c r="AU256" s="80"/>
      <c r="AV256" s="80"/>
      <c r="AW256" s="80"/>
      <c r="AX256" s="80"/>
      <c r="AY256" s="80"/>
      <c r="AZ256" s="80"/>
      <c r="BA256" s="80"/>
      <c r="BB256" s="80"/>
      <c r="BC256" s="80"/>
      <c r="BD256" s="80"/>
    </row>
    <row r="257" spans="2:56" ht="15" customHeight="1">
      <c r="C257" s="21">
        <f t="shared" ref="C257:C259" si="119">SUM(G257:BD257)</f>
        <v>6600.7227844115241</v>
      </c>
      <c r="D257" s="11" t="s">
        <v>451</v>
      </c>
      <c r="E257" s="18" t="s">
        <v>333</v>
      </c>
      <c r="F257" s="214"/>
      <c r="G257" s="116">
        <f t="shared" ref="G257:AL257" si="120">G51 - IF($E$251 = 1, G52, 0) - SUM(G53:G55) - G56 - (G66 + G78 + G79 + G80) - G236 - G240 - G244 - G210</f>
        <v>0</v>
      </c>
      <c r="H257" s="116">
        <f t="shared" si="120"/>
        <v>0</v>
      </c>
      <c r="I257" s="116">
        <f t="shared" si="120"/>
        <v>-80.956125</v>
      </c>
      <c r="J257" s="116">
        <f t="shared" si="120"/>
        <v>-330.30098999999996</v>
      </c>
      <c r="K257" s="116">
        <f t="shared" si="120"/>
        <v>39.479006955600028</v>
      </c>
      <c r="L257" s="116">
        <f t="shared" si="120"/>
        <v>248.60035405252808</v>
      </c>
      <c r="M257" s="116">
        <f t="shared" si="120"/>
        <v>253.57236113357865</v>
      </c>
      <c r="N257" s="116">
        <f t="shared" si="120"/>
        <v>258.64380835625008</v>
      </c>
      <c r="O257" s="116">
        <f t="shared" si="120"/>
        <v>263.81668452337516</v>
      </c>
      <c r="P257" s="116">
        <f t="shared" si="120"/>
        <v>269.0930182138427</v>
      </c>
      <c r="Q257" s="116">
        <f t="shared" si="120"/>
        <v>274.47487857811961</v>
      </c>
      <c r="R257" s="116">
        <f t="shared" si="120"/>
        <v>279.96437614968181</v>
      </c>
      <c r="S257" s="116">
        <f t="shared" si="120"/>
        <v>285.5636636726756</v>
      </c>
      <c r="T257" s="116">
        <f t="shared" si="120"/>
        <v>291.27493694612906</v>
      </c>
      <c r="U257" s="116">
        <f t="shared" si="120"/>
        <v>297.10043568505165</v>
      </c>
      <c r="V257" s="116">
        <f t="shared" si="120"/>
        <v>303.04244439875259</v>
      </c>
      <c r="W257" s="116">
        <f t="shared" si="120"/>
        <v>309.10329328672776</v>
      </c>
      <c r="X257" s="116">
        <f t="shared" si="120"/>
        <v>315.28535915246238</v>
      </c>
      <c r="Y257" s="116">
        <f t="shared" si="120"/>
        <v>319.31885639618571</v>
      </c>
      <c r="Z257" s="116">
        <f t="shared" si="120"/>
        <v>325.69984183950749</v>
      </c>
      <c r="AA257" s="116">
        <f t="shared" si="120"/>
        <v>332.20146683386145</v>
      </c>
      <c r="AB257" s="116">
        <f t="shared" si="120"/>
        <v>338.82378953035845</v>
      </c>
      <c r="AC257" s="116">
        <f t="shared" si="120"/>
        <v>345.56552926835548</v>
      </c>
      <c r="AD257" s="116">
        <f t="shared" si="120"/>
        <v>348.55940866737427</v>
      </c>
      <c r="AE257" s="116">
        <f t="shared" si="120"/>
        <v>355.44541237424528</v>
      </c>
      <c r="AF257" s="116">
        <f t="shared" si="120"/>
        <v>362.41118510729467</v>
      </c>
      <c r="AG257" s="116">
        <f t="shared" si="120"/>
        <v>404.09783500244748</v>
      </c>
      <c r="AH257" s="116">
        <f t="shared" si="120"/>
        <v>191.35401923011133</v>
      </c>
      <c r="AI257" s="116">
        <f t="shared" si="120"/>
        <v>-0.51206594299233643</v>
      </c>
      <c r="AJ257" s="116">
        <f t="shared" si="120"/>
        <v>0</v>
      </c>
      <c r="AK257" s="116">
        <f t="shared" si="120"/>
        <v>0</v>
      </c>
      <c r="AL257" s="116">
        <f t="shared" si="120"/>
        <v>0</v>
      </c>
      <c r="AM257" s="116">
        <f t="shared" ref="AM257:BD257" si="121">AM51 - IF($E$251 = 1, AM52, 0) - SUM(AM53:AM55) - AM56 - (AM66 + AM78 + AM79 + AM80) - AM236 - AM240 - AM244 - AM210</f>
        <v>0</v>
      </c>
      <c r="AN257" s="116">
        <f t="shared" si="121"/>
        <v>0</v>
      </c>
      <c r="AO257" s="116">
        <f t="shared" si="121"/>
        <v>0</v>
      </c>
      <c r="AP257" s="116">
        <f t="shared" si="121"/>
        <v>0</v>
      </c>
      <c r="AQ257" s="116">
        <f t="shared" si="121"/>
        <v>0</v>
      </c>
      <c r="AR257" s="116">
        <f t="shared" si="121"/>
        <v>0</v>
      </c>
      <c r="AS257" s="116">
        <f t="shared" si="121"/>
        <v>0</v>
      </c>
      <c r="AT257" s="116">
        <f t="shared" si="121"/>
        <v>0</v>
      </c>
      <c r="AU257" s="116">
        <f t="shared" si="121"/>
        <v>0</v>
      </c>
      <c r="AV257" s="116">
        <f t="shared" si="121"/>
        <v>0</v>
      </c>
      <c r="AW257" s="116">
        <f t="shared" si="121"/>
        <v>0</v>
      </c>
      <c r="AX257" s="116">
        <f t="shared" si="121"/>
        <v>0</v>
      </c>
      <c r="AY257" s="116">
        <f t="shared" si="121"/>
        <v>0</v>
      </c>
      <c r="AZ257" s="116">
        <f t="shared" si="121"/>
        <v>0</v>
      </c>
      <c r="BA257" s="116">
        <f t="shared" si="121"/>
        <v>0</v>
      </c>
      <c r="BB257" s="116">
        <f t="shared" si="121"/>
        <v>0</v>
      </c>
      <c r="BC257" s="116">
        <f t="shared" si="121"/>
        <v>0</v>
      </c>
      <c r="BD257" s="116">
        <f t="shared" si="121"/>
        <v>0</v>
      </c>
    </row>
    <row r="258" spans="2:56" ht="15" customHeight="1">
      <c r="C258" s="21">
        <f t="shared" si="119"/>
        <v>61.422719040000068</v>
      </c>
      <c r="D258" s="11" t="s">
        <v>452</v>
      </c>
      <c r="E258" s="18" t="s">
        <v>333</v>
      </c>
      <c r="F258" s="214"/>
      <c r="G258" s="116">
        <f t="shared" ref="G258:AL258" si="122">G101</f>
        <v>0</v>
      </c>
      <c r="H258" s="116">
        <f t="shared" si="122"/>
        <v>0</v>
      </c>
      <c r="I258" s="116">
        <f t="shared" si="122"/>
        <v>-39.015000000000001</v>
      </c>
      <c r="J258" s="116">
        <f t="shared" si="122"/>
        <v>-159.18119999999999</v>
      </c>
      <c r="K258" s="116">
        <f t="shared" si="122"/>
        <v>58.623626880000003</v>
      </c>
      <c r="L258" s="116">
        <f t="shared" si="122"/>
        <v>55.273705344000007</v>
      </c>
      <c r="M258" s="116">
        <f t="shared" si="122"/>
        <v>51.923783808000003</v>
      </c>
      <c r="N258" s="116">
        <f t="shared" si="122"/>
        <v>48.573862272000007</v>
      </c>
      <c r="O258" s="116">
        <f t="shared" si="122"/>
        <v>45.22394073600001</v>
      </c>
      <c r="P258" s="116">
        <f t="shared" si="122"/>
        <v>0</v>
      </c>
      <c r="Q258" s="116">
        <f t="shared" si="122"/>
        <v>0</v>
      </c>
      <c r="R258" s="116">
        <f t="shared" si="122"/>
        <v>0</v>
      </c>
      <c r="S258" s="116">
        <f t="shared" si="122"/>
        <v>0</v>
      </c>
      <c r="T258" s="116">
        <f t="shared" si="122"/>
        <v>0</v>
      </c>
      <c r="U258" s="116">
        <f t="shared" si="122"/>
        <v>0</v>
      </c>
      <c r="V258" s="116">
        <f t="shared" si="122"/>
        <v>0</v>
      </c>
      <c r="W258" s="116">
        <f t="shared" si="122"/>
        <v>0</v>
      </c>
      <c r="X258" s="116">
        <f t="shared" si="122"/>
        <v>0</v>
      </c>
      <c r="Y258" s="116">
        <f t="shared" si="122"/>
        <v>0</v>
      </c>
      <c r="Z258" s="116">
        <f t="shared" si="122"/>
        <v>0</v>
      </c>
      <c r="AA258" s="116">
        <f t="shared" si="122"/>
        <v>0</v>
      </c>
      <c r="AB258" s="116">
        <f t="shared" si="122"/>
        <v>0</v>
      </c>
      <c r="AC258" s="116">
        <f t="shared" si="122"/>
        <v>0</v>
      </c>
      <c r="AD258" s="116">
        <f t="shared" si="122"/>
        <v>0</v>
      </c>
      <c r="AE258" s="116">
        <f t="shared" si="122"/>
        <v>0</v>
      </c>
      <c r="AF258" s="116">
        <f t="shared" si="122"/>
        <v>0</v>
      </c>
      <c r="AG258" s="116">
        <f t="shared" si="122"/>
        <v>0</v>
      </c>
      <c r="AH258" s="116">
        <f t="shared" si="122"/>
        <v>0</v>
      </c>
      <c r="AI258" s="116">
        <f t="shared" si="122"/>
        <v>0</v>
      </c>
      <c r="AJ258" s="116">
        <f t="shared" si="122"/>
        <v>0</v>
      </c>
      <c r="AK258" s="116">
        <f t="shared" si="122"/>
        <v>0</v>
      </c>
      <c r="AL258" s="116">
        <f t="shared" si="122"/>
        <v>0</v>
      </c>
      <c r="AM258" s="116">
        <f t="shared" ref="AM258:BD258" si="123">AM101</f>
        <v>0</v>
      </c>
      <c r="AN258" s="116">
        <f t="shared" si="123"/>
        <v>0</v>
      </c>
      <c r="AO258" s="116">
        <f t="shared" si="123"/>
        <v>0</v>
      </c>
      <c r="AP258" s="116">
        <f t="shared" si="123"/>
        <v>0</v>
      </c>
      <c r="AQ258" s="116">
        <f t="shared" si="123"/>
        <v>0</v>
      </c>
      <c r="AR258" s="116">
        <f t="shared" si="123"/>
        <v>0</v>
      </c>
      <c r="AS258" s="116">
        <f t="shared" si="123"/>
        <v>0</v>
      </c>
      <c r="AT258" s="116">
        <f t="shared" si="123"/>
        <v>0</v>
      </c>
      <c r="AU258" s="116">
        <f t="shared" si="123"/>
        <v>0</v>
      </c>
      <c r="AV258" s="116">
        <f t="shared" si="123"/>
        <v>0</v>
      </c>
      <c r="AW258" s="116">
        <f t="shared" si="123"/>
        <v>0</v>
      </c>
      <c r="AX258" s="116">
        <f t="shared" si="123"/>
        <v>0</v>
      </c>
      <c r="AY258" s="116">
        <f t="shared" si="123"/>
        <v>0</v>
      </c>
      <c r="AZ258" s="116">
        <f t="shared" si="123"/>
        <v>0</v>
      </c>
      <c r="BA258" s="116">
        <f t="shared" si="123"/>
        <v>0</v>
      </c>
      <c r="BB258" s="116">
        <f t="shared" si="123"/>
        <v>0</v>
      </c>
      <c r="BC258" s="116">
        <f t="shared" si="123"/>
        <v>0</v>
      </c>
      <c r="BD258" s="116">
        <f t="shared" si="123"/>
        <v>0</v>
      </c>
    </row>
    <row r="259" spans="2:56" ht="15" customHeight="1">
      <c r="C259" s="21">
        <f t="shared" si="119"/>
        <v>6539.3000653715244</v>
      </c>
      <c r="D259" s="11" t="s">
        <v>453</v>
      </c>
      <c r="E259" s="18" t="s">
        <v>333</v>
      </c>
      <c r="F259" s="214"/>
      <c r="G259" s="116">
        <f>G257 - G258</f>
        <v>0</v>
      </c>
      <c r="H259" s="116">
        <f t="shared" ref="H259:BD259" si="124">H257 - H258</f>
        <v>0</v>
      </c>
      <c r="I259" s="116">
        <f t="shared" si="124"/>
        <v>-41.941125</v>
      </c>
      <c r="J259" s="116">
        <f t="shared" si="124"/>
        <v>-171.11978999999997</v>
      </c>
      <c r="K259" s="116">
        <f t="shared" si="124"/>
        <v>-19.144619924399976</v>
      </c>
      <c r="L259" s="116">
        <f t="shared" si="124"/>
        <v>193.32664870852807</v>
      </c>
      <c r="M259" s="116">
        <f t="shared" si="124"/>
        <v>201.64857732557866</v>
      </c>
      <c r="N259" s="116">
        <f t="shared" si="124"/>
        <v>210.06994608425006</v>
      </c>
      <c r="O259" s="116">
        <f t="shared" si="124"/>
        <v>218.59274378737516</v>
      </c>
      <c r="P259" s="116">
        <f t="shared" si="124"/>
        <v>269.0930182138427</v>
      </c>
      <c r="Q259" s="116">
        <f t="shared" si="124"/>
        <v>274.47487857811961</v>
      </c>
      <c r="R259" s="116">
        <f t="shared" si="124"/>
        <v>279.96437614968181</v>
      </c>
      <c r="S259" s="116">
        <f t="shared" si="124"/>
        <v>285.5636636726756</v>
      </c>
      <c r="T259" s="116">
        <f t="shared" si="124"/>
        <v>291.27493694612906</v>
      </c>
      <c r="U259" s="116">
        <f t="shared" si="124"/>
        <v>297.10043568505165</v>
      </c>
      <c r="V259" s="116">
        <f t="shared" si="124"/>
        <v>303.04244439875259</v>
      </c>
      <c r="W259" s="116">
        <f t="shared" si="124"/>
        <v>309.10329328672776</v>
      </c>
      <c r="X259" s="116">
        <f t="shared" si="124"/>
        <v>315.28535915246238</v>
      </c>
      <c r="Y259" s="116">
        <f t="shared" si="124"/>
        <v>319.31885639618571</v>
      </c>
      <c r="Z259" s="116">
        <f t="shared" si="124"/>
        <v>325.69984183950749</v>
      </c>
      <c r="AA259" s="116">
        <f t="shared" si="124"/>
        <v>332.20146683386145</v>
      </c>
      <c r="AB259" s="116">
        <f t="shared" si="124"/>
        <v>338.82378953035845</v>
      </c>
      <c r="AC259" s="116">
        <f t="shared" si="124"/>
        <v>345.56552926835548</v>
      </c>
      <c r="AD259" s="116">
        <f t="shared" si="124"/>
        <v>348.55940866737427</v>
      </c>
      <c r="AE259" s="116">
        <f t="shared" si="124"/>
        <v>355.44541237424528</v>
      </c>
      <c r="AF259" s="116">
        <f t="shared" si="124"/>
        <v>362.41118510729467</v>
      </c>
      <c r="AG259" s="116">
        <f t="shared" si="124"/>
        <v>404.09783500244748</v>
      </c>
      <c r="AH259" s="116">
        <f t="shared" si="124"/>
        <v>191.35401923011133</v>
      </c>
      <c r="AI259" s="116">
        <f t="shared" si="124"/>
        <v>-0.51206594299233643</v>
      </c>
      <c r="AJ259" s="116">
        <f t="shared" si="124"/>
        <v>0</v>
      </c>
      <c r="AK259" s="116">
        <f t="shared" si="124"/>
        <v>0</v>
      </c>
      <c r="AL259" s="116">
        <f t="shared" si="124"/>
        <v>0</v>
      </c>
      <c r="AM259" s="116">
        <f t="shared" si="124"/>
        <v>0</v>
      </c>
      <c r="AN259" s="116">
        <f t="shared" si="124"/>
        <v>0</v>
      </c>
      <c r="AO259" s="116">
        <f t="shared" si="124"/>
        <v>0</v>
      </c>
      <c r="AP259" s="116">
        <f t="shared" si="124"/>
        <v>0</v>
      </c>
      <c r="AQ259" s="116">
        <f t="shared" si="124"/>
        <v>0</v>
      </c>
      <c r="AR259" s="116">
        <f t="shared" si="124"/>
        <v>0</v>
      </c>
      <c r="AS259" s="116">
        <f t="shared" si="124"/>
        <v>0</v>
      </c>
      <c r="AT259" s="116">
        <f t="shared" si="124"/>
        <v>0</v>
      </c>
      <c r="AU259" s="116">
        <f t="shared" si="124"/>
        <v>0</v>
      </c>
      <c r="AV259" s="116">
        <f t="shared" si="124"/>
        <v>0</v>
      </c>
      <c r="AW259" s="116">
        <f t="shared" si="124"/>
        <v>0</v>
      </c>
      <c r="AX259" s="116">
        <f t="shared" si="124"/>
        <v>0</v>
      </c>
      <c r="AY259" s="116">
        <f t="shared" si="124"/>
        <v>0</v>
      </c>
      <c r="AZ259" s="116">
        <f t="shared" si="124"/>
        <v>0</v>
      </c>
      <c r="BA259" s="116">
        <f t="shared" si="124"/>
        <v>0</v>
      </c>
      <c r="BB259" s="116">
        <f t="shared" si="124"/>
        <v>0</v>
      </c>
      <c r="BC259" s="116">
        <f t="shared" si="124"/>
        <v>0</v>
      </c>
      <c r="BD259" s="116">
        <f t="shared" si="124"/>
        <v>0</v>
      </c>
    </row>
    <row r="260" spans="2:56" ht="15" customHeight="1">
      <c r="C260" s="21">
        <f t="shared" ref="C260" si="125">SUM(G260:BD260)</f>
        <v>0</v>
      </c>
      <c r="D260" s="11" t="s">
        <v>454</v>
      </c>
      <c r="E260" s="18" t="s">
        <v>333</v>
      </c>
      <c r="F260" s="214"/>
      <c r="G260" s="116">
        <f>G259 * $E$249</f>
        <v>0</v>
      </c>
      <c r="H260" s="116">
        <f t="shared" ref="H260:BD260" si="126">H259 * $E$249</f>
        <v>0</v>
      </c>
      <c r="I260" s="116">
        <f t="shared" si="126"/>
        <v>0</v>
      </c>
      <c r="J260" s="116">
        <f t="shared" si="126"/>
        <v>0</v>
      </c>
      <c r="K260" s="116">
        <f t="shared" si="126"/>
        <v>0</v>
      </c>
      <c r="L260" s="116">
        <f t="shared" si="126"/>
        <v>0</v>
      </c>
      <c r="M260" s="116">
        <f t="shared" si="126"/>
        <v>0</v>
      </c>
      <c r="N260" s="116">
        <f t="shared" si="126"/>
        <v>0</v>
      </c>
      <c r="O260" s="116">
        <f t="shared" si="126"/>
        <v>0</v>
      </c>
      <c r="P260" s="116">
        <f t="shared" si="126"/>
        <v>0</v>
      </c>
      <c r="Q260" s="116">
        <f t="shared" si="126"/>
        <v>0</v>
      </c>
      <c r="R260" s="116">
        <f t="shared" si="126"/>
        <v>0</v>
      </c>
      <c r="S260" s="116">
        <f t="shared" si="126"/>
        <v>0</v>
      </c>
      <c r="T260" s="116">
        <f t="shared" si="126"/>
        <v>0</v>
      </c>
      <c r="U260" s="116">
        <f t="shared" si="126"/>
        <v>0</v>
      </c>
      <c r="V260" s="116">
        <f t="shared" si="126"/>
        <v>0</v>
      </c>
      <c r="W260" s="116">
        <f t="shared" si="126"/>
        <v>0</v>
      </c>
      <c r="X260" s="116">
        <f t="shared" si="126"/>
        <v>0</v>
      </c>
      <c r="Y260" s="116">
        <f t="shared" si="126"/>
        <v>0</v>
      </c>
      <c r="Z260" s="116">
        <f t="shared" si="126"/>
        <v>0</v>
      </c>
      <c r="AA260" s="116">
        <f t="shared" si="126"/>
        <v>0</v>
      </c>
      <c r="AB260" s="116">
        <f t="shared" si="126"/>
        <v>0</v>
      </c>
      <c r="AC260" s="116">
        <f t="shared" si="126"/>
        <v>0</v>
      </c>
      <c r="AD260" s="116">
        <f t="shared" si="126"/>
        <v>0</v>
      </c>
      <c r="AE260" s="116">
        <f t="shared" si="126"/>
        <v>0</v>
      </c>
      <c r="AF260" s="116">
        <f t="shared" si="126"/>
        <v>0</v>
      </c>
      <c r="AG260" s="116">
        <f t="shared" si="126"/>
        <v>0</v>
      </c>
      <c r="AH260" s="116">
        <f t="shared" si="126"/>
        <v>0</v>
      </c>
      <c r="AI260" s="116">
        <f t="shared" si="126"/>
        <v>0</v>
      </c>
      <c r="AJ260" s="116">
        <f t="shared" si="126"/>
        <v>0</v>
      </c>
      <c r="AK260" s="116">
        <f t="shared" si="126"/>
        <v>0</v>
      </c>
      <c r="AL260" s="116">
        <f t="shared" si="126"/>
        <v>0</v>
      </c>
      <c r="AM260" s="116">
        <f t="shared" si="126"/>
        <v>0</v>
      </c>
      <c r="AN260" s="116">
        <f t="shared" si="126"/>
        <v>0</v>
      </c>
      <c r="AO260" s="116">
        <f t="shared" si="126"/>
        <v>0</v>
      </c>
      <c r="AP260" s="116">
        <f t="shared" si="126"/>
        <v>0</v>
      </c>
      <c r="AQ260" s="116">
        <f t="shared" si="126"/>
        <v>0</v>
      </c>
      <c r="AR260" s="116">
        <f t="shared" si="126"/>
        <v>0</v>
      </c>
      <c r="AS260" s="116">
        <f t="shared" si="126"/>
        <v>0</v>
      </c>
      <c r="AT260" s="116">
        <f t="shared" si="126"/>
        <v>0</v>
      </c>
      <c r="AU260" s="116">
        <f t="shared" si="126"/>
        <v>0</v>
      </c>
      <c r="AV260" s="116">
        <f t="shared" si="126"/>
        <v>0</v>
      </c>
      <c r="AW260" s="116">
        <f t="shared" si="126"/>
        <v>0</v>
      </c>
      <c r="AX260" s="116">
        <f t="shared" si="126"/>
        <v>0</v>
      </c>
      <c r="AY260" s="116">
        <f t="shared" si="126"/>
        <v>0</v>
      </c>
      <c r="AZ260" s="116">
        <f t="shared" si="126"/>
        <v>0</v>
      </c>
      <c r="BA260" s="116">
        <f t="shared" si="126"/>
        <v>0</v>
      </c>
      <c r="BB260" s="116">
        <f t="shared" si="126"/>
        <v>0</v>
      </c>
      <c r="BC260" s="116">
        <f t="shared" si="126"/>
        <v>0</v>
      </c>
      <c r="BD260" s="116">
        <f t="shared" si="126"/>
        <v>0</v>
      </c>
    </row>
    <row r="261" spans="2:56" ht="15" customHeight="1">
      <c r="C261" s="21">
        <f>SUM(G261:BD261)</f>
        <v>0</v>
      </c>
      <c r="D261" s="11" t="s">
        <v>455</v>
      </c>
      <c r="E261" s="18" t="s">
        <v>333</v>
      </c>
      <c r="G261" s="116">
        <f>MIN(G260, 0) * -1</f>
        <v>0</v>
      </c>
      <c r="H261" s="116">
        <f t="shared" ref="H261:BD261" si="127">MIN(H260, 0) * -1</f>
        <v>0</v>
      </c>
      <c r="I261" s="116">
        <f t="shared" si="127"/>
        <v>0</v>
      </c>
      <c r="J261" s="116">
        <f t="shared" si="127"/>
        <v>0</v>
      </c>
      <c r="K261" s="116">
        <f t="shared" si="127"/>
        <v>0</v>
      </c>
      <c r="L261" s="116">
        <f t="shared" si="127"/>
        <v>0</v>
      </c>
      <c r="M261" s="116">
        <f t="shared" si="127"/>
        <v>0</v>
      </c>
      <c r="N261" s="116">
        <f t="shared" si="127"/>
        <v>0</v>
      </c>
      <c r="O261" s="116">
        <f t="shared" si="127"/>
        <v>0</v>
      </c>
      <c r="P261" s="116">
        <f t="shared" si="127"/>
        <v>0</v>
      </c>
      <c r="Q261" s="116">
        <f t="shared" si="127"/>
        <v>0</v>
      </c>
      <c r="R261" s="116">
        <f t="shared" si="127"/>
        <v>0</v>
      </c>
      <c r="S261" s="116">
        <f t="shared" si="127"/>
        <v>0</v>
      </c>
      <c r="T261" s="116">
        <f t="shared" si="127"/>
        <v>0</v>
      </c>
      <c r="U261" s="116">
        <f t="shared" si="127"/>
        <v>0</v>
      </c>
      <c r="V261" s="116">
        <f t="shared" si="127"/>
        <v>0</v>
      </c>
      <c r="W261" s="116">
        <f t="shared" si="127"/>
        <v>0</v>
      </c>
      <c r="X261" s="116">
        <f t="shared" si="127"/>
        <v>0</v>
      </c>
      <c r="Y261" s="116">
        <f t="shared" si="127"/>
        <v>0</v>
      </c>
      <c r="Z261" s="116">
        <f t="shared" si="127"/>
        <v>0</v>
      </c>
      <c r="AA261" s="116">
        <f t="shared" si="127"/>
        <v>0</v>
      </c>
      <c r="AB261" s="116">
        <f t="shared" si="127"/>
        <v>0</v>
      </c>
      <c r="AC261" s="116">
        <f t="shared" si="127"/>
        <v>0</v>
      </c>
      <c r="AD261" s="116">
        <f t="shared" si="127"/>
        <v>0</v>
      </c>
      <c r="AE261" s="116">
        <f t="shared" si="127"/>
        <v>0</v>
      </c>
      <c r="AF261" s="116">
        <f t="shared" si="127"/>
        <v>0</v>
      </c>
      <c r="AG261" s="116">
        <f t="shared" si="127"/>
        <v>0</v>
      </c>
      <c r="AH261" s="116">
        <f t="shared" si="127"/>
        <v>0</v>
      </c>
      <c r="AI261" s="116">
        <f t="shared" si="127"/>
        <v>0</v>
      </c>
      <c r="AJ261" s="116">
        <f t="shared" si="127"/>
        <v>0</v>
      </c>
      <c r="AK261" s="116">
        <f t="shared" si="127"/>
        <v>0</v>
      </c>
      <c r="AL261" s="116">
        <f t="shared" si="127"/>
        <v>0</v>
      </c>
      <c r="AM261" s="116">
        <f t="shared" si="127"/>
        <v>0</v>
      </c>
      <c r="AN261" s="116">
        <f t="shared" si="127"/>
        <v>0</v>
      </c>
      <c r="AO261" s="116">
        <f t="shared" si="127"/>
        <v>0</v>
      </c>
      <c r="AP261" s="116">
        <f t="shared" si="127"/>
        <v>0</v>
      </c>
      <c r="AQ261" s="116">
        <f t="shared" si="127"/>
        <v>0</v>
      </c>
      <c r="AR261" s="116">
        <f t="shared" si="127"/>
        <v>0</v>
      </c>
      <c r="AS261" s="116">
        <f t="shared" si="127"/>
        <v>0</v>
      </c>
      <c r="AT261" s="116">
        <f t="shared" si="127"/>
        <v>0</v>
      </c>
      <c r="AU261" s="116">
        <f t="shared" si="127"/>
        <v>0</v>
      </c>
      <c r="AV261" s="116">
        <f t="shared" si="127"/>
        <v>0</v>
      </c>
      <c r="AW261" s="116">
        <f t="shared" si="127"/>
        <v>0</v>
      </c>
      <c r="AX261" s="116">
        <f t="shared" si="127"/>
        <v>0</v>
      </c>
      <c r="AY261" s="116">
        <f t="shared" si="127"/>
        <v>0</v>
      </c>
      <c r="AZ261" s="116">
        <f t="shared" si="127"/>
        <v>0</v>
      </c>
      <c r="BA261" s="116">
        <f t="shared" si="127"/>
        <v>0</v>
      </c>
      <c r="BB261" s="116">
        <f t="shared" si="127"/>
        <v>0</v>
      </c>
      <c r="BC261" s="116">
        <f t="shared" si="127"/>
        <v>0</v>
      </c>
      <c r="BD261" s="116">
        <f t="shared" si="127"/>
        <v>0</v>
      </c>
    </row>
    <row r="262" spans="2:56" ht="15" customHeight="1">
      <c r="C262" s="21"/>
      <c r="E262" s="18"/>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c r="AK262" s="116"/>
      <c r="AL262" s="116"/>
      <c r="AM262" s="116"/>
      <c r="AN262" s="116"/>
      <c r="AO262" s="116"/>
      <c r="AP262" s="116"/>
      <c r="AQ262" s="116"/>
      <c r="AR262" s="116"/>
      <c r="AS262" s="116"/>
      <c r="AT262" s="116"/>
      <c r="AU262" s="116"/>
      <c r="AV262" s="116"/>
      <c r="AW262" s="116"/>
      <c r="AX262" s="116"/>
      <c r="AY262" s="116"/>
      <c r="AZ262" s="116"/>
      <c r="BA262" s="116"/>
      <c r="BB262" s="116"/>
      <c r="BC262" s="116"/>
      <c r="BD262" s="116"/>
    </row>
    <row r="263" spans="2:56" ht="15" customHeight="1">
      <c r="B263" s="47"/>
      <c r="C263" s="21">
        <f>SUM(G263:BD263)</f>
        <v>0</v>
      </c>
      <c r="D263" s="11" t="s">
        <v>456</v>
      </c>
      <c r="E263" s="18" t="s">
        <v>333</v>
      </c>
      <c r="G263" s="116">
        <f t="shared" ref="G263:AL263" si="128">G260 * (G260 &gt; 0)</f>
        <v>0</v>
      </c>
      <c r="H263" s="116">
        <f t="shared" si="128"/>
        <v>0</v>
      </c>
      <c r="I263" s="116">
        <f t="shared" si="128"/>
        <v>0</v>
      </c>
      <c r="J263" s="116">
        <f t="shared" si="128"/>
        <v>0</v>
      </c>
      <c r="K263" s="116">
        <f t="shared" si="128"/>
        <v>0</v>
      </c>
      <c r="L263" s="116">
        <f t="shared" si="128"/>
        <v>0</v>
      </c>
      <c r="M263" s="116">
        <f t="shared" si="128"/>
        <v>0</v>
      </c>
      <c r="N263" s="116">
        <f t="shared" si="128"/>
        <v>0</v>
      </c>
      <c r="O263" s="116">
        <f t="shared" si="128"/>
        <v>0</v>
      </c>
      <c r="P263" s="116">
        <f t="shared" si="128"/>
        <v>0</v>
      </c>
      <c r="Q263" s="116">
        <f t="shared" si="128"/>
        <v>0</v>
      </c>
      <c r="R263" s="116">
        <f t="shared" si="128"/>
        <v>0</v>
      </c>
      <c r="S263" s="116">
        <f t="shared" si="128"/>
        <v>0</v>
      </c>
      <c r="T263" s="116">
        <f t="shared" si="128"/>
        <v>0</v>
      </c>
      <c r="U263" s="116">
        <f t="shared" si="128"/>
        <v>0</v>
      </c>
      <c r="V263" s="116">
        <f t="shared" si="128"/>
        <v>0</v>
      </c>
      <c r="W263" s="116">
        <f t="shared" si="128"/>
        <v>0</v>
      </c>
      <c r="X263" s="116">
        <f t="shared" si="128"/>
        <v>0</v>
      </c>
      <c r="Y263" s="116">
        <f t="shared" si="128"/>
        <v>0</v>
      </c>
      <c r="Z263" s="116">
        <f t="shared" si="128"/>
        <v>0</v>
      </c>
      <c r="AA263" s="116">
        <f t="shared" si="128"/>
        <v>0</v>
      </c>
      <c r="AB263" s="116">
        <f t="shared" si="128"/>
        <v>0</v>
      </c>
      <c r="AC263" s="116">
        <f t="shared" si="128"/>
        <v>0</v>
      </c>
      <c r="AD263" s="116">
        <f t="shared" si="128"/>
        <v>0</v>
      </c>
      <c r="AE263" s="116">
        <f t="shared" si="128"/>
        <v>0</v>
      </c>
      <c r="AF263" s="116">
        <f t="shared" si="128"/>
        <v>0</v>
      </c>
      <c r="AG263" s="116">
        <f t="shared" si="128"/>
        <v>0</v>
      </c>
      <c r="AH263" s="116">
        <f t="shared" si="128"/>
        <v>0</v>
      </c>
      <c r="AI263" s="116">
        <f t="shared" si="128"/>
        <v>0</v>
      </c>
      <c r="AJ263" s="116">
        <f t="shared" si="128"/>
        <v>0</v>
      </c>
      <c r="AK263" s="116">
        <f t="shared" si="128"/>
        <v>0</v>
      </c>
      <c r="AL263" s="116">
        <f t="shared" si="128"/>
        <v>0</v>
      </c>
      <c r="AM263" s="116">
        <f t="shared" ref="AM263:BD263" si="129">AM260 * (AM260 &gt; 0)</f>
        <v>0</v>
      </c>
      <c r="AN263" s="116">
        <f t="shared" si="129"/>
        <v>0</v>
      </c>
      <c r="AO263" s="116">
        <f t="shared" si="129"/>
        <v>0</v>
      </c>
      <c r="AP263" s="116">
        <f t="shared" si="129"/>
        <v>0</v>
      </c>
      <c r="AQ263" s="116">
        <f t="shared" si="129"/>
        <v>0</v>
      </c>
      <c r="AR263" s="116">
        <f t="shared" si="129"/>
        <v>0</v>
      </c>
      <c r="AS263" s="116">
        <f t="shared" si="129"/>
        <v>0</v>
      </c>
      <c r="AT263" s="116">
        <f t="shared" si="129"/>
        <v>0</v>
      </c>
      <c r="AU263" s="116">
        <f t="shared" si="129"/>
        <v>0</v>
      </c>
      <c r="AV263" s="116">
        <f t="shared" si="129"/>
        <v>0</v>
      </c>
      <c r="AW263" s="116">
        <f t="shared" si="129"/>
        <v>0</v>
      </c>
      <c r="AX263" s="116">
        <f t="shared" si="129"/>
        <v>0</v>
      </c>
      <c r="AY263" s="116">
        <f t="shared" si="129"/>
        <v>0</v>
      </c>
      <c r="AZ263" s="116">
        <f t="shared" si="129"/>
        <v>0</v>
      </c>
      <c r="BA263" s="116">
        <f t="shared" si="129"/>
        <v>0</v>
      </c>
      <c r="BB263" s="116">
        <f t="shared" si="129"/>
        <v>0</v>
      </c>
      <c r="BC263" s="116">
        <f t="shared" si="129"/>
        <v>0</v>
      </c>
      <c r="BD263" s="116">
        <f t="shared" si="129"/>
        <v>0</v>
      </c>
    </row>
    <row r="264" spans="2:56" ht="15" customHeight="1">
      <c r="C264" s="21"/>
      <c r="E264" s="18"/>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c r="AL264" s="116"/>
      <c r="AM264" s="116"/>
      <c r="AN264" s="116"/>
      <c r="AO264" s="116"/>
      <c r="AP264" s="116"/>
      <c r="AQ264" s="116"/>
      <c r="AR264" s="116"/>
      <c r="AS264" s="116"/>
      <c r="AT264" s="116"/>
      <c r="AU264" s="116"/>
      <c r="AV264" s="116"/>
      <c r="AW264" s="116"/>
      <c r="AX264" s="116"/>
      <c r="AY264" s="116"/>
      <c r="AZ264" s="116"/>
      <c r="BA264" s="116"/>
      <c r="BB264" s="116"/>
      <c r="BC264" s="116"/>
      <c r="BD264" s="116"/>
    </row>
    <row r="265" spans="2:56" ht="15" customHeight="1">
      <c r="C265" s="21"/>
      <c r="D265" s="11" t="s">
        <v>457</v>
      </c>
      <c r="E265" s="18"/>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c r="AK265" s="116"/>
      <c r="AL265" s="116"/>
      <c r="AM265" s="116"/>
      <c r="AN265" s="116"/>
      <c r="AO265" s="116"/>
      <c r="AP265" s="116"/>
      <c r="AQ265" s="116"/>
      <c r="AR265" s="116"/>
      <c r="AS265" s="116"/>
      <c r="AT265" s="116"/>
      <c r="AU265" s="116"/>
      <c r="AV265" s="116"/>
      <c r="AW265" s="116"/>
      <c r="AX265" s="116"/>
      <c r="AY265" s="116"/>
      <c r="AZ265" s="116"/>
      <c r="BA265" s="116"/>
      <c r="BB265" s="116"/>
      <c r="BC265" s="116"/>
      <c r="BD265" s="116"/>
    </row>
    <row r="266" spans="2:56" ht="15" customHeight="1">
      <c r="B266" s="47"/>
      <c r="C266" s="21"/>
      <c r="D266" s="11" t="s">
        <v>458</v>
      </c>
      <c r="E266" s="18" t="s">
        <v>333</v>
      </c>
      <c r="G266" s="116">
        <f>F271</f>
        <v>0</v>
      </c>
      <c r="H266" s="116">
        <f t="shared" ref="H266:BD266" si="130">G271</f>
        <v>0</v>
      </c>
      <c r="I266" s="116">
        <f t="shared" si="130"/>
        <v>0</v>
      </c>
      <c r="J266" s="116">
        <f t="shared" si="130"/>
        <v>0</v>
      </c>
      <c r="K266" s="116">
        <f t="shared" si="130"/>
        <v>0</v>
      </c>
      <c r="L266" s="116">
        <f t="shared" si="130"/>
        <v>0</v>
      </c>
      <c r="M266" s="116">
        <f t="shared" si="130"/>
        <v>0</v>
      </c>
      <c r="N266" s="116">
        <f t="shared" si="130"/>
        <v>0</v>
      </c>
      <c r="O266" s="116">
        <f t="shared" si="130"/>
        <v>0</v>
      </c>
      <c r="P266" s="116">
        <f t="shared" si="130"/>
        <v>0</v>
      </c>
      <c r="Q266" s="116">
        <f t="shared" si="130"/>
        <v>0</v>
      </c>
      <c r="R266" s="116">
        <f t="shared" si="130"/>
        <v>0</v>
      </c>
      <c r="S266" s="116">
        <f t="shared" si="130"/>
        <v>0</v>
      </c>
      <c r="T266" s="116">
        <f t="shared" si="130"/>
        <v>0</v>
      </c>
      <c r="U266" s="116">
        <f t="shared" si="130"/>
        <v>0</v>
      </c>
      <c r="V266" s="116">
        <f t="shared" si="130"/>
        <v>0</v>
      </c>
      <c r="W266" s="116">
        <f t="shared" si="130"/>
        <v>0</v>
      </c>
      <c r="X266" s="116">
        <f t="shared" si="130"/>
        <v>0</v>
      </c>
      <c r="Y266" s="116">
        <f t="shared" si="130"/>
        <v>0</v>
      </c>
      <c r="Z266" s="116">
        <f t="shared" si="130"/>
        <v>0</v>
      </c>
      <c r="AA266" s="116">
        <f t="shared" si="130"/>
        <v>0</v>
      </c>
      <c r="AB266" s="116">
        <f t="shared" si="130"/>
        <v>0</v>
      </c>
      <c r="AC266" s="116">
        <f t="shared" si="130"/>
        <v>0</v>
      </c>
      <c r="AD266" s="116">
        <f t="shared" si="130"/>
        <v>0</v>
      </c>
      <c r="AE266" s="116">
        <f t="shared" si="130"/>
        <v>0</v>
      </c>
      <c r="AF266" s="116">
        <f t="shared" si="130"/>
        <v>0</v>
      </c>
      <c r="AG266" s="116">
        <f t="shared" si="130"/>
        <v>0</v>
      </c>
      <c r="AH266" s="116">
        <f t="shared" si="130"/>
        <v>0</v>
      </c>
      <c r="AI266" s="116">
        <f t="shared" si="130"/>
        <v>0</v>
      </c>
      <c r="AJ266" s="116">
        <f t="shared" si="130"/>
        <v>0</v>
      </c>
      <c r="AK266" s="116">
        <f t="shared" si="130"/>
        <v>0</v>
      </c>
      <c r="AL266" s="116">
        <f t="shared" si="130"/>
        <v>0</v>
      </c>
      <c r="AM266" s="116">
        <f t="shared" si="130"/>
        <v>0</v>
      </c>
      <c r="AN266" s="116">
        <f t="shared" si="130"/>
        <v>0</v>
      </c>
      <c r="AO266" s="116">
        <f t="shared" si="130"/>
        <v>0</v>
      </c>
      <c r="AP266" s="116">
        <f t="shared" si="130"/>
        <v>0</v>
      </c>
      <c r="AQ266" s="116">
        <f t="shared" si="130"/>
        <v>0</v>
      </c>
      <c r="AR266" s="116">
        <f t="shared" si="130"/>
        <v>0</v>
      </c>
      <c r="AS266" s="116">
        <f t="shared" si="130"/>
        <v>0</v>
      </c>
      <c r="AT266" s="116">
        <f t="shared" si="130"/>
        <v>0</v>
      </c>
      <c r="AU266" s="116">
        <f t="shared" si="130"/>
        <v>0</v>
      </c>
      <c r="AV266" s="116">
        <f t="shared" si="130"/>
        <v>0</v>
      </c>
      <c r="AW266" s="116">
        <f t="shared" si="130"/>
        <v>0</v>
      </c>
      <c r="AX266" s="116">
        <f t="shared" si="130"/>
        <v>0</v>
      </c>
      <c r="AY266" s="116">
        <f t="shared" si="130"/>
        <v>0</v>
      </c>
      <c r="AZ266" s="116">
        <f t="shared" si="130"/>
        <v>0</v>
      </c>
      <c r="BA266" s="116">
        <f t="shared" si="130"/>
        <v>0</v>
      </c>
      <c r="BB266" s="116">
        <f t="shared" si="130"/>
        <v>0</v>
      </c>
      <c r="BC266" s="116">
        <f t="shared" si="130"/>
        <v>0</v>
      </c>
      <c r="BD266" s="116">
        <f t="shared" si="130"/>
        <v>0</v>
      </c>
    </row>
    <row r="267" spans="2:56" ht="15" customHeight="1">
      <c r="B267" s="47"/>
      <c r="C267" s="21">
        <f>SUM(G267:BD267)</f>
        <v>0</v>
      </c>
      <c r="D267" s="11" t="s">
        <v>459</v>
      </c>
      <c r="E267" s="18" t="s">
        <v>333</v>
      </c>
      <c r="G267" s="116">
        <f t="shared" ref="G267:AL267" si="131">IF($E$250 = 2, G261, 0)</f>
        <v>0</v>
      </c>
      <c r="H267" s="116">
        <f t="shared" si="131"/>
        <v>0</v>
      </c>
      <c r="I267" s="116">
        <f t="shared" si="131"/>
        <v>0</v>
      </c>
      <c r="J267" s="116">
        <f t="shared" si="131"/>
        <v>0</v>
      </c>
      <c r="K267" s="116">
        <f t="shared" si="131"/>
        <v>0</v>
      </c>
      <c r="L267" s="116">
        <f t="shared" si="131"/>
        <v>0</v>
      </c>
      <c r="M267" s="116">
        <f t="shared" si="131"/>
        <v>0</v>
      </c>
      <c r="N267" s="116">
        <f t="shared" si="131"/>
        <v>0</v>
      </c>
      <c r="O267" s="116">
        <f t="shared" si="131"/>
        <v>0</v>
      </c>
      <c r="P267" s="116">
        <f t="shared" si="131"/>
        <v>0</v>
      </c>
      <c r="Q267" s="116">
        <f t="shared" si="131"/>
        <v>0</v>
      </c>
      <c r="R267" s="116">
        <f t="shared" si="131"/>
        <v>0</v>
      </c>
      <c r="S267" s="116">
        <f t="shared" si="131"/>
        <v>0</v>
      </c>
      <c r="T267" s="116">
        <f t="shared" si="131"/>
        <v>0</v>
      </c>
      <c r="U267" s="116">
        <f t="shared" si="131"/>
        <v>0</v>
      </c>
      <c r="V267" s="116">
        <f t="shared" si="131"/>
        <v>0</v>
      </c>
      <c r="W267" s="116">
        <f t="shared" si="131"/>
        <v>0</v>
      </c>
      <c r="X267" s="116">
        <f t="shared" si="131"/>
        <v>0</v>
      </c>
      <c r="Y267" s="116">
        <f t="shared" si="131"/>
        <v>0</v>
      </c>
      <c r="Z267" s="116">
        <f t="shared" si="131"/>
        <v>0</v>
      </c>
      <c r="AA267" s="116">
        <f t="shared" si="131"/>
        <v>0</v>
      </c>
      <c r="AB267" s="116">
        <f t="shared" si="131"/>
        <v>0</v>
      </c>
      <c r="AC267" s="116">
        <f t="shared" si="131"/>
        <v>0</v>
      </c>
      <c r="AD267" s="116">
        <f t="shared" si="131"/>
        <v>0</v>
      </c>
      <c r="AE267" s="116">
        <f t="shared" si="131"/>
        <v>0</v>
      </c>
      <c r="AF267" s="116">
        <f t="shared" si="131"/>
        <v>0</v>
      </c>
      <c r="AG267" s="116">
        <f t="shared" si="131"/>
        <v>0</v>
      </c>
      <c r="AH267" s="116">
        <f t="shared" si="131"/>
        <v>0</v>
      </c>
      <c r="AI267" s="116">
        <f t="shared" si="131"/>
        <v>0</v>
      </c>
      <c r="AJ267" s="116">
        <f t="shared" si="131"/>
        <v>0</v>
      </c>
      <c r="AK267" s="116">
        <f t="shared" si="131"/>
        <v>0</v>
      </c>
      <c r="AL267" s="116">
        <f t="shared" si="131"/>
        <v>0</v>
      </c>
      <c r="AM267" s="116">
        <f t="shared" ref="AM267:BD267" si="132">IF($E$250 = 2, AM261, 0)</f>
        <v>0</v>
      </c>
      <c r="AN267" s="116">
        <f t="shared" si="132"/>
        <v>0</v>
      </c>
      <c r="AO267" s="116">
        <f t="shared" si="132"/>
        <v>0</v>
      </c>
      <c r="AP267" s="116">
        <f t="shared" si="132"/>
        <v>0</v>
      </c>
      <c r="AQ267" s="116">
        <f t="shared" si="132"/>
        <v>0</v>
      </c>
      <c r="AR267" s="116">
        <f t="shared" si="132"/>
        <v>0</v>
      </c>
      <c r="AS267" s="116">
        <f t="shared" si="132"/>
        <v>0</v>
      </c>
      <c r="AT267" s="116">
        <f t="shared" si="132"/>
        <v>0</v>
      </c>
      <c r="AU267" s="116">
        <f t="shared" si="132"/>
        <v>0</v>
      </c>
      <c r="AV267" s="116">
        <f t="shared" si="132"/>
        <v>0</v>
      </c>
      <c r="AW267" s="116">
        <f t="shared" si="132"/>
        <v>0</v>
      </c>
      <c r="AX267" s="116">
        <f t="shared" si="132"/>
        <v>0</v>
      </c>
      <c r="AY267" s="116">
        <f t="shared" si="132"/>
        <v>0</v>
      </c>
      <c r="AZ267" s="116">
        <f t="shared" si="132"/>
        <v>0</v>
      </c>
      <c r="BA267" s="116">
        <f t="shared" si="132"/>
        <v>0</v>
      </c>
      <c r="BB267" s="116">
        <f t="shared" si="132"/>
        <v>0</v>
      </c>
      <c r="BC267" s="116">
        <f t="shared" si="132"/>
        <v>0</v>
      </c>
      <c r="BD267" s="116">
        <f t="shared" si="132"/>
        <v>0</v>
      </c>
    </row>
    <row r="268" spans="2:56" ht="15" customHeight="1">
      <c r="B268" s="47"/>
      <c r="C268" s="21">
        <f t="shared" ref="C268:C270" si="133">SUM(G268:BD268)</f>
        <v>0</v>
      </c>
      <c r="D268" s="11" t="s">
        <v>460</v>
      </c>
      <c r="E268" s="18" t="s">
        <v>333</v>
      </c>
      <c r="G268" s="116">
        <f>G266 * (Inputs!$E$199 + Inputs!$E$202)</f>
        <v>0</v>
      </c>
      <c r="H268" s="116">
        <f>H266 * (Inputs!$E$199 + Inputs!$E$202)</f>
        <v>0</v>
      </c>
      <c r="I268" s="116">
        <f>I266 * (Inputs!$E$199 + Inputs!$E$202)</f>
        <v>0</v>
      </c>
      <c r="J268" s="116">
        <f>J266 * (Inputs!$E$199 + Inputs!$E$202)</f>
        <v>0</v>
      </c>
      <c r="K268" s="116">
        <f>K266 * (Inputs!$E$199 + Inputs!$E$202)</f>
        <v>0</v>
      </c>
      <c r="L268" s="116">
        <f>L266 * (Inputs!$E$199 + Inputs!$E$202)</f>
        <v>0</v>
      </c>
      <c r="M268" s="116">
        <f>M266 * (Inputs!$E$199 + Inputs!$E$202)</f>
        <v>0</v>
      </c>
      <c r="N268" s="116">
        <f>N266 * (Inputs!$E$199 + Inputs!$E$202)</f>
        <v>0</v>
      </c>
      <c r="O268" s="116">
        <f>O266 * (Inputs!$E$199 + Inputs!$E$202)</f>
        <v>0</v>
      </c>
      <c r="P268" s="116">
        <f>P266 * (Inputs!$E$199 + Inputs!$E$202)</f>
        <v>0</v>
      </c>
      <c r="Q268" s="116">
        <f>Q266 * (Inputs!$E$199 + Inputs!$E$202)</f>
        <v>0</v>
      </c>
      <c r="R268" s="116">
        <f>R266 * (Inputs!$E$199 + Inputs!$E$202)</f>
        <v>0</v>
      </c>
      <c r="S268" s="116">
        <f>S266 * (Inputs!$E$199 + Inputs!$E$202)</f>
        <v>0</v>
      </c>
      <c r="T268" s="116">
        <f>T266 * (Inputs!$E$199 + Inputs!$E$202)</f>
        <v>0</v>
      </c>
      <c r="U268" s="116">
        <f>U266 * (Inputs!$E$199 + Inputs!$E$202)</f>
        <v>0</v>
      </c>
      <c r="V268" s="116">
        <f>V266 * (Inputs!$E$199 + Inputs!$E$202)</f>
        <v>0</v>
      </c>
      <c r="W268" s="116">
        <f>W266 * (Inputs!$E$199 + Inputs!$E$202)</f>
        <v>0</v>
      </c>
      <c r="X268" s="116">
        <f>X266 * (Inputs!$E$199 + Inputs!$E$202)</f>
        <v>0</v>
      </c>
      <c r="Y268" s="116">
        <f>Y266 * (Inputs!$E$199 + Inputs!$E$202)</f>
        <v>0</v>
      </c>
      <c r="Z268" s="116">
        <f>Z266 * (Inputs!$E$199 + Inputs!$E$202)</f>
        <v>0</v>
      </c>
      <c r="AA268" s="116">
        <f>AA266 * (Inputs!$E$199 + Inputs!$E$202)</f>
        <v>0</v>
      </c>
      <c r="AB268" s="116">
        <f>AB266 * (Inputs!$E$199 + Inputs!$E$202)</f>
        <v>0</v>
      </c>
      <c r="AC268" s="116">
        <f>AC266 * (Inputs!$E$199 + Inputs!$E$202)</f>
        <v>0</v>
      </c>
      <c r="AD268" s="116">
        <f>AD266 * (Inputs!$E$199 + Inputs!$E$202)</f>
        <v>0</v>
      </c>
      <c r="AE268" s="116">
        <f>AE266 * (Inputs!$E$199 + Inputs!$E$202)</f>
        <v>0</v>
      </c>
      <c r="AF268" s="116">
        <f>AF266 * (Inputs!$E$199 + Inputs!$E$202)</f>
        <v>0</v>
      </c>
      <c r="AG268" s="116">
        <f>AG266 * (Inputs!$E$199 + Inputs!$E$202)</f>
        <v>0</v>
      </c>
      <c r="AH268" s="116">
        <f>AH266 * (Inputs!$E$199 + Inputs!$E$202)</f>
        <v>0</v>
      </c>
      <c r="AI268" s="116">
        <f>AI266 * (Inputs!$E$199 + Inputs!$E$202)</f>
        <v>0</v>
      </c>
      <c r="AJ268" s="116">
        <f>AJ266 * (Inputs!$E$199 + Inputs!$E$202)</f>
        <v>0</v>
      </c>
      <c r="AK268" s="116">
        <f>AK266 * (Inputs!$E$199 + Inputs!$E$202)</f>
        <v>0</v>
      </c>
      <c r="AL268" s="116">
        <f>AL266 * (Inputs!$E$199 + Inputs!$E$202)</f>
        <v>0</v>
      </c>
      <c r="AM268" s="116">
        <f>AM266 * (Inputs!$E$199 + Inputs!$E$202)</f>
        <v>0</v>
      </c>
      <c r="AN268" s="116">
        <f>AN266 * (Inputs!$E$199 + Inputs!$E$202)</f>
        <v>0</v>
      </c>
      <c r="AO268" s="116">
        <f>AO266 * (Inputs!$E$199 + Inputs!$E$202)</f>
        <v>0</v>
      </c>
      <c r="AP268" s="116">
        <f>AP266 * (Inputs!$E$199 + Inputs!$E$202)</f>
        <v>0</v>
      </c>
      <c r="AQ268" s="116">
        <f>AQ266 * (Inputs!$E$199 + Inputs!$E$202)</f>
        <v>0</v>
      </c>
      <c r="AR268" s="116">
        <f>AR266 * (Inputs!$E$199 + Inputs!$E$202)</f>
        <v>0</v>
      </c>
      <c r="AS268" s="116">
        <f>AS266 * (Inputs!$E$199 + Inputs!$E$202)</f>
        <v>0</v>
      </c>
      <c r="AT268" s="116">
        <f>AT266 * (Inputs!$E$199 + Inputs!$E$202)</f>
        <v>0</v>
      </c>
      <c r="AU268" s="116">
        <f>AU266 * (Inputs!$E$199 + Inputs!$E$202)</f>
        <v>0</v>
      </c>
      <c r="AV268" s="116">
        <f>AV266 * (Inputs!$E$199 + Inputs!$E$202)</f>
        <v>0</v>
      </c>
      <c r="AW268" s="116">
        <f>AW266 * (Inputs!$E$199 + Inputs!$E$202)</f>
        <v>0</v>
      </c>
      <c r="AX268" s="116">
        <f>AX266 * (Inputs!$E$199 + Inputs!$E$202)</f>
        <v>0</v>
      </c>
      <c r="AY268" s="116">
        <f>AY266 * (Inputs!$E$199 + Inputs!$E$202)</f>
        <v>0</v>
      </c>
      <c r="AZ268" s="116">
        <f>AZ266 * (Inputs!$E$199 + Inputs!$E$202)</f>
        <v>0</v>
      </c>
      <c r="BA268" s="116">
        <f>BA266 * (Inputs!$E$199 + Inputs!$E$202)</f>
        <v>0</v>
      </c>
      <c r="BB268" s="116">
        <f>BB266 * (Inputs!$E$199 + Inputs!$E$202)</f>
        <v>0</v>
      </c>
      <c r="BC268" s="116">
        <f>BC266 * (Inputs!$E$199 + Inputs!$E$202)</f>
        <v>0</v>
      </c>
      <c r="BD268" s="116">
        <f>BD266 * (Inputs!$E$199 + Inputs!$E$202)</f>
        <v>0</v>
      </c>
    </row>
    <row r="269" spans="2:56" ht="15" customHeight="1">
      <c r="B269" s="47"/>
      <c r="C269" s="21">
        <f t="shared" si="133"/>
        <v>0</v>
      </c>
      <c r="D269" s="11" t="s">
        <v>461</v>
      </c>
      <c r="E269" s="18" t="s">
        <v>333</v>
      </c>
      <c r="G269" s="116">
        <f>SUM(G266:G268)</f>
        <v>0</v>
      </c>
      <c r="H269" s="116">
        <f t="shared" ref="H269:BD269" si="134">SUM(H266:H268)</f>
        <v>0</v>
      </c>
      <c r="I269" s="116">
        <f t="shared" si="134"/>
        <v>0</v>
      </c>
      <c r="J269" s="116">
        <f t="shared" si="134"/>
        <v>0</v>
      </c>
      <c r="K269" s="116">
        <f t="shared" si="134"/>
        <v>0</v>
      </c>
      <c r="L269" s="116">
        <f t="shared" si="134"/>
        <v>0</v>
      </c>
      <c r="M269" s="116">
        <f t="shared" si="134"/>
        <v>0</v>
      </c>
      <c r="N269" s="116">
        <f t="shared" si="134"/>
        <v>0</v>
      </c>
      <c r="O269" s="116">
        <f t="shared" si="134"/>
        <v>0</v>
      </c>
      <c r="P269" s="116">
        <f t="shared" si="134"/>
        <v>0</v>
      </c>
      <c r="Q269" s="116">
        <f t="shared" si="134"/>
        <v>0</v>
      </c>
      <c r="R269" s="116">
        <f t="shared" si="134"/>
        <v>0</v>
      </c>
      <c r="S269" s="116">
        <f t="shared" si="134"/>
        <v>0</v>
      </c>
      <c r="T269" s="116">
        <f t="shared" si="134"/>
        <v>0</v>
      </c>
      <c r="U269" s="116">
        <f t="shared" si="134"/>
        <v>0</v>
      </c>
      <c r="V269" s="116">
        <f t="shared" si="134"/>
        <v>0</v>
      </c>
      <c r="W269" s="116">
        <f t="shared" si="134"/>
        <v>0</v>
      </c>
      <c r="X269" s="116">
        <f t="shared" si="134"/>
        <v>0</v>
      </c>
      <c r="Y269" s="116">
        <f t="shared" si="134"/>
        <v>0</v>
      </c>
      <c r="Z269" s="116">
        <f t="shared" si="134"/>
        <v>0</v>
      </c>
      <c r="AA269" s="116">
        <f t="shared" si="134"/>
        <v>0</v>
      </c>
      <c r="AB269" s="116">
        <f t="shared" si="134"/>
        <v>0</v>
      </c>
      <c r="AC269" s="116">
        <f t="shared" si="134"/>
        <v>0</v>
      </c>
      <c r="AD269" s="116">
        <f t="shared" si="134"/>
        <v>0</v>
      </c>
      <c r="AE269" s="116">
        <f t="shared" si="134"/>
        <v>0</v>
      </c>
      <c r="AF269" s="116">
        <f t="shared" si="134"/>
        <v>0</v>
      </c>
      <c r="AG269" s="116">
        <f t="shared" si="134"/>
        <v>0</v>
      </c>
      <c r="AH269" s="116">
        <f t="shared" si="134"/>
        <v>0</v>
      </c>
      <c r="AI269" s="116">
        <f t="shared" si="134"/>
        <v>0</v>
      </c>
      <c r="AJ269" s="116">
        <f t="shared" si="134"/>
        <v>0</v>
      </c>
      <c r="AK269" s="116">
        <f t="shared" si="134"/>
        <v>0</v>
      </c>
      <c r="AL269" s="116">
        <f t="shared" si="134"/>
        <v>0</v>
      </c>
      <c r="AM269" s="116">
        <f t="shared" si="134"/>
        <v>0</v>
      </c>
      <c r="AN269" s="116">
        <f t="shared" si="134"/>
        <v>0</v>
      </c>
      <c r="AO269" s="116">
        <f t="shared" si="134"/>
        <v>0</v>
      </c>
      <c r="AP269" s="116">
        <f t="shared" si="134"/>
        <v>0</v>
      </c>
      <c r="AQ269" s="116">
        <f t="shared" si="134"/>
        <v>0</v>
      </c>
      <c r="AR269" s="116">
        <f t="shared" si="134"/>
        <v>0</v>
      </c>
      <c r="AS269" s="116">
        <f t="shared" si="134"/>
        <v>0</v>
      </c>
      <c r="AT269" s="116">
        <f t="shared" si="134"/>
        <v>0</v>
      </c>
      <c r="AU269" s="116">
        <f t="shared" si="134"/>
        <v>0</v>
      </c>
      <c r="AV269" s="116">
        <f t="shared" si="134"/>
        <v>0</v>
      </c>
      <c r="AW269" s="116">
        <f t="shared" si="134"/>
        <v>0</v>
      </c>
      <c r="AX269" s="116">
        <f t="shared" si="134"/>
        <v>0</v>
      </c>
      <c r="AY269" s="116">
        <f t="shared" si="134"/>
        <v>0</v>
      </c>
      <c r="AZ269" s="116">
        <f t="shared" si="134"/>
        <v>0</v>
      </c>
      <c r="BA269" s="116">
        <f t="shared" si="134"/>
        <v>0</v>
      </c>
      <c r="BB269" s="116">
        <f t="shared" si="134"/>
        <v>0</v>
      </c>
      <c r="BC269" s="116">
        <f t="shared" si="134"/>
        <v>0</v>
      </c>
      <c r="BD269" s="116">
        <f t="shared" si="134"/>
        <v>0</v>
      </c>
    </row>
    <row r="270" spans="2:56" ht="15" customHeight="1">
      <c r="B270" s="47"/>
      <c r="C270" s="21">
        <f t="shared" si="133"/>
        <v>0</v>
      </c>
      <c r="D270" s="11" t="s">
        <v>462</v>
      </c>
      <c r="E270" s="18" t="s">
        <v>333</v>
      </c>
      <c r="G270" s="116">
        <f>MIN(G263, G269)</f>
        <v>0</v>
      </c>
      <c r="H270" s="116">
        <f t="shared" ref="H270:BD270" si="135">MIN(H263, H269)</f>
        <v>0</v>
      </c>
      <c r="I270" s="116">
        <f t="shared" si="135"/>
        <v>0</v>
      </c>
      <c r="J270" s="116">
        <f t="shared" si="135"/>
        <v>0</v>
      </c>
      <c r="K270" s="116">
        <f t="shared" si="135"/>
        <v>0</v>
      </c>
      <c r="L270" s="116">
        <f t="shared" si="135"/>
        <v>0</v>
      </c>
      <c r="M270" s="116">
        <f t="shared" si="135"/>
        <v>0</v>
      </c>
      <c r="N270" s="116">
        <f t="shared" si="135"/>
        <v>0</v>
      </c>
      <c r="O270" s="116">
        <f t="shared" si="135"/>
        <v>0</v>
      </c>
      <c r="P270" s="116">
        <f t="shared" si="135"/>
        <v>0</v>
      </c>
      <c r="Q270" s="116">
        <f t="shared" si="135"/>
        <v>0</v>
      </c>
      <c r="R270" s="116">
        <f t="shared" si="135"/>
        <v>0</v>
      </c>
      <c r="S270" s="116">
        <f t="shared" si="135"/>
        <v>0</v>
      </c>
      <c r="T270" s="116">
        <f t="shared" si="135"/>
        <v>0</v>
      </c>
      <c r="U270" s="116">
        <f t="shared" si="135"/>
        <v>0</v>
      </c>
      <c r="V270" s="116">
        <f t="shared" si="135"/>
        <v>0</v>
      </c>
      <c r="W270" s="116">
        <f t="shared" si="135"/>
        <v>0</v>
      </c>
      <c r="X270" s="116">
        <f t="shared" si="135"/>
        <v>0</v>
      </c>
      <c r="Y270" s="116">
        <f t="shared" si="135"/>
        <v>0</v>
      </c>
      <c r="Z270" s="116">
        <f t="shared" si="135"/>
        <v>0</v>
      </c>
      <c r="AA270" s="116">
        <f t="shared" si="135"/>
        <v>0</v>
      </c>
      <c r="AB270" s="116">
        <f t="shared" si="135"/>
        <v>0</v>
      </c>
      <c r="AC270" s="116">
        <f t="shared" si="135"/>
        <v>0</v>
      </c>
      <c r="AD270" s="116">
        <f t="shared" si="135"/>
        <v>0</v>
      </c>
      <c r="AE270" s="116">
        <f t="shared" si="135"/>
        <v>0</v>
      </c>
      <c r="AF270" s="116">
        <f t="shared" si="135"/>
        <v>0</v>
      </c>
      <c r="AG270" s="116">
        <f t="shared" si="135"/>
        <v>0</v>
      </c>
      <c r="AH270" s="116">
        <f t="shared" si="135"/>
        <v>0</v>
      </c>
      <c r="AI270" s="116">
        <f t="shared" si="135"/>
        <v>0</v>
      </c>
      <c r="AJ270" s="116">
        <f t="shared" si="135"/>
        <v>0</v>
      </c>
      <c r="AK270" s="116">
        <f t="shared" si="135"/>
        <v>0</v>
      </c>
      <c r="AL270" s="116">
        <f t="shared" si="135"/>
        <v>0</v>
      </c>
      <c r="AM270" s="116">
        <f t="shared" si="135"/>
        <v>0</v>
      </c>
      <c r="AN270" s="116">
        <f t="shared" si="135"/>
        <v>0</v>
      </c>
      <c r="AO270" s="116">
        <f t="shared" si="135"/>
        <v>0</v>
      </c>
      <c r="AP270" s="116">
        <f t="shared" si="135"/>
        <v>0</v>
      </c>
      <c r="AQ270" s="116">
        <f t="shared" si="135"/>
        <v>0</v>
      </c>
      <c r="AR270" s="116">
        <f t="shared" si="135"/>
        <v>0</v>
      </c>
      <c r="AS270" s="116">
        <f t="shared" si="135"/>
        <v>0</v>
      </c>
      <c r="AT270" s="116">
        <f t="shared" si="135"/>
        <v>0</v>
      </c>
      <c r="AU270" s="116">
        <f t="shared" si="135"/>
        <v>0</v>
      </c>
      <c r="AV270" s="116">
        <f t="shared" si="135"/>
        <v>0</v>
      </c>
      <c r="AW270" s="116">
        <f t="shared" si="135"/>
        <v>0</v>
      </c>
      <c r="AX270" s="116">
        <f t="shared" si="135"/>
        <v>0</v>
      </c>
      <c r="AY270" s="116">
        <f t="shared" si="135"/>
        <v>0</v>
      </c>
      <c r="AZ270" s="116">
        <f t="shared" si="135"/>
        <v>0</v>
      </c>
      <c r="BA270" s="116">
        <f t="shared" si="135"/>
        <v>0</v>
      </c>
      <c r="BB270" s="116">
        <f t="shared" si="135"/>
        <v>0</v>
      </c>
      <c r="BC270" s="116">
        <f t="shared" si="135"/>
        <v>0</v>
      </c>
      <c r="BD270" s="116">
        <f t="shared" si="135"/>
        <v>0</v>
      </c>
    </row>
    <row r="271" spans="2:56" ht="15" customHeight="1">
      <c r="B271" s="47"/>
      <c r="C271" s="21"/>
      <c r="D271" s="11" t="s">
        <v>463</v>
      </c>
      <c r="E271" s="18" t="s">
        <v>333</v>
      </c>
      <c r="G271" s="116">
        <f>G269-G270</f>
        <v>0</v>
      </c>
      <c r="H271" s="116">
        <f t="shared" ref="H271:BD271" si="136">H269-H270</f>
        <v>0</v>
      </c>
      <c r="I271" s="116">
        <f t="shared" si="136"/>
        <v>0</v>
      </c>
      <c r="J271" s="116">
        <f t="shared" si="136"/>
        <v>0</v>
      </c>
      <c r="K271" s="116">
        <f t="shared" si="136"/>
        <v>0</v>
      </c>
      <c r="L271" s="116">
        <f t="shared" si="136"/>
        <v>0</v>
      </c>
      <c r="M271" s="116">
        <f t="shared" si="136"/>
        <v>0</v>
      </c>
      <c r="N271" s="116">
        <f t="shared" si="136"/>
        <v>0</v>
      </c>
      <c r="O271" s="116">
        <f t="shared" si="136"/>
        <v>0</v>
      </c>
      <c r="P271" s="116">
        <f t="shared" si="136"/>
        <v>0</v>
      </c>
      <c r="Q271" s="116">
        <f t="shared" si="136"/>
        <v>0</v>
      </c>
      <c r="R271" s="116">
        <f t="shared" si="136"/>
        <v>0</v>
      </c>
      <c r="S271" s="116">
        <f t="shared" si="136"/>
        <v>0</v>
      </c>
      <c r="T271" s="116">
        <f t="shared" si="136"/>
        <v>0</v>
      </c>
      <c r="U271" s="116">
        <f t="shared" si="136"/>
        <v>0</v>
      </c>
      <c r="V271" s="116">
        <f t="shared" si="136"/>
        <v>0</v>
      </c>
      <c r="W271" s="116">
        <f t="shared" si="136"/>
        <v>0</v>
      </c>
      <c r="X271" s="116">
        <f t="shared" si="136"/>
        <v>0</v>
      </c>
      <c r="Y271" s="116">
        <f t="shared" si="136"/>
        <v>0</v>
      </c>
      <c r="Z271" s="116">
        <f t="shared" si="136"/>
        <v>0</v>
      </c>
      <c r="AA271" s="116">
        <f t="shared" si="136"/>
        <v>0</v>
      </c>
      <c r="AB271" s="116">
        <f t="shared" si="136"/>
        <v>0</v>
      </c>
      <c r="AC271" s="116">
        <f t="shared" si="136"/>
        <v>0</v>
      </c>
      <c r="AD271" s="116">
        <f t="shared" si="136"/>
        <v>0</v>
      </c>
      <c r="AE271" s="116">
        <f t="shared" si="136"/>
        <v>0</v>
      </c>
      <c r="AF271" s="116">
        <f t="shared" si="136"/>
        <v>0</v>
      </c>
      <c r="AG271" s="116">
        <f t="shared" si="136"/>
        <v>0</v>
      </c>
      <c r="AH271" s="116">
        <f t="shared" si="136"/>
        <v>0</v>
      </c>
      <c r="AI271" s="116">
        <f t="shared" si="136"/>
        <v>0</v>
      </c>
      <c r="AJ271" s="116">
        <f t="shared" si="136"/>
        <v>0</v>
      </c>
      <c r="AK271" s="116">
        <f t="shared" si="136"/>
        <v>0</v>
      </c>
      <c r="AL271" s="116">
        <f t="shared" si="136"/>
        <v>0</v>
      </c>
      <c r="AM271" s="116">
        <f t="shared" si="136"/>
        <v>0</v>
      </c>
      <c r="AN271" s="116">
        <f t="shared" si="136"/>
        <v>0</v>
      </c>
      <c r="AO271" s="116">
        <f t="shared" si="136"/>
        <v>0</v>
      </c>
      <c r="AP271" s="116">
        <f t="shared" si="136"/>
        <v>0</v>
      </c>
      <c r="AQ271" s="116">
        <f t="shared" si="136"/>
        <v>0</v>
      </c>
      <c r="AR271" s="116">
        <f t="shared" si="136"/>
        <v>0</v>
      </c>
      <c r="AS271" s="116">
        <f t="shared" si="136"/>
        <v>0</v>
      </c>
      <c r="AT271" s="116">
        <f t="shared" si="136"/>
        <v>0</v>
      </c>
      <c r="AU271" s="116">
        <f t="shared" si="136"/>
        <v>0</v>
      </c>
      <c r="AV271" s="116">
        <f t="shared" si="136"/>
        <v>0</v>
      </c>
      <c r="AW271" s="116">
        <f t="shared" si="136"/>
        <v>0</v>
      </c>
      <c r="AX271" s="116">
        <f t="shared" si="136"/>
        <v>0</v>
      </c>
      <c r="AY271" s="116">
        <f t="shared" si="136"/>
        <v>0</v>
      </c>
      <c r="AZ271" s="116">
        <f t="shared" si="136"/>
        <v>0</v>
      </c>
      <c r="BA271" s="116">
        <f t="shared" si="136"/>
        <v>0</v>
      </c>
      <c r="BB271" s="116">
        <f t="shared" si="136"/>
        <v>0</v>
      </c>
      <c r="BC271" s="116">
        <f t="shared" si="136"/>
        <v>0</v>
      </c>
      <c r="BD271" s="116">
        <f t="shared" si="136"/>
        <v>0</v>
      </c>
    </row>
    <row r="272" spans="2:56" ht="15" customHeight="1" thickBot="1">
      <c r="C272" s="20"/>
      <c r="E272" s="18"/>
      <c r="G272" s="17"/>
      <c r="H272" s="17"/>
      <c r="I272" s="17"/>
      <c r="J272" s="17"/>
      <c r="K272" s="17"/>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row>
    <row r="273" spans="3:56" ht="15" customHeight="1">
      <c r="C273" s="130"/>
      <c r="D273" s="268"/>
      <c r="E273" s="269"/>
      <c r="F273" s="130"/>
      <c r="G273" s="130"/>
      <c r="H273" s="130"/>
      <c r="I273" s="130"/>
      <c r="J273" s="130"/>
      <c r="K273" s="130"/>
      <c r="L273" s="130"/>
      <c r="M273" s="130"/>
      <c r="N273" s="130"/>
      <c r="O273" s="130"/>
      <c r="P273" s="130"/>
      <c r="Q273" s="130"/>
      <c r="R273" s="130"/>
      <c r="S273" s="130"/>
      <c r="T273" s="130"/>
      <c r="U273" s="130"/>
      <c r="V273" s="130"/>
      <c r="W273" s="130"/>
      <c r="X273" s="130"/>
      <c r="Y273" s="130"/>
      <c r="Z273" s="130"/>
      <c r="AA273" s="130"/>
      <c r="AB273" s="130"/>
      <c r="AC273" s="130"/>
      <c r="AD273" s="130"/>
      <c r="AE273" s="130"/>
      <c r="AF273" s="130"/>
      <c r="AG273" s="130"/>
      <c r="AH273" s="130"/>
      <c r="AI273" s="130"/>
      <c r="AJ273" s="130"/>
      <c r="AK273" s="130"/>
      <c r="AL273" s="130"/>
      <c r="AM273" s="130"/>
      <c r="AN273" s="130"/>
      <c r="AO273" s="130"/>
      <c r="AP273" s="130"/>
      <c r="AQ273" s="130"/>
      <c r="AR273" s="130"/>
      <c r="AS273" s="130"/>
      <c r="AT273" s="130"/>
      <c r="AU273" s="130"/>
      <c r="AV273" s="130"/>
      <c r="AW273" s="130"/>
      <c r="AX273" s="130"/>
      <c r="AY273" s="130"/>
      <c r="AZ273" s="130"/>
      <c r="BA273" s="130"/>
      <c r="BB273" s="130"/>
      <c r="BC273" s="130"/>
      <c r="BD273" s="130"/>
    </row>
    <row r="274" spans="3:56" ht="15" customHeight="1">
      <c r="D274" s="11" t="s">
        <v>445</v>
      </c>
      <c r="E274" s="388">
        <f>IF(Inputs!E80 = 2, Inputs!E79, 0%)</f>
        <v>0</v>
      </c>
    </row>
    <row r="275" spans="3:56" ht="15" customHeight="1">
      <c r="D275" s="11" t="s">
        <v>464</v>
      </c>
      <c r="E275" s="389">
        <f>100% - E274</f>
        <v>1</v>
      </c>
    </row>
    <row r="276" spans="3:56" ht="15" customHeight="1">
      <c r="D276" s="22"/>
      <c r="E276" s="18"/>
    </row>
    <row r="277" spans="3:56" ht="15" customHeight="1">
      <c r="D277" s="112" t="s">
        <v>465</v>
      </c>
      <c r="E277" s="18" t="s">
        <v>333</v>
      </c>
      <c r="G277" s="270">
        <f t="shared" ref="G277:AL277" si="137">G51 - G254 - ((G56 + G236 + G240 + G244 + G210) * $E$275)</f>
        <v>0</v>
      </c>
      <c r="H277" s="270">
        <f t="shared" si="137"/>
        <v>0</v>
      </c>
      <c r="I277" s="270">
        <f t="shared" si="137"/>
        <v>-2.9261250000000003</v>
      </c>
      <c r="J277" s="270">
        <f t="shared" si="137"/>
        <v>-11.93859</v>
      </c>
      <c r="K277" s="270">
        <f t="shared" si="137"/>
        <v>120.66141895560003</v>
      </c>
      <c r="L277" s="270">
        <f t="shared" si="137"/>
        <v>292.76358618052808</v>
      </c>
      <c r="M277" s="270">
        <f t="shared" si="137"/>
        <v>298.61885790413862</v>
      </c>
      <c r="N277" s="270">
        <f t="shared" si="137"/>
        <v>304.5912350622213</v>
      </c>
      <c r="O277" s="270">
        <f t="shared" si="137"/>
        <v>310.68305976346579</v>
      </c>
      <c r="P277" s="270">
        <f t="shared" si="137"/>
        <v>316.89672095873516</v>
      </c>
      <c r="Q277" s="270">
        <f t="shared" si="137"/>
        <v>323.23465537790992</v>
      </c>
      <c r="R277" s="270">
        <f t="shared" si="137"/>
        <v>329.69934848546791</v>
      </c>
      <c r="S277" s="270">
        <f t="shared" si="137"/>
        <v>336.29333545517738</v>
      </c>
      <c r="T277" s="270">
        <f t="shared" si="137"/>
        <v>343.01920216428096</v>
      </c>
      <c r="U277" s="270">
        <f t="shared" si="137"/>
        <v>349.87958620756655</v>
      </c>
      <c r="V277" s="270">
        <f t="shared" si="137"/>
        <v>356.87717793171777</v>
      </c>
      <c r="W277" s="270">
        <f t="shared" si="137"/>
        <v>364.01472149035226</v>
      </c>
      <c r="X277" s="270">
        <f t="shared" si="137"/>
        <v>371.2950159201593</v>
      </c>
      <c r="Y277" s="270">
        <f t="shared" si="137"/>
        <v>378.72091623856244</v>
      </c>
      <c r="Z277" s="270">
        <f t="shared" si="137"/>
        <v>386.29533456333365</v>
      </c>
      <c r="AA277" s="270">
        <f t="shared" si="137"/>
        <v>394.02124125460034</v>
      </c>
      <c r="AB277" s="270">
        <f t="shared" si="137"/>
        <v>401.9016660796924</v>
      </c>
      <c r="AC277" s="270">
        <f t="shared" si="137"/>
        <v>409.93969940128625</v>
      </c>
      <c r="AD277" s="270">
        <f t="shared" si="137"/>
        <v>414.27509019204285</v>
      </c>
      <c r="AE277" s="270">
        <f t="shared" si="137"/>
        <v>422.56059199588373</v>
      </c>
      <c r="AF277" s="270">
        <f t="shared" si="137"/>
        <v>431.0118038358014</v>
      </c>
      <c r="AG277" s="270">
        <f t="shared" si="137"/>
        <v>440.88710349828307</v>
      </c>
      <c r="AH277" s="270">
        <f t="shared" si="137"/>
        <v>193.27929018245547</v>
      </c>
      <c r="AI277" s="270">
        <f t="shared" si="137"/>
        <v>0</v>
      </c>
      <c r="AJ277" s="270">
        <f t="shared" si="137"/>
        <v>0</v>
      </c>
      <c r="AK277" s="270">
        <f t="shared" si="137"/>
        <v>0</v>
      </c>
      <c r="AL277" s="270">
        <f t="shared" si="137"/>
        <v>0</v>
      </c>
      <c r="AM277" s="270">
        <f t="shared" ref="AM277:BD277" si="138">AM51 - AM254 - ((AM56 + AM236 + AM240 + AM244 + AM210) * $E$275)</f>
        <v>0</v>
      </c>
      <c r="AN277" s="270">
        <f t="shared" si="138"/>
        <v>0</v>
      </c>
      <c r="AO277" s="270">
        <f t="shared" si="138"/>
        <v>0</v>
      </c>
      <c r="AP277" s="270">
        <f t="shared" si="138"/>
        <v>0</v>
      </c>
      <c r="AQ277" s="270">
        <f t="shared" si="138"/>
        <v>0</v>
      </c>
      <c r="AR277" s="270">
        <f t="shared" si="138"/>
        <v>0</v>
      </c>
      <c r="AS277" s="270">
        <f t="shared" si="138"/>
        <v>0</v>
      </c>
      <c r="AT277" s="270">
        <f t="shared" si="138"/>
        <v>0</v>
      </c>
      <c r="AU277" s="270">
        <f t="shared" si="138"/>
        <v>0</v>
      </c>
      <c r="AV277" s="270">
        <f t="shared" si="138"/>
        <v>0</v>
      </c>
      <c r="AW277" s="270">
        <f t="shared" si="138"/>
        <v>0</v>
      </c>
      <c r="AX277" s="270">
        <f t="shared" si="138"/>
        <v>0</v>
      </c>
      <c r="AY277" s="270">
        <f t="shared" si="138"/>
        <v>0</v>
      </c>
      <c r="AZ277" s="270">
        <f t="shared" si="138"/>
        <v>0</v>
      </c>
      <c r="BA277" s="270">
        <f t="shared" si="138"/>
        <v>0</v>
      </c>
      <c r="BB277" s="270">
        <f t="shared" si="138"/>
        <v>0</v>
      </c>
      <c r="BC277" s="270">
        <f t="shared" si="138"/>
        <v>0</v>
      </c>
      <c r="BD277" s="270">
        <f t="shared" si="138"/>
        <v>0</v>
      </c>
    </row>
    <row r="278" spans="3:56" ht="15" customHeight="1" thickBot="1">
      <c r="C278" s="106"/>
      <c r="D278" s="108"/>
      <c r="E278" s="107"/>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c r="AO278" s="106"/>
      <c r="AP278" s="106"/>
      <c r="AQ278" s="106"/>
      <c r="AR278" s="106"/>
      <c r="AS278" s="106"/>
      <c r="AT278" s="106"/>
      <c r="AU278" s="106"/>
      <c r="AV278" s="106"/>
      <c r="AW278" s="106"/>
      <c r="AX278" s="106"/>
      <c r="AY278" s="106"/>
      <c r="AZ278" s="106"/>
      <c r="BA278" s="106"/>
      <c r="BB278" s="106"/>
      <c r="BC278" s="106"/>
      <c r="BD278" s="106"/>
    </row>
    <row r="279" spans="3:56" ht="15" customHeight="1">
      <c r="D279" s="22"/>
      <c r="E279" s="18"/>
    </row>
    <row r="280" spans="3:56" ht="15" customHeight="1">
      <c r="D280" s="213" t="s">
        <v>466</v>
      </c>
      <c r="E280" s="18"/>
    </row>
    <row r="281" spans="3:56" ht="15" customHeight="1"/>
    <row r="282" spans="3:56" ht="15" customHeight="1">
      <c r="D282" s="11" t="s">
        <v>445</v>
      </c>
      <c r="E282" s="388">
        <f>IF(AND(Inputs!E80 = 2, Inputs!E81 &lt; 3), Inputs!E79, 0%)</f>
        <v>0</v>
      </c>
    </row>
    <row r="283" spans="3:56" ht="15" customHeight="1">
      <c r="D283" s="11" t="s">
        <v>464</v>
      </c>
      <c r="E283" s="310">
        <f>100% - E282</f>
        <v>1</v>
      </c>
    </row>
    <row r="284" spans="3:56" ht="15" customHeight="1"/>
    <row r="285" spans="3:56" ht="15" customHeight="1">
      <c r="D285" s="11" t="s">
        <v>435</v>
      </c>
      <c r="E285" s="18">
        <f>IF(AND(Inputs!$E$85 = 1, Inputs!$E$88 = 0), 1, IF(AND(Inputs!$E$85 = 1, Inputs!$E$88 = 1), 2, IF(Inputs!$E$89 = 1, 3, IF(Inputs!$E$93 = 1, 4, 5))))</f>
        <v>5</v>
      </c>
    </row>
    <row r="286" spans="3:56" ht="15" customHeight="1"/>
    <row r="287" spans="3:56" ht="15" customHeight="1">
      <c r="C287" s="21"/>
      <c r="D287" s="132" t="s">
        <v>467</v>
      </c>
      <c r="E287" s="18" t="s">
        <v>333</v>
      </c>
      <c r="G287" s="19">
        <f>IF(G277 &lt; 0, 0, G277)</f>
        <v>0</v>
      </c>
      <c r="H287" s="19">
        <f t="shared" ref="H287:BD287" si="139">IF(H277 &lt; 0, 0, H277)</f>
        <v>0</v>
      </c>
      <c r="I287" s="19">
        <f t="shared" si="139"/>
        <v>0</v>
      </c>
      <c r="J287" s="19">
        <f t="shared" si="139"/>
        <v>0</v>
      </c>
      <c r="K287" s="19">
        <f t="shared" si="139"/>
        <v>120.66141895560003</v>
      </c>
      <c r="L287" s="19">
        <f t="shared" si="139"/>
        <v>292.76358618052808</v>
      </c>
      <c r="M287" s="19">
        <f t="shared" si="139"/>
        <v>298.61885790413862</v>
      </c>
      <c r="N287" s="19">
        <f t="shared" si="139"/>
        <v>304.5912350622213</v>
      </c>
      <c r="O287" s="19">
        <f t="shared" si="139"/>
        <v>310.68305976346579</v>
      </c>
      <c r="P287" s="19">
        <f t="shared" si="139"/>
        <v>316.89672095873516</v>
      </c>
      <c r="Q287" s="19">
        <f t="shared" si="139"/>
        <v>323.23465537790992</v>
      </c>
      <c r="R287" s="19">
        <f t="shared" si="139"/>
        <v>329.69934848546791</v>
      </c>
      <c r="S287" s="19">
        <f t="shared" si="139"/>
        <v>336.29333545517738</v>
      </c>
      <c r="T287" s="19">
        <f t="shared" si="139"/>
        <v>343.01920216428096</v>
      </c>
      <c r="U287" s="19">
        <f t="shared" si="139"/>
        <v>349.87958620756655</v>
      </c>
      <c r="V287" s="19">
        <f t="shared" si="139"/>
        <v>356.87717793171777</v>
      </c>
      <c r="W287" s="19">
        <f t="shared" si="139"/>
        <v>364.01472149035226</v>
      </c>
      <c r="X287" s="19">
        <f t="shared" si="139"/>
        <v>371.2950159201593</v>
      </c>
      <c r="Y287" s="19">
        <f t="shared" si="139"/>
        <v>378.72091623856244</v>
      </c>
      <c r="Z287" s="19">
        <f t="shared" si="139"/>
        <v>386.29533456333365</v>
      </c>
      <c r="AA287" s="19">
        <f t="shared" si="139"/>
        <v>394.02124125460034</v>
      </c>
      <c r="AB287" s="19">
        <f t="shared" si="139"/>
        <v>401.9016660796924</v>
      </c>
      <c r="AC287" s="19">
        <f t="shared" si="139"/>
        <v>409.93969940128625</v>
      </c>
      <c r="AD287" s="19">
        <f t="shared" si="139"/>
        <v>414.27509019204285</v>
      </c>
      <c r="AE287" s="19">
        <f t="shared" si="139"/>
        <v>422.56059199588373</v>
      </c>
      <c r="AF287" s="19">
        <f t="shared" si="139"/>
        <v>431.0118038358014</v>
      </c>
      <c r="AG287" s="19">
        <f t="shared" si="139"/>
        <v>440.88710349828307</v>
      </c>
      <c r="AH287" s="19">
        <f t="shared" si="139"/>
        <v>193.27929018245547</v>
      </c>
      <c r="AI287" s="19">
        <f t="shared" si="139"/>
        <v>0</v>
      </c>
      <c r="AJ287" s="19">
        <f t="shared" si="139"/>
        <v>0</v>
      </c>
      <c r="AK287" s="19">
        <f t="shared" si="139"/>
        <v>0</v>
      </c>
      <c r="AL287" s="19">
        <f t="shared" si="139"/>
        <v>0</v>
      </c>
      <c r="AM287" s="19">
        <f t="shared" si="139"/>
        <v>0</v>
      </c>
      <c r="AN287" s="19">
        <f t="shared" si="139"/>
        <v>0</v>
      </c>
      <c r="AO287" s="19">
        <f t="shared" si="139"/>
        <v>0</v>
      </c>
      <c r="AP287" s="19">
        <f t="shared" si="139"/>
        <v>0</v>
      </c>
      <c r="AQ287" s="19">
        <f t="shared" si="139"/>
        <v>0</v>
      </c>
      <c r="AR287" s="19">
        <f t="shared" si="139"/>
        <v>0</v>
      </c>
      <c r="AS287" s="19">
        <f t="shared" si="139"/>
        <v>0</v>
      </c>
      <c r="AT287" s="19">
        <f t="shared" si="139"/>
        <v>0</v>
      </c>
      <c r="AU287" s="19">
        <f t="shared" si="139"/>
        <v>0</v>
      </c>
      <c r="AV287" s="19">
        <f t="shared" si="139"/>
        <v>0</v>
      </c>
      <c r="AW287" s="19">
        <f t="shared" si="139"/>
        <v>0</v>
      </c>
      <c r="AX287" s="19">
        <f t="shared" si="139"/>
        <v>0</v>
      </c>
      <c r="AY287" s="19">
        <f t="shared" si="139"/>
        <v>0</v>
      </c>
      <c r="AZ287" s="19">
        <f t="shared" si="139"/>
        <v>0</v>
      </c>
      <c r="BA287" s="19">
        <f t="shared" si="139"/>
        <v>0</v>
      </c>
      <c r="BB287" s="19">
        <f t="shared" si="139"/>
        <v>0</v>
      </c>
      <c r="BC287" s="19">
        <f t="shared" si="139"/>
        <v>0</v>
      </c>
      <c r="BD287" s="19">
        <f t="shared" si="139"/>
        <v>0</v>
      </c>
    </row>
    <row r="288" spans="3:56" ht="15" customHeight="1">
      <c r="C288" s="21"/>
      <c r="D288" s="132"/>
      <c r="E288" s="18"/>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row>
    <row r="289" spans="3:56" ht="15" customHeight="1">
      <c r="C289" s="21"/>
      <c r="D289" s="132" t="s">
        <v>468</v>
      </c>
      <c r="E289" s="18" t="s">
        <v>30</v>
      </c>
      <c r="G289" s="7">
        <f t="shared" ref="G289:AL289" si="140">IFERROR(G287/G49,0)</f>
        <v>0</v>
      </c>
      <c r="H289" s="7">
        <f t="shared" si="140"/>
        <v>0</v>
      </c>
      <c r="I289" s="7">
        <f t="shared" si="140"/>
        <v>0</v>
      </c>
      <c r="J289" s="7">
        <f t="shared" si="140"/>
        <v>0</v>
      </c>
      <c r="K289" s="7">
        <f t="shared" si="140"/>
        <v>0.4644687500000001</v>
      </c>
      <c r="L289" s="7">
        <f t="shared" si="140"/>
        <v>0.47350892857142868</v>
      </c>
      <c r="M289" s="7">
        <f t="shared" si="140"/>
        <v>0.47350892857142862</v>
      </c>
      <c r="N289" s="7">
        <f t="shared" si="140"/>
        <v>0.47350892857142862</v>
      </c>
      <c r="O289" s="7">
        <f t="shared" si="140"/>
        <v>0.47350892857142868</v>
      </c>
      <c r="P289" s="7">
        <f t="shared" si="140"/>
        <v>0.47350892857142879</v>
      </c>
      <c r="Q289" s="7">
        <f t="shared" si="140"/>
        <v>0.47350892857142879</v>
      </c>
      <c r="R289" s="7">
        <f t="shared" si="140"/>
        <v>0.47350892857142857</v>
      </c>
      <c r="S289" s="7">
        <f t="shared" si="140"/>
        <v>0.47350892857142862</v>
      </c>
      <c r="T289" s="7">
        <f t="shared" si="140"/>
        <v>0.47350892857142868</v>
      </c>
      <c r="U289" s="7">
        <f t="shared" si="140"/>
        <v>0.47350892857142862</v>
      </c>
      <c r="V289" s="7">
        <f t="shared" si="140"/>
        <v>0.47350892857142868</v>
      </c>
      <c r="W289" s="7">
        <f t="shared" si="140"/>
        <v>0.47350892857142873</v>
      </c>
      <c r="X289" s="7">
        <f t="shared" si="140"/>
        <v>0.47350892857142868</v>
      </c>
      <c r="Y289" s="7">
        <f t="shared" si="140"/>
        <v>0.47350892857142868</v>
      </c>
      <c r="Z289" s="7">
        <f t="shared" si="140"/>
        <v>0.47350892857142868</v>
      </c>
      <c r="AA289" s="7">
        <f t="shared" si="140"/>
        <v>0.47350892857142862</v>
      </c>
      <c r="AB289" s="7">
        <f t="shared" si="140"/>
        <v>0.47350892857142868</v>
      </c>
      <c r="AC289" s="7">
        <f t="shared" si="140"/>
        <v>0.47350892857142868</v>
      </c>
      <c r="AD289" s="7">
        <f t="shared" si="140"/>
        <v>0.46913392857142855</v>
      </c>
      <c r="AE289" s="7">
        <f t="shared" si="140"/>
        <v>0.46913392857142855</v>
      </c>
      <c r="AF289" s="7">
        <f t="shared" si="140"/>
        <v>0.46913392857142855</v>
      </c>
      <c r="AG289" s="7">
        <f t="shared" si="140"/>
        <v>0.47047321428571437</v>
      </c>
      <c r="AH289" s="7">
        <f t="shared" si="140"/>
        <v>0.47181250000000002</v>
      </c>
      <c r="AI289" s="7">
        <f t="shared" si="140"/>
        <v>0</v>
      </c>
      <c r="AJ289" s="7">
        <f t="shared" si="140"/>
        <v>0</v>
      </c>
      <c r="AK289" s="7">
        <f t="shared" si="140"/>
        <v>0</v>
      </c>
      <c r="AL289" s="7">
        <f t="shared" si="140"/>
        <v>0</v>
      </c>
      <c r="AM289" s="7">
        <f t="shared" ref="AM289:BD289" si="141">IFERROR(AM287/AM49,0)</f>
        <v>0</v>
      </c>
      <c r="AN289" s="7">
        <f t="shared" si="141"/>
        <v>0</v>
      </c>
      <c r="AO289" s="7">
        <f t="shared" si="141"/>
        <v>0</v>
      </c>
      <c r="AP289" s="7">
        <f t="shared" si="141"/>
        <v>0</v>
      </c>
      <c r="AQ289" s="7">
        <f t="shared" si="141"/>
        <v>0</v>
      </c>
      <c r="AR289" s="7">
        <f t="shared" si="141"/>
        <v>0</v>
      </c>
      <c r="AS289" s="7">
        <f t="shared" si="141"/>
        <v>0</v>
      </c>
      <c r="AT289" s="7">
        <f t="shared" si="141"/>
        <v>0</v>
      </c>
      <c r="AU289" s="7">
        <f t="shared" si="141"/>
        <v>0</v>
      </c>
      <c r="AV289" s="7">
        <f t="shared" si="141"/>
        <v>0</v>
      </c>
      <c r="AW289" s="7">
        <f t="shared" si="141"/>
        <v>0</v>
      </c>
      <c r="AX289" s="7">
        <f t="shared" si="141"/>
        <v>0</v>
      </c>
      <c r="AY289" s="7">
        <f t="shared" si="141"/>
        <v>0</v>
      </c>
      <c r="AZ289" s="7">
        <f t="shared" si="141"/>
        <v>0</v>
      </c>
      <c r="BA289" s="7">
        <f t="shared" si="141"/>
        <v>0</v>
      </c>
      <c r="BB289" s="7">
        <f t="shared" si="141"/>
        <v>0</v>
      </c>
      <c r="BC289" s="7">
        <f t="shared" si="141"/>
        <v>0</v>
      </c>
      <c r="BD289" s="7">
        <f t="shared" si="141"/>
        <v>0</v>
      </c>
    </row>
    <row r="290" spans="3:56" ht="15" customHeight="1">
      <c r="C290" s="21"/>
      <c r="D290" s="132"/>
      <c r="E290" s="18"/>
      <c r="G290" s="7"/>
      <c r="H290" s="7"/>
      <c r="I290" s="7"/>
      <c r="J290" s="7"/>
      <c r="K290" s="7"/>
      <c r="L290" s="7"/>
      <c r="M290" s="7"/>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c r="AQ290" s="7"/>
      <c r="AR290" s="7"/>
      <c r="AS290" s="7"/>
      <c r="AT290" s="7"/>
      <c r="AU290" s="7"/>
      <c r="AV290" s="7"/>
      <c r="AW290" s="7"/>
      <c r="AX290" s="7"/>
      <c r="AY290" s="7"/>
      <c r="AZ290" s="7"/>
      <c r="BA290" s="7"/>
      <c r="BB290" s="7"/>
      <c r="BC290" s="7"/>
      <c r="BD290" s="7"/>
    </row>
    <row r="291" spans="3:56" ht="15" customHeight="1">
      <c r="C291" s="21"/>
      <c r="D291" s="150" t="s">
        <v>377</v>
      </c>
      <c r="E291" s="18" t="s">
        <v>30</v>
      </c>
      <c r="G291" s="7">
        <f>MIN(G$289,Inputs!$D$166)</f>
        <v>0</v>
      </c>
      <c r="H291" s="7">
        <f>MIN(H$289,Inputs!$D$166)</f>
        <v>0</v>
      </c>
      <c r="I291" s="7">
        <f>MIN(I$289,Inputs!$D$166)</f>
        <v>0</v>
      </c>
      <c r="J291" s="7">
        <f>MIN(J$289,Inputs!$D$166)</f>
        <v>0</v>
      </c>
      <c r="K291" s="7">
        <f>MIN(K$289,Inputs!$D$166)</f>
        <v>0</v>
      </c>
      <c r="L291" s="7">
        <f>MIN(L$289,Inputs!$D$166)</f>
        <v>0</v>
      </c>
      <c r="M291" s="7">
        <f>MIN(M$289,Inputs!$D$166)</f>
        <v>0</v>
      </c>
      <c r="N291" s="7">
        <f>MIN(N$289,Inputs!$D$166)</f>
        <v>0</v>
      </c>
      <c r="O291" s="7">
        <f>MIN(O$289,Inputs!$D$166)</f>
        <v>0</v>
      </c>
      <c r="P291" s="7">
        <f>MIN(P$289,Inputs!$D$166)</f>
        <v>0</v>
      </c>
      <c r="Q291" s="7">
        <f>MIN(Q$289,Inputs!$D$166)</f>
        <v>0</v>
      </c>
      <c r="R291" s="7">
        <f>MIN(R$289,Inputs!$D$166)</f>
        <v>0</v>
      </c>
      <c r="S291" s="7">
        <f>MIN(S$289,Inputs!$D$166)</f>
        <v>0</v>
      </c>
      <c r="T291" s="7">
        <f>MIN(T$289,Inputs!$D$166)</f>
        <v>0</v>
      </c>
      <c r="U291" s="7">
        <f>MIN(U$289,Inputs!$D$166)</f>
        <v>0</v>
      </c>
      <c r="V291" s="7">
        <f>MIN(V$289,Inputs!$D$166)</f>
        <v>0</v>
      </c>
      <c r="W291" s="7">
        <f>MIN(W$289,Inputs!$D$166)</f>
        <v>0</v>
      </c>
      <c r="X291" s="7">
        <f>MIN(X$289,Inputs!$D$166)</f>
        <v>0</v>
      </c>
      <c r="Y291" s="7">
        <f>MIN(Y$289,Inputs!$D$166)</f>
        <v>0</v>
      </c>
      <c r="Z291" s="7">
        <f>MIN(Z$289,Inputs!$D$166)</f>
        <v>0</v>
      </c>
      <c r="AA291" s="7">
        <f>MIN(AA$289,Inputs!$D$166)</f>
        <v>0</v>
      </c>
      <c r="AB291" s="7">
        <f>MIN(AB$289,Inputs!$D$166)</f>
        <v>0</v>
      </c>
      <c r="AC291" s="7">
        <f>MIN(AC$289,Inputs!$D$166)</f>
        <v>0</v>
      </c>
      <c r="AD291" s="7">
        <f>MIN(AD$289,Inputs!$D$166)</f>
        <v>0</v>
      </c>
      <c r="AE291" s="7">
        <f>MIN(AE$289,Inputs!$D$166)</f>
        <v>0</v>
      </c>
      <c r="AF291" s="7">
        <f>MIN(AF$289,Inputs!$D$166)</f>
        <v>0</v>
      </c>
      <c r="AG291" s="7">
        <f>MIN(AG$289,Inputs!$D$166)</f>
        <v>0</v>
      </c>
      <c r="AH291" s="7">
        <f>MIN(AH$289,Inputs!$D$166)</f>
        <v>0</v>
      </c>
      <c r="AI291" s="7">
        <f>MIN(AI$289,Inputs!$D$166)</f>
        <v>0</v>
      </c>
      <c r="AJ291" s="7">
        <f>MIN(AJ$289,Inputs!$D$166)</f>
        <v>0</v>
      </c>
      <c r="AK291" s="7">
        <f>MIN(AK$289,Inputs!$D$166)</f>
        <v>0</v>
      </c>
      <c r="AL291" s="7">
        <f>MIN(AL$289,Inputs!$D$166)</f>
        <v>0</v>
      </c>
      <c r="AM291" s="7">
        <f>MIN(AM$289,Inputs!$D$166)</f>
        <v>0</v>
      </c>
      <c r="AN291" s="7">
        <f>MIN(AN$289,Inputs!$D$166)</f>
        <v>0</v>
      </c>
      <c r="AO291" s="7">
        <f>MIN(AO$289,Inputs!$D$166)</f>
        <v>0</v>
      </c>
      <c r="AP291" s="7">
        <f>MIN(AP$289,Inputs!$D$166)</f>
        <v>0</v>
      </c>
      <c r="AQ291" s="7">
        <f>MIN(AQ$289,Inputs!$D$166)</f>
        <v>0</v>
      </c>
      <c r="AR291" s="7">
        <f>MIN(AR$289,Inputs!$D$166)</f>
        <v>0</v>
      </c>
      <c r="AS291" s="7">
        <f>MIN(AS$289,Inputs!$D$166)</f>
        <v>0</v>
      </c>
      <c r="AT291" s="7">
        <f>MIN(AT$289,Inputs!$D$166)</f>
        <v>0</v>
      </c>
      <c r="AU291" s="7">
        <f>MIN(AU$289,Inputs!$D$166)</f>
        <v>0</v>
      </c>
      <c r="AV291" s="7">
        <f>MIN(AV$289,Inputs!$D$166)</f>
        <v>0</v>
      </c>
      <c r="AW291" s="7">
        <f>MIN(AW$289,Inputs!$D$166)</f>
        <v>0</v>
      </c>
      <c r="AX291" s="7">
        <f>MIN(AX$289,Inputs!$D$166)</f>
        <v>0</v>
      </c>
      <c r="AY291" s="7">
        <f>MIN(AY$289,Inputs!$D$166)</f>
        <v>0</v>
      </c>
      <c r="AZ291" s="7">
        <f>MIN(AZ$289,Inputs!$D$166)</f>
        <v>0</v>
      </c>
      <c r="BA291" s="7">
        <f>MIN(BA$289,Inputs!$D$166)</f>
        <v>0</v>
      </c>
      <c r="BB291" s="7">
        <f>MIN(BB$289,Inputs!$D$166)</f>
        <v>0</v>
      </c>
      <c r="BC291" s="7">
        <f>MIN(BC$289,Inputs!$D$166)</f>
        <v>0</v>
      </c>
      <c r="BD291" s="7">
        <f>MIN(BD$289,Inputs!$D$166)</f>
        <v>0</v>
      </c>
    </row>
    <row r="292" spans="3:56" ht="15" customHeight="1">
      <c r="C292" s="21"/>
      <c r="D292" s="150" t="s">
        <v>378</v>
      </c>
      <c r="E292" s="18" t="s">
        <v>30</v>
      </c>
      <c r="G292" s="7">
        <f>(G$289&gt;Inputs!$D166)*(G$289-Inputs!$D166-SUM(G293:G$307))</f>
        <v>0</v>
      </c>
      <c r="H292" s="7">
        <f>(H$289&gt;Inputs!$D166)*(H$289-Inputs!$D166-SUM(H293:H$307))</f>
        <v>0</v>
      </c>
      <c r="I292" s="7">
        <f>(I$289&gt;Inputs!$D166)*(I$289-Inputs!$D166-SUM(I293:I$307))</f>
        <v>0</v>
      </c>
      <c r="J292" s="7">
        <f>(J$289&gt;Inputs!$D166)*(J$289-Inputs!$D166-SUM(J293:J$307))</f>
        <v>0</v>
      </c>
      <c r="K292" s="7">
        <f>(K$289&gt;Inputs!$D166)*(K$289-Inputs!$D166-SUM(K293:K$307))</f>
        <v>0</v>
      </c>
      <c r="L292" s="7">
        <f>(L$289&gt;Inputs!$D166)*(L$289-Inputs!$D166-SUM(L293:L$307))</f>
        <v>0</v>
      </c>
      <c r="M292" s="7">
        <f>(M$289&gt;Inputs!$D166)*(M$289-Inputs!$D166-SUM(M293:M$307))</f>
        <v>0</v>
      </c>
      <c r="N292" s="7">
        <f>(N$289&gt;Inputs!$D166)*(N$289-Inputs!$D166-SUM(N293:N$307))</f>
        <v>0</v>
      </c>
      <c r="O292" s="7">
        <f>(O$289&gt;Inputs!$D166)*(O$289-Inputs!$D166-SUM(O293:O$307))</f>
        <v>0</v>
      </c>
      <c r="P292" s="7">
        <f>(P$289&gt;Inputs!$D166)*(P$289-Inputs!$D166-SUM(P293:P$307))</f>
        <v>0</v>
      </c>
      <c r="Q292" s="7">
        <f>(Q$289&gt;Inputs!$D166)*(Q$289-Inputs!$D166-SUM(Q293:Q$307))</f>
        <v>0</v>
      </c>
      <c r="R292" s="7">
        <f>(R$289&gt;Inputs!$D166)*(R$289-Inputs!$D166-SUM(R293:R$307))</f>
        <v>0</v>
      </c>
      <c r="S292" s="7">
        <f>(S$289&gt;Inputs!$D166)*(S$289-Inputs!$D166-SUM(S293:S$307))</f>
        <v>0</v>
      </c>
      <c r="T292" s="7">
        <f>(T$289&gt;Inputs!$D166)*(T$289-Inputs!$D166-SUM(T293:T$307))</f>
        <v>0</v>
      </c>
      <c r="U292" s="7">
        <f>(U$289&gt;Inputs!$D166)*(U$289-Inputs!$D166-SUM(U293:U$307))</f>
        <v>0</v>
      </c>
      <c r="V292" s="7">
        <f>(V$289&gt;Inputs!$D166)*(V$289-Inputs!$D166-SUM(V293:V$307))</f>
        <v>0</v>
      </c>
      <c r="W292" s="7">
        <f>(W$289&gt;Inputs!$D166)*(W$289-Inputs!$D166-SUM(W293:W$307))</f>
        <v>0</v>
      </c>
      <c r="X292" s="7">
        <f>(X$289&gt;Inputs!$D166)*(X$289-Inputs!$D166-SUM(X293:X$307))</f>
        <v>0</v>
      </c>
      <c r="Y292" s="7">
        <f>(Y$289&gt;Inputs!$D166)*(Y$289-Inputs!$D166-SUM(Y293:Y$307))</f>
        <v>0</v>
      </c>
      <c r="Z292" s="7">
        <f>(Z$289&gt;Inputs!$D166)*(Z$289-Inputs!$D166-SUM(Z293:Z$307))</f>
        <v>0</v>
      </c>
      <c r="AA292" s="7">
        <f>(AA$289&gt;Inputs!$D166)*(AA$289-Inputs!$D166-SUM(AA293:AA$307))</f>
        <v>0</v>
      </c>
      <c r="AB292" s="7">
        <f>(AB$289&gt;Inputs!$D166)*(AB$289-Inputs!$D166-SUM(AB293:AB$307))</f>
        <v>0</v>
      </c>
      <c r="AC292" s="7">
        <f>(AC$289&gt;Inputs!$D166)*(AC$289-Inputs!$D166-SUM(AC293:AC$307))</f>
        <v>0</v>
      </c>
      <c r="AD292" s="7">
        <f>(AD$289&gt;Inputs!$D166)*(AD$289-Inputs!$D166-SUM(AD293:AD$307))</f>
        <v>0</v>
      </c>
      <c r="AE292" s="7">
        <f>(AE$289&gt;Inputs!$D166)*(AE$289-Inputs!$D166-SUM(AE293:AE$307))</f>
        <v>0</v>
      </c>
      <c r="AF292" s="7">
        <f>(AF$289&gt;Inputs!$D166)*(AF$289-Inputs!$D166-SUM(AF293:AF$307))</f>
        <v>0</v>
      </c>
      <c r="AG292" s="7">
        <f>(AG$289&gt;Inputs!$D166)*(AG$289-Inputs!$D166-SUM(AG293:AG$307))</f>
        <v>0</v>
      </c>
      <c r="AH292" s="7">
        <f>(AH$289&gt;Inputs!$D166)*(AH$289-Inputs!$D166-SUM(AH293:AH$307))</f>
        <v>0</v>
      </c>
      <c r="AI292" s="7">
        <f>(AI$289&gt;Inputs!$D166)*(AI$289-Inputs!$D166-SUM(AI293:AI$307))</f>
        <v>0</v>
      </c>
      <c r="AJ292" s="7">
        <f>(AJ$289&gt;Inputs!$D166)*(AJ$289-Inputs!$D166-SUM(AJ293:AJ$307))</f>
        <v>0</v>
      </c>
      <c r="AK292" s="7">
        <f>(AK$289&gt;Inputs!$D166)*(AK$289-Inputs!$D166-SUM(AK293:AK$307))</f>
        <v>0</v>
      </c>
      <c r="AL292" s="7">
        <f>(AL$289&gt;Inputs!$D166)*(AL$289-Inputs!$D166-SUM(AL293:AL$307))</f>
        <v>0</v>
      </c>
      <c r="AM292" s="7">
        <f>(AM$289&gt;Inputs!$D166)*(AM$289-Inputs!$D166-SUM(AM293:AM$307))</f>
        <v>0</v>
      </c>
      <c r="AN292" s="7">
        <f>(AN$289&gt;Inputs!$D166)*(AN$289-Inputs!$D166-SUM(AN293:AN$307))</f>
        <v>0</v>
      </c>
      <c r="AO292" s="7">
        <f>(AO$289&gt;Inputs!$D166)*(AO$289-Inputs!$D166-SUM(AO293:AO$307))</f>
        <v>0</v>
      </c>
      <c r="AP292" s="7">
        <f>(AP$289&gt;Inputs!$D166)*(AP$289-Inputs!$D166-SUM(AP293:AP$307))</f>
        <v>0</v>
      </c>
      <c r="AQ292" s="7">
        <f>(AQ$289&gt;Inputs!$D166)*(AQ$289-Inputs!$D166-SUM(AQ293:AQ$307))</f>
        <v>0</v>
      </c>
      <c r="AR292" s="7">
        <f>(AR$289&gt;Inputs!$D166)*(AR$289-Inputs!$D166-SUM(AR293:AR$307))</f>
        <v>0</v>
      </c>
      <c r="AS292" s="7">
        <f>(AS$289&gt;Inputs!$D166)*(AS$289-Inputs!$D166-SUM(AS293:AS$307))</f>
        <v>0</v>
      </c>
      <c r="AT292" s="7">
        <f>(AT$289&gt;Inputs!$D166)*(AT$289-Inputs!$D166-SUM(AT293:AT$307))</f>
        <v>0</v>
      </c>
      <c r="AU292" s="7">
        <f>(AU$289&gt;Inputs!$D166)*(AU$289-Inputs!$D166-SUM(AU293:AU$307))</f>
        <v>0</v>
      </c>
      <c r="AV292" s="7">
        <f>(AV$289&gt;Inputs!$D166)*(AV$289-Inputs!$D166-SUM(AV293:AV$307))</f>
        <v>0</v>
      </c>
      <c r="AW292" s="7">
        <f>(AW$289&gt;Inputs!$D166)*(AW$289-Inputs!$D166-SUM(AW293:AW$307))</f>
        <v>0</v>
      </c>
      <c r="AX292" s="7">
        <f>(AX$289&gt;Inputs!$D166)*(AX$289-Inputs!$D166-SUM(AX293:AX$307))</f>
        <v>0</v>
      </c>
      <c r="AY292" s="7">
        <f>(AY$289&gt;Inputs!$D166)*(AY$289-Inputs!$D166-SUM(AY293:AY$307))</f>
        <v>0</v>
      </c>
      <c r="AZ292" s="7">
        <f>(AZ$289&gt;Inputs!$D166)*(AZ$289-Inputs!$D166-SUM(AZ293:AZ$307))</f>
        <v>0</v>
      </c>
      <c r="BA292" s="7">
        <f>(BA$289&gt;Inputs!$D166)*(BA$289-Inputs!$D166-SUM(BA293:BA$307))</f>
        <v>0</v>
      </c>
      <c r="BB292" s="7">
        <f>(BB$289&gt;Inputs!$D166)*(BB$289-Inputs!$D166-SUM(BB293:BB$307))</f>
        <v>0</v>
      </c>
      <c r="BC292" s="7">
        <f>(BC$289&gt;Inputs!$D166)*(BC$289-Inputs!$D166-SUM(BC293:BC$307))</f>
        <v>0</v>
      </c>
      <c r="BD292" s="7">
        <f>(BD$289&gt;Inputs!$D166)*(BD$289-Inputs!$D166-SUM(BD293:BD$307))</f>
        <v>0</v>
      </c>
    </row>
    <row r="293" spans="3:56" ht="15" customHeight="1">
      <c r="C293" s="21"/>
      <c r="D293" s="150" t="s">
        <v>379</v>
      </c>
      <c r="E293" s="18" t="s">
        <v>30</v>
      </c>
      <c r="G293" s="7">
        <f>(G$289&gt;Inputs!$D167)*(G$289-Inputs!$D167-SUM(G294:G$307))</f>
        <v>0</v>
      </c>
      <c r="H293" s="7">
        <f>(H$289&gt;Inputs!$D167)*(H$289-Inputs!$D167-SUM(H294:H$307))</f>
        <v>0</v>
      </c>
      <c r="I293" s="7">
        <f>(I$289&gt;Inputs!$D167)*(I$289-Inputs!$D167-SUM(I294:I$307))</f>
        <v>0</v>
      </c>
      <c r="J293" s="7">
        <f>(J$289&gt;Inputs!$D167)*(J$289-Inputs!$D167-SUM(J294:J$307))</f>
        <v>0</v>
      </c>
      <c r="K293" s="7">
        <f>(K$289&gt;Inputs!$D167)*(K$289-Inputs!$D167-SUM(K294:K$307))</f>
        <v>0</v>
      </c>
      <c r="L293" s="7">
        <f>(L$289&gt;Inputs!$D167)*(L$289-Inputs!$D167-SUM(L294:L$307))</f>
        <v>0</v>
      </c>
      <c r="M293" s="7">
        <f>(M$289&gt;Inputs!$D167)*(M$289-Inputs!$D167-SUM(M294:M$307))</f>
        <v>0</v>
      </c>
      <c r="N293" s="7">
        <f>(N$289&gt;Inputs!$D167)*(N$289-Inputs!$D167-SUM(N294:N$307))</f>
        <v>0</v>
      </c>
      <c r="O293" s="7">
        <f>(O$289&gt;Inputs!$D167)*(O$289-Inputs!$D167-SUM(O294:O$307))</f>
        <v>0</v>
      </c>
      <c r="P293" s="7">
        <f>(P$289&gt;Inputs!$D167)*(P$289-Inputs!$D167-SUM(P294:P$307))</f>
        <v>0</v>
      </c>
      <c r="Q293" s="7">
        <f>(Q$289&gt;Inputs!$D167)*(Q$289-Inputs!$D167-SUM(Q294:Q$307))</f>
        <v>0</v>
      </c>
      <c r="R293" s="7">
        <f>(R$289&gt;Inputs!$D167)*(R$289-Inputs!$D167-SUM(R294:R$307))</f>
        <v>0</v>
      </c>
      <c r="S293" s="7">
        <f>(S$289&gt;Inputs!$D167)*(S$289-Inputs!$D167-SUM(S294:S$307))</f>
        <v>0</v>
      </c>
      <c r="T293" s="7">
        <f>(T$289&gt;Inputs!$D167)*(T$289-Inputs!$D167-SUM(T294:T$307))</f>
        <v>0</v>
      </c>
      <c r="U293" s="7">
        <f>(U$289&gt;Inputs!$D167)*(U$289-Inputs!$D167-SUM(U294:U$307))</f>
        <v>0</v>
      </c>
      <c r="V293" s="7">
        <f>(V$289&gt;Inputs!$D167)*(V$289-Inputs!$D167-SUM(V294:V$307))</f>
        <v>0</v>
      </c>
      <c r="W293" s="7">
        <f>(W$289&gt;Inputs!$D167)*(W$289-Inputs!$D167-SUM(W294:W$307))</f>
        <v>0</v>
      </c>
      <c r="X293" s="7">
        <f>(X$289&gt;Inputs!$D167)*(X$289-Inputs!$D167-SUM(X294:X$307))</f>
        <v>0</v>
      </c>
      <c r="Y293" s="7">
        <f>(Y$289&gt;Inputs!$D167)*(Y$289-Inputs!$D167-SUM(Y294:Y$307))</f>
        <v>0</v>
      </c>
      <c r="Z293" s="7">
        <f>(Z$289&gt;Inputs!$D167)*(Z$289-Inputs!$D167-SUM(Z294:Z$307))</f>
        <v>0</v>
      </c>
      <c r="AA293" s="7">
        <f>(AA$289&gt;Inputs!$D167)*(AA$289-Inputs!$D167-SUM(AA294:AA$307))</f>
        <v>0</v>
      </c>
      <c r="AB293" s="7">
        <f>(AB$289&gt;Inputs!$D167)*(AB$289-Inputs!$D167-SUM(AB294:AB$307))</f>
        <v>0</v>
      </c>
      <c r="AC293" s="7">
        <f>(AC$289&gt;Inputs!$D167)*(AC$289-Inputs!$D167-SUM(AC294:AC$307))</f>
        <v>0</v>
      </c>
      <c r="AD293" s="7">
        <f>(AD$289&gt;Inputs!$D167)*(AD$289-Inputs!$D167-SUM(AD294:AD$307))</f>
        <v>0</v>
      </c>
      <c r="AE293" s="7">
        <f>(AE$289&gt;Inputs!$D167)*(AE$289-Inputs!$D167-SUM(AE294:AE$307))</f>
        <v>0</v>
      </c>
      <c r="AF293" s="7">
        <f>(AF$289&gt;Inputs!$D167)*(AF$289-Inputs!$D167-SUM(AF294:AF$307))</f>
        <v>0</v>
      </c>
      <c r="AG293" s="7">
        <f>(AG$289&gt;Inputs!$D167)*(AG$289-Inputs!$D167-SUM(AG294:AG$307))</f>
        <v>0</v>
      </c>
      <c r="AH293" s="7">
        <f>(AH$289&gt;Inputs!$D167)*(AH$289-Inputs!$D167-SUM(AH294:AH$307))</f>
        <v>0</v>
      </c>
      <c r="AI293" s="7">
        <f>(AI$289&gt;Inputs!$D167)*(AI$289-Inputs!$D167-SUM(AI294:AI$307))</f>
        <v>0</v>
      </c>
      <c r="AJ293" s="7">
        <f>(AJ$289&gt;Inputs!$D167)*(AJ$289-Inputs!$D167-SUM(AJ294:AJ$307))</f>
        <v>0</v>
      </c>
      <c r="AK293" s="7">
        <f>(AK$289&gt;Inputs!$D167)*(AK$289-Inputs!$D167-SUM(AK294:AK$307))</f>
        <v>0</v>
      </c>
      <c r="AL293" s="7">
        <f>(AL$289&gt;Inputs!$D167)*(AL$289-Inputs!$D167-SUM(AL294:AL$307))</f>
        <v>0</v>
      </c>
      <c r="AM293" s="7">
        <f>(AM$289&gt;Inputs!$D167)*(AM$289-Inputs!$D167-SUM(AM294:AM$307))</f>
        <v>0</v>
      </c>
      <c r="AN293" s="7">
        <f>(AN$289&gt;Inputs!$D167)*(AN$289-Inputs!$D167-SUM(AN294:AN$307))</f>
        <v>0</v>
      </c>
      <c r="AO293" s="7">
        <f>(AO$289&gt;Inputs!$D167)*(AO$289-Inputs!$D167-SUM(AO294:AO$307))</f>
        <v>0</v>
      </c>
      <c r="AP293" s="7">
        <f>(AP$289&gt;Inputs!$D167)*(AP$289-Inputs!$D167-SUM(AP294:AP$307))</f>
        <v>0</v>
      </c>
      <c r="AQ293" s="7">
        <f>(AQ$289&gt;Inputs!$D167)*(AQ$289-Inputs!$D167-SUM(AQ294:AQ$307))</f>
        <v>0</v>
      </c>
      <c r="AR293" s="7">
        <f>(AR$289&gt;Inputs!$D167)*(AR$289-Inputs!$D167-SUM(AR294:AR$307))</f>
        <v>0</v>
      </c>
      <c r="AS293" s="7">
        <f>(AS$289&gt;Inputs!$D167)*(AS$289-Inputs!$D167-SUM(AS294:AS$307))</f>
        <v>0</v>
      </c>
      <c r="AT293" s="7">
        <f>(AT$289&gt;Inputs!$D167)*(AT$289-Inputs!$D167-SUM(AT294:AT$307))</f>
        <v>0</v>
      </c>
      <c r="AU293" s="7">
        <f>(AU$289&gt;Inputs!$D167)*(AU$289-Inputs!$D167-SUM(AU294:AU$307))</f>
        <v>0</v>
      </c>
      <c r="AV293" s="7">
        <f>(AV$289&gt;Inputs!$D167)*(AV$289-Inputs!$D167-SUM(AV294:AV$307))</f>
        <v>0</v>
      </c>
      <c r="AW293" s="7">
        <f>(AW$289&gt;Inputs!$D167)*(AW$289-Inputs!$D167-SUM(AW294:AW$307))</f>
        <v>0</v>
      </c>
      <c r="AX293" s="7">
        <f>(AX$289&gt;Inputs!$D167)*(AX$289-Inputs!$D167-SUM(AX294:AX$307))</f>
        <v>0</v>
      </c>
      <c r="AY293" s="7">
        <f>(AY$289&gt;Inputs!$D167)*(AY$289-Inputs!$D167-SUM(AY294:AY$307))</f>
        <v>0</v>
      </c>
      <c r="AZ293" s="7">
        <f>(AZ$289&gt;Inputs!$D167)*(AZ$289-Inputs!$D167-SUM(AZ294:AZ$307))</f>
        <v>0</v>
      </c>
      <c r="BA293" s="7">
        <f>(BA$289&gt;Inputs!$D167)*(BA$289-Inputs!$D167-SUM(BA294:BA$307))</f>
        <v>0</v>
      </c>
      <c r="BB293" s="7">
        <f>(BB$289&gt;Inputs!$D167)*(BB$289-Inputs!$D167-SUM(BB294:BB$307))</f>
        <v>0</v>
      </c>
      <c r="BC293" s="7">
        <f>(BC$289&gt;Inputs!$D167)*(BC$289-Inputs!$D167-SUM(BC294:BC$307))</f>
        <v>0</v>
      </c>
      <c r="BD293" s="7">
        <f>(BD$289&gt;Inputs!$D167)*(BD$289-Inputs!$D167-SUM(BD294:BD$307))</f>
        <v>0</v>
      </c>
    </row>
    <row r="294" spans="3:56" ht="15" customHeight="1">
      <c r="C294" s="21"/>
      <c r="D294" s="150" t="s">
        <v>380</v>
      </c>
      <c r="E294" s="18" t="s">
        <v>30</v>
      </c>
      <c r="G294" s="7">
        <f>(G$289&gt;Inputs!$D168)*(G$289-Inputs!$D168-SUM(G295:G$307))</f>
        <v>0</v>
      </c>
      <c r="H294" s="7">
        <f>(H$289&gt;Inputs!$D168)*(H$289-Inputs!$D168-SUM(H295:H$307))</f>
        <v>0</v>
      </c>
      <c r="I294" s="7">
        <f>(I$289&gt;Inputs!$D168)*(I$289-Inputs!$D168-SUM(I295:I$307))</f>
        <v>0</v>
      </c>
      <c r="J294" s="7">
        <f>(J$289&gt;Inputs!$D168)*(J$289-Inputs!$D168-SUM(J295:J$307))</f>
        <v>0</v>
      </c>
      <c r="K294" s="7">
        <f>(K$289&gt;Inputs!$D168)*(K$289-Inputs!$D168-SUM(K295:K$307))</f>
        <v>0</v>
      </c>
      <c r="L294" s="7">
        <f>(L$289&gt;Inputs!$D168)*(L$289-Inputs!$D168-SUM(L295:L$307))</f>
        <v>0</v>
      </c>
      <c r="M294" s="7">
        <f>(M$289&gt;Inputs!$D168)*(M$289-Inputs!$D168-SUM(M295:M$307))</f>
        <v>0</v>
      </c>
      <c r="N294" s="7">
        <f>(N$289&gt;Inputs!$D168)*(N$289-Inputs!$D168-SUM(N295:N$307))</f>
        <v>0</v>
      </c>
      <c r="O294" s="7">
        <f>(O$289&gt;Inputs!$D168)*(O$289-Inputs!$D168-SUM(O295:O$307))</f>
        <v>0</v>
      </c>
      <c r="P294" s="7">
        <f>(P$289&gt;Inputs!$D168)*(P$289-Inputs!$D168-SUM(P295:P$307))</f>
        <v>0</v>
      </c>
      <c r="Q294" s="7">
        <f>(Q$289&gt;Inputs!$D168)*(Q$289-Inputs!$D168-SUM(Q295:Q$307))</f>
        <v>0</v>
      </c>
      <c r="R294" s="7">
        <f>(R$289&gt;Inputs!$D168)*(R$289-Inputs!$D168-SUM(R295:R$307))</f>
        <v>0</v>
      </c>
      <c r="S294" s="7">
        <f>(S$289&gt;Inputs!$D168)*(S$289-Inputs!$D168-SUM(S295:S$307))</f>
        <v>0</v>
      </c>
      <c r="T294" s="7">
        <f>(T$289&gt;Inputs!$D168)*(T$289-Inputs!$D168-SUM(T295:T$307))</f>
        <v>0</v>
      </c>
      <c r="U294" s="7">
        <f>(U$289&gt;Inputs!$D168)*(U$289-Inputs!$D168-SUM(U295:U$307))</f>
        <v>0</v>
      </c>
      <c r="V294" s="7">
        <f>(V$289&gt;Inputs!$D168)*(V$289-Inputs!$D168-SUM(V295:V$307))</f>
        <v>0</v>
      </c>
      <c r="W294" s="7">
        <f>(W$289&gt;Inputs!$D168)*(W$289-Inputs!$D168-SUM(W295:W$307))</f>
        <v>0</v>
      </c>
      <c r="X294" s="7">
        <f>(X$289&gt;Inputs!$D168)*(X$289-Inputs!$D168-SUM(X295:X$307))</f>
        <v>0</v>
      </c>
      <c r="Y294" s="7">
        <f>(Y$289&gt;Inputs!$D168)*(Y$289-Inputs!$D168-SUM(Y295:Y$307))</f>
        <v>0</v>
      </c>
      <c r="Z294" s="7">
        <f>(Z$289&gt;Inputs!$D168)*(Z$289-Inputs!$D168-SUM(Z295:Z$307))</f>
        <v>0</v>
      </c>
      <c r="AA294" s="7">
        <f>(AA$289&gt;Inputs!$D168)*(AA$289-Inputs!$D168-SUM(AA295:AA$307))</f>
        <v>0</v>
      </c>
      <c r="AB294" s="7">
        <f>(AB$289&gt;Inputs!$D168)*(AB$289-Inputs!$D168-SUM(AB295:AB$307))</f>
        <v>0</v>
      </c>
      <c r="AC294" s="7">
        <f>(AC$289&gt;Inputs!$D168)*(AC$289-Inputs!$D168-SUM(AC295:AC$307))</f>
        <v>0</v>
      </c>
      <c r="AD294" s="7">
        <f>(AD$289&gt;Inputs!$D168)*(AD$289-Inputs!$D168-SUM(AD295:AD$307))</f>
        <v>0</v>
      </c>
      <c r="AE294" s="7">
        <f>(AE$289&gt;Inputs!$D168)*(AE$289-Inputs!$D168-SUM(AE295:AE$307))</f>
        <v>0</v>
      </c>
      <c r="AF294" s="7">
        <f>(AF$289&gt;Inputs!$D168)*(AF$289-Inputs!$D168-SUM(AF295:AF$307))</f>
        <v>0</v>
      </c>
      <c r="AG294" s="7">
        <f>(AG$289&gt;Inputs!$D168)*(AG$289-Inputs!$D168-SUM(AG295:AG$307))</f>
        <v>0</v>
      </c>
      <c r="AH294" s="7">
        <f>(AH$289&gt;Inputs!$D168)*(AH$289-Inputs!$D168-SUM(AH295:AH$307))</f>
        <v>0</v>
      </c>
      <c r="AI294" s="7">
        <f>(AI$289&gt;Inputs!$D168)*(AI$289-Inputs!$D168-SUM(AI295:AI$307))</f>
        <v>0</v>
      </c>
      <c r="AJ294" s="7">
        <f>(AJ$289&gt;Inputs!$D168)*(AJ$289-Inputs!$D168-SUM(AJ295:AJ$307))</f>
        <v>0</v>
      </c>
      <c r="AK294" s="7">
        <f>(AK$289&gt;Inputs!$D168)*(AK$289-Inputs!$D168-SUM(AK295:AK$307))</f>
        <v>0</v>
      </c>
      <c r="AL294" s="7">
        <f>(AL$289&gt;Inputs!$D168)*(AL$289-Inputs!$D168-SUM(AL295:AL$307))</f>
        <v>0</v>
      </c>
      <c r="AM294" s="7">
        <f>(AM$289&gt;Inputs!$D168)*(AM$289-Inputs!$D168-SUM(AM295:AM$307))</f>
        <v>0</v>
      </c>
      <c r="AN294" s="7">
        <f>(AN$289&gt;Inputs!$D168)*(AN$289-Inputs!$D168-SUM(AN295:AN$307))</f>
        <v>0</v>
      </c>
      <c r="AO294" s="7">
        <f>(AO$289&gt;Inputs!$D168)*(AO$289-Inputs!$D168-SUM(AO295:AO$307))</f>
        <v>0</v>
      </c>
      <c r="AP294" s="7">
        <f>(AP$289&gt;Inputs!$D168)*(AP$289-Inputs!$D168-SUM(AP295:AP$307))</f>
        <v>0</v>
      </c>
      <c r="AQ294" s="7">
        <f>(AQ$289&gt;Inputs!$D168)*(AQ$289-Inputs!$D168-SUM(AQ295:AQ$307))</f>
        <v>0</v>
      </c>
      <c r="AR294" s="7">
        <f>(AR$289&gt;Inputs!$D168)*(AR$289-Inputs!$D168-SUM(AR295:AR$307))</f>
        <v>0</v>
      </c>
      <c r="AS294" s="7">
        <f>(AS$289&gt;Inputs!$D168)*(AS$289-Inputs!$D168-SUM(AS295:AS$307))</f>
        <v>0</v>
      </c>
      <c r="AT294" s="7">
        <f>(AT$289&gt;Inputs!$D168)*(AT$289-Inputs!$D168-SUM(AT295:AT$307))</f>
        <v>0</v>
      </c>
      <c r="AU294" s="7">
        <f>(AU$289&gt;Inputs!$D168)*(AU$289-Inputs!$D168-SUM(AU295:AU$307))</f>
        <v>0</v>
      </c>
      <c r="AV294" s="7">
        <f>(AV$289&gt;Inputs!$D168)*(AV$289-Inputs!$D168-SUM(AV295:AV$307))</f>
        <v>0</v>
      </c>
      <c r="AW294" s="7">
        <f>(AW$289&gt;Inputs!$D168)*(AW$289-Inputs!$D168-SUM(AW295:AW$307))</f>
        <v>0</v>
      </c>
      <c r="AX294" s="7">
        <f>(AX$289&gt;Inputs!$D168)*(AX$289-Inputs!$D168-SUM(AX295:AX$307))</f>
        <v>0</v>
      </c>
      <c r="AY294" s="7">
        <f>(AY$289&gt;Inputs!$D168)*(AY$289-Inputs!$D168-SUM(AY295:AY$307))</f>
        <v>0</v>
      </c>
      <c r="AZ294" s="7">
        <f>(AZ$289&gt;Inputs!$D168)*(AZ$289-Inputs!$D168-SUM(AZ295:AZ$307))</f>
        <v>0</v>
      </c>
      <c r="BA294" s="7">
        <f>(BA$289&gt;Inputs!$D168)*(BA$289-Inputs!$D168-SUM(BA295:BA$307))</f>
        <v>0</v>
      </c>
      <c r="BB294" s="7">
        <f>(BB$289&gt;Inputs!$D168)*(BB$289-Inputs!$D168-SUM(BB295:BB$307))</f>
        <v>0</v>
      </c>
      <c r="BC294" s="7">
        <f>(BC$289&gt;Inputs!$D168)*(BC$289-Inputs!$D168-SUM(BC295:BC$307))</f>
        <v>0</v>
      </c>
      <c r="BD294" s="7">
        <f>(BD$289&gt;Inputs!$D168)*(BD$289-Inputs!$D168-SUM(BD295:BD$307))</f>
        <v>0</v>
      </c>
    </row>
    <row r="295" spans="3:56" ht="15" customHeight="1">
      <c r="C295" s="21"/>
      <c r="D295" s="150" t="s">
        <v>381</v>
      </c>
      <c r="E295" s="18" t="s">
        <v>30</v>
      </c>
      <c r="G295" s="7">
        <f>(G$289&gt;Inputs!$D169)*(G$289-Inputs!$D169-SUM(G296:G$307))</f>
        <v>0</v>
      </c>
      <c r="H295" s="7">
        <f>(H$289&gt;Inputs!$D169)*(H$289-Inputs!$D169-SUM(H296:H$307))</f>
        <v>0</v>
      </c>
      <c r="I295" s="7">
        <f>(I$289&gt;Inputs!$D169)*(I$289-Inputs!$D169-SUM(I296:I$307))</f>
        <v>0</v>
      </c>
      <c r="J295" s="7">
        <f>(J$289&gt;Inputs!$D169)*(J$289-Inputs!$D169-SUM(J296:J$307))</f>
        <v>0</v>
      </c>
      <c r="K295" s="7">
        <f>(K$289&gt;Inputs!$D169)*(K$289-Inputs!$D169-SUM(K296:K$307))</f>
        <v>0</v>
      </c>
      <c r="L295" s="7">
        <f>(L$289&gt;Inputs!$D169)*(L$289-Inputs!$D169-SUM(L296:L$307))</f>
        <v>0</v>
      </c>
      <c r="M295" s="7">
        <f>(M$289&gt;Inputs!$D169)*(M$289-Inputs!$D169-SUM(M296:M$307))</f>
        <v>0</v>
      </c>
      <c r="N295" s="7">
        <f>(N$289&gt;Inputs!$D169)*(N$289-Inputs!$D169-SUM(N296:N$307))</f>
        <v>0</v>
      </c>
      <c r="O295" s="7">
        <f>(O$289&gt;Inputs!$D169)*(O$289-Inputs!$D169-SUM(O296:O$307))</f>
        <v>0</v>
      </c>
      <c r="P295" s="7">
        <f>(P$289&gt;Inputs!$D169)*(P$289-Inputs!$D169-SUM(P296:P$307))</f>
        <v>0</v>
      </c>
      <c r="Q295" s="7">
        <f>(Q$289&gt;Inputs!$D169)*(Q$289-Inputs!$D169-SUM(Q296:Q$307))</f>
        <v>0</v>
      </c>
      <c r="R295" s="7">
        <f>(R$289&gt;Inputs!$D169)*(R$289-Inputs!$D169-SUM(R296:R$307))</f>
        <v>0</v>
      </c>
      <c r="S295" s="7">
        <f>(S$289&gt;Inputs!$D169)*(S$289-Inputs!$D169-SUM(S296:S$307))</f>
        <v>0</v>
      </c>
      <c r="T295" s="7">
        <f>(T$289&gt;Inputs!$D169)*(T$289-Inputs!$D169-SUM(T296:T$307))</f>
        <v>0</v>
      </c>
      <c r="U295" s="7">
        <f>(U$289&gt;Inputs!$D169)*(U$289-Inputs!$D169-SUM(U296:U$307))</f>
        <v>0</v>
      </c>
      <c r="V295" s="7">
        <f>(V$289&gt;Inputs!$D169)*(V$289-Inputs!$D169-SUM(V296:V$307))</f>
        <v>0</v>
      </c>
      <c r="W295" s="7">
        <f>(W$289&gt;Inputs!$D169)*(W$289-Inputs!$D169-SUM(W296:W$307))</f>
        <v>0</v>
      </c>
      <c r="X295" s="7">
        <f>(X$289&gt;Inputs!$D169)*(X$289-Inputs!$D169-SUM(X296:X$307))</f>
        <v>0</v>
      </c>
      <c r="Y295" s="7">
        <f>(Y$289&gt;Inputs!$D169)*(Y$289-Inputs!$D169-SUM(Y296:Y$307))</f>
        <v>0</v>
      </c>
      <c r="Z295" s="7">
        <f>(Z$289&gt;Inputs!$D169)*(Z$289-Inputs!$D169-SUM(Z296:Z$307))</f>
        <v>0</v>
      </c>
      <c r="AA295" s="7">
        <f>(AA$289&gt;Inputs!$D169)*(AA$289-Inputs!$D169-SUM(AA296:AA$307))</f>
        <v>0</v>
      </c>
      <c r="AB295" s="7">
        <f>(AB$289&gt;Inputs!$D169)*(AB$289-Inputs!$D169-SUM(AB296:AB$307))</f>
        <v>0</v>
      </c>
      <c r="AC295" s="7">
        <f>(AC$289&gt;Inputs!$D169)*(AC$289-Inputs!$D169-SUM(AC296:AC$307))</f>
        <v>0</v>
      </c>
      <c r="AD295" s="7">
        <f>(AD$289&gt;Inputs!$D169)*(AD$289-Inputs!$D169-SUM(AD296:AD$307))</f>
        <v>0</v>
      </c>
      <c r="AE295" s="7">
        <f>(AE$289&gt;Inputs!$D169)*(AE$289-Inputs!$D169-SUM(AE296:AE$307))</f>
        <v>0</v>
      </c>
      <c r="AF295" s="7">
        <f>(AF$289&gt;Inputs!$D169)*(AF$289-Inputs!$D169-SUM(AF296:AF$307))</f>
        <v>0</v>
      </c>
      <c r="AG295" s="7">
        <f>(AG$289&gt;Inputs!$D169)*(AG$289-Inputs!$D169-SUM(AG296:AG$307))</f>
        <v>0</v>
      </c>
      <c r="AH295" s="7">
        <f>(AH$289&gt;Inputs!$D169)*(AH$289-Inputs!$D169-SUM(AH296:AH$307))</f>
        <v>0</v>
      </c>
      <c r="AI295" s="7">
        <f>(AI$289&gt;Inputs!$D169)*(AI$289-Inputs!$D169-SUM(AI296:AI$307))</f>
        <v>0</v>
      </c>
      <c r="AJ295" s="7">
        <f>(AJ$289&gt;Inputs!$D169)*(AJ$289-Inputs!$D169-SUM(AJ296:AJ$307))</f>
        <v>0</v>
      </c>
      <c r="AK295" s="7">
        <f>(AK$289&gt;Inputs!$D169)*(AK$289-Inputs!$D169-SUM(AK296:AK$307))</f>
        <v>0</v>
      </c>
      <c r="AL295" s="7">
        <f>(AL$289&gt;Inputs!$D169)*(AL$289-Inputs!$D169-SUM(AL296:AL$307))</f>
        <v>0</v>
      </c>
      <c r="AM295" s="7">
        <f>(AM$289&gt;Inputs!$D169)*(AM$289-Inputs!$D169-SUM(AM296:AM$307))</f>
        <v>0</v>
      </c>
      <c r="AN295" s="7">
        <f>(AN$289&gt;Inputs!$D169)*(AN$289-Inputs!$D169-SUM(AN296:AN$307))</f>
        <v>0</v>
      </c>
      <c r="AO295" s="7">
        <f>(AO$289&gt;Inputs!$D169)*(AO$289-Inputs!$D169-SUM(AO296:AO$307))</f>
        <v>0</v>
      </c>
      <c r="AP295" s="7">
        <f>(AP$289&gt;Inputs!$D169)*(AP$289-Inputs!$D169-SUM(AP296:AP$307))</f>
        <v>0</v>
      </c>
      <c r="AQ295" s="7">
        <f>(AQ$289&gt;Inputs!$D169)*(AQ$289-Inputs!$D169-SUM(AQ296:AQ$307))</f>
        <v>0</v>
      </c>
      <c r="AR295" s="7">
        <f>(AR$289&gt;Inputs!$D169)*(AR$289-Inputs!$D169-SUM(AR296:AR$307))</f>
        <v>0</v>
      </c>
      <c r="AS295" s="7">
        <f>(AS$289&gt;Inputs!$D169)*(AS$289-Inputs!$D169-SUM(AS296:AS$307))</f>
        <v>0</v>
      </c>
      <c r="AT295" s="7">
        <f>(AT$289&gt;Inputs!$D169)*(AT$289-Inputs!$D169-SUM(AT296:AT$307))</f>
        <v>0</v>
      </c>
      <c r="AU295" s="7">
        <f>(AU$289&gt;Inputs!$D169)*(AU$289-Inputs!$D169-SUM(AU296:AU$307))</f>
        <v>0</v>
      </c>
      <c r="AV295" s="7">
        <f>(AV$289&gt;Inputs!$D169)*(AV$289-Inputs!$D169-SUM(AV296:AV$307))</f>
        <v>0</v>
      </c>
      <c r="AW295" s="7">
        <f>(AW$289&gt;Inputs!$D169)*(AW$289-Inputs!$D169-SUM(AW296:AW$307))</f>
        <v>0</v>
      </c>
      <c r="AX295" s="7">
        <f>(AX$289&gt;Inputs!$D169)*(AX$289-Inputs!$D169-SUM(AX296:AX$307))</f>
        <v>0</v>
      </c>
      <c r="AY295" s="7">
        <f>(AY$289&gt;Inputs!$D169)*(AY$289-Inputs!$D169-SUM(AY296:AY$307))</f>
        <v>0</v>
      </c>
      <c r="AZ295" s="7">
        <f>(AZ$289&gt;Inputs!$D169)*(AZ$289-Inputs!$D169-SUM(AZ296:AZ$307))</f>
        <v>0</v>
      </c>
      <c r="BA295" s="7">
        <f>(BA$289&gt;Inputs!$D169)*(BA$289-Inputs!$D169-SUM(BA296:BA$307))</f>
        <v>0</v>
      </c>
      <c r="BB295" s="7">
        <f>(BB$289&gt;Inputs!$D169)*(BB$289-Inputs!$D169-SUM(BB296:BB$307))</f>
        <v>0</v>
      </c>
      <c r="BC295" s="7">
        <f>(BC$289&gt;Inputs!$D169)*(BC$289-Inputs!$D169-SUM(BC296:BC$307))</f>
        <v>0</v>
      </c>
      <c r="BD295" s="7">
        <f>(BD$289&gt;Inputs!$D169)*(BD$289-Inputs!$D169-SUM(BD296:BD$307))</f>
        <v>0</v>
      </c>
    </row>
    <row r="296" spans="3:56" ht="15" customHeight="1">
      <c r="C296" s="21"/>
      <c r="D296" s="150" t="s">
        <v>382</v>
      </c>
      <c r="E296" s="18" t="s">
        <v>30</v>
      </c>
      <c r="G296" s="7">
        <f>(G$289&gt;Inputs!$D170)*(G$289-Inputs!$D170-SUM(G297:G$307))</f>
        <v>0</v>
      </c>
      <c r="H296" s="7">
        <f>(H$289&gt;Inputs!$D170)*(H$289-Inputs!$D170-SUM(H297:H$307))</f>
        <v>0</v>
      </c>
      <c r="I296" s="7">
        <f>(I$289&gt;Inputs!$D170)*(I$289-Inputs!$D170-SUM(I297:I$307))</f>
        <v>0</v>
      </c>
      <c r="J296" s="7">
        <f>(J$289&gt;Inputs!$D170)*(J$289-Inputs!$D170-SUM(J297:J$307))</f>
        <v>0</v>
      </c>
      <c r="K296" s="7">
        <f>(K$289&gt;Inputs!$D170)*(K$289-Inputs!$D170-SUM(K297:K$307))</f>
        <v>0</v>
      </c>
      <c r="L296" s="7">
        <f>(L$289&gt;Inputs!$D170)*(L$289-Inputs!$D170-SUM(L297:L$307))</f>
        <v>0</v>
      </c>
      <c r="M296" s="7">
        <f>(M$289&gt;Inputs!$D170)*(M$289-Inputs!$D170-SUM(M297:M$307))</f>
        <v>0</v>
      </c>
      <c r="N296" s="7">
        <f>(N$289&gt;Inputs!$D170)*(N$289-Inputs!$D170-SUM(N297:N$307))</f>
        <v>0</v>
      </c>
      <c r="O296" s="7">
        <f>(O$289&gt;Inputs!$D170)*(O$289-Inputs!$D170-SUM(O297:O$307))</f>
        <v>0</v>
      </c>
      <c r="P296" s="7">
        <f>(P$289&gt;Inputs!$D170)*(P$289-Inputs!$D170-SUM(P297:P$307))</f>
        <v>0</v>
      </c>
      <c r="Q296" s="7">
        <f>(Q$289&gt;Inputs!$D170)*(Q$289-Inputs!$D170-SUM(Q297:Q$307))</f>
        <v>0</v>
      </c>
      <c r="R296" s="7">
        <f>(R$289&gt;Inputs!$D170)*(R$289-Inputs!$D170-SUM(R297:R$307))</f>
        <v>0</v>
      </c>
      <c r="S296" s="7">
        <f>(S$289&gt;Inputs!$D170)*(S$289-Inputs!$D170-SUM(S297:S$307))</f>
        <v>0</v>
      </c>
      <c r="T296" s="7">
        <f>(T$289&gt;Inputs!$D170)*(T$289-Inputs!$D170-SUM(T297:T$307))</f>
        <v>0</v>
      </c>
      <c r="U296" s="7">
        <f>(U$289&gt;Inputs!$D170)*(U$289-Inputs!$D170-SUM(U297:U$307))</f>
        <v>0</v>
      </c>
      <c r="V296" s="7">
        <f>(V$289&gt;Inputs!$D170)*(V$289-Inputs!$D170-SUM(V297:V$307))</f>
        <v>0</v>
      </c>
      <c r="W296" s="7">
        <f>(W$289&gt;Inputs!$D170)*(W$289-Inputs!$D170-SUM(W297:W$307))</f>
        <v>0</v>
      </c>
      <c r="X296" s="7">
        <f>(X$289&gt;Inputs!$D170)*(X$289-Inputs!$D170-SUM(X297:X$307))</f>
        <v>0</v>
      </c>
      <c r="Y296" s="7">
        <f>(Y$289&gt;Inputs!$D170)*(Y$289-Inputs!$D170-SUM(Y297:Y$307))</f>
        <v>0</v>
      </c>
      <c r="Z296" s="7">
        <f>(Z$289&gt;Inputs!$D170)*(Z$289-Inputs!$D170-SUM(Z297:Z$307))</f>
        <v>0</v>
      </c>
      <c r="AA296" s="7">
        <f>(AA$289&gt;Inputs!$D170)*(AA$289-Inputs!$D170-SUM(AA297:AA$307))</f>
        <v>0</v>
      </c>
      <c r="AB296" s="7">
        <f>(AB$289&gt;Inputs!$D170)*(AB$289-Inputs!$D170-SUM(AB297:AB$307))</f>
        <v>0</v>
      </c>
      <c r="AC296" s="7">
        <f>(AC$289&gt;Inputs!$D170)*(AC$289-Inputs!$D170-SUM(AC297:AC$307))</f>
        <v>0</v>
      </c>
      <c r="AD296" s="7">
        <f>(AD$289&gt;Inputs!$D170)*(AD$289-Inputs!$D170-SUM(AD297:AD$307))</f>
        <v>0</v>
      </c>
      <c r="AE296" s="7">
        <f>(AE$289&gt;Inputs!$D170)*(AE$289-Inputs!$D170-SUM(AE297:AE$307))</f>
        <v>0</v>
      </c>
      <c r="AF296" s="7">
        <f>(AF$289&gt;Inputs!$D170)*(AF$289-Inputs!$D170-SUM(AF297:AF$307))</f>
        <v>0</v>
      </c>
      <c r="AG296" s="7">
        <f>(AG$289&gt;Inputs!$D170)*(AG$289-Inputs!$D170-SUM(AG297:AG$307))</f>
        <v>0</v>
      </c>
      <c r="AH296" s="7">
        <f>(AH$289&gt;Inputs!$D170)*(AH$289-Inputs!$D170-SUM(AH297:AH$307))</f>
        <v>0</v>
      </c>
      <c r="AI296" s="7">
        <f>(AI$289&gt;Inputs!$D170)*(AI$289-Inputs!$D170-SUM(AI297:AI$307))</f>
        <v>0</v>
      </c>
      <c r="AJ296" s="7">
        <f>(AJ$289&gt;Inputs!$D170)*(AJ$289-Inputs!$D170-SUM(AJ297:AJ$307))</f>
        <v>0</v>
      </c>
      <c r="AK296" s="7">
        <f>(AK$289&gt;Inputs!$D170)*(AK$289-Inputs!$D170-SUM(AK297:AK$307))</f>
        <v>0</v>
      </c>
      <c r="AL296" s="7">
        <f>(AL$289&gt;Inputs!$D170)*(AL$289-Inputs!$D170-SUM(AL297:AL$307))</f>
        <v>0</v>
      </c>
      <c r="AM296" s="7">
        <f>(AM$289&gt;Inputs!$D170)*(AM$289-Inputs!$D170-SUM(AM297:AM$307))</f>
        <v>0</v>
      </c>
      <c r="AN296" s="7">
        <f>(AN$289&gt;Inputs!$D170)*(AN$289-Inputs!$D170-SUM(AN297:AN$307))</f>
        <v>0</v>
      </c>
      <c r="AO296" s="7">
        <f>(AO$289&gt;Inputs!$D170)*(AO$289-Inputs!$D170-SUM(AO297:AO$307))</f>
        <v>0</v>
      </c>
      <c r="AP296" s="7">
        <f>(AP$289&gt;Inputs!$D170)*(AP$289-Inputs!$D170-SUM(AP297:AP$307))</f>
        <v>0</v>
      </c>
      <c r="AQ296" s="7">
        <f>(AQ$289&gt;Inputs!$D170)*(AQ$289-Inputs!$D170-SUM(AQ297:AQ$307))</f>
        <v>0</v>
      </c>
      <c r="AR296" s="7">
        <f>(AR$289&gt;Inputs!$D170)*(AR$289-Inputs!$D170-SUM(AR297:AR$307))</f>
        <v>0</v>
      </c>
      <c r="AS296" s="7">
        <f>(AS$289&gt;Inputs!$D170)*(AS$289-Inputs!$D170-SUM(AS297:AS$307))</f>
        <v>0</v>
      </c>
      <c r="AT296" s="7">
        <f>(AT$289&gt;Inputs!$D170)*(AT$289-Inputs!$D170-SUM(AT297:AT$307))</f>
        <v>0</v>
      </c>
      <c r="AU296" s="7">
        <f>(AU$289&gt;Inputs!$D170)*(AU$289-Inputs!$D170-SUM(AU297:AU$307))</f>
        <v>0</v>
      </c>
      <c r="AV296" s="7">
        <f>(AV$289&gt;Inputs!$D170)*(AV$289-Inputs!$D170-SUM(AV297:AV$307))</f>
        <v>0</v>
      </c>
      <c r="AW296" s="7">
        <f>(AW$289&gt;Inputs!$D170)*(AW$289-Inputs!$D170-SUM(AW297:AW$307))</f>
        <v>0</v>
      </c>
      <c r="AX296" s="7">
        <f>(AX$289&gt;Inputs!$D170)*(AX$289-Inputs!$D170-SUM(AX297:AX$307))</f>
        <v>0</v>
      </c>
      <c r="AY296" s="7">
        <f>(AY$289&gt;Inputs!$D170)*(AY$289-Inputs!$D170-SUM(AY297:AY$307))</f>
        <v>0</v>
      </c>
      <c r="AZ296" s="7">
        <f>(AZ$289&gt;Inputs!$D170)*(AZ$289-Inputs!$D170-SUM(AZ297:AZ$307))</f>
        <v>0</v>
      </c>
      <c r="BA296" s="7">
        <f>(BA$289&gt;Inputs!$D170)*(BA$289-Inputs!$D170-SUM(BA297:BA$307))</f>
        <v>0</v>
      </c>
      <c r="BB296" s="7">
        <f>(BB$289&gt;Inputs!$D170)*(BB$289-Inputs!$D170-SUM(BB297:BB$307))</f>
        <v>0</v>
      </c>
      <c r="BC296" s="7">
        <f>(BC$289&gt;Inputs!$D170)*(BC$289-Inputs!$D170-SUM(BC297:BC$307))</f>
        <v>0</v>
      </c>
      <c r="BD296" s="7">
        <f>(BD$289&gt;Inputs!$D170)*(BD$289-Inputs!$D170-SUM(BD297:BD$307))</f>
        <v>0</v>
      </c>
    </row>
    <row r="297" spans="3:56" ht="15" customHeight="1">
      <c r="C297" s="21"/>
      <c r="D297" s="150" t="s">
        <v>383</v>
      </c>
      <c r="E297" s="18" t="s">
        <v>30</v>
      </c>
      <c r="G297" s="7">
        <f>(G$289&gt;Inputs!$D171)*(G$289-Inputs!$D171-SUM(G298:G$307))</f>
        <v>0</v>
      </c>
      <c r="H297" s="7">
        <f>(H$289&gt;Inputs!$D171)*(H$289-Inputs!$D171-SUM(H298:H$307))</f>
        <v>0</v>
      </c>
      <c r="I297" s="7">
        <f>(I$289&gt;Inputs!$D171)*(I$289-Inputs!$D171-SUM(I298:I$307))</f>
        <v>0</v>
      </c>
      <c r="J297" s="7">
        <f>(J$289&gt;Inputs!$D171)*(J$289-Inputs!$D171-SUM(J298:J$307))</f>
        <v>0</v>
      </c>
      <c r="K297" s="7">
        <f>(K$289&gt;Inputs!$D171)*(K$289-Inputs!$D171-SUM(K298:K$307))</f>
        <v>0</v>
      </c>
      <c r="L297" s="7">
        <f>(L$289&gt;Inputs!$D171)*(L$289-Inputs!$D171-SUM(L298:L$307))</f>
        <v>0</v>
      </c>
      <c r="M297" s="7">
        <f>(M$289&gt;Inputs!$D171)*(M$289-Inputs!$D171-SUM(M298:M$307))</f>
        <v>0</v>
      </c>
      <c r="N297" s="7">
        <f>(N$289&gt;Inputs!$D171)*(N$289-Inputs!$D171-SUM(N298:N$307))</f>
        <v>0</v>
      </c>
      <c r="O297" s="7">
        <f>(O$289&gt;Inputs!$D171)*(O$289-Inputs!$D171-SUM(O298:O$307))</f>
        <v>0</v>
      </c>
      <c r="P297" s="7">
        <f>(P$289&gt;Inputs!$D171)*(P$289-Inputs!$D171-SUM(P298:P$307))</f>
        <v>0</v>
      </c>
      <c r="Q297" s="7">
        <f>(Q$289&gt;Inputs!$D171)*(Q$289-Inputs!$D171-SUM(Q298:Q$307))</f>
        <v>0</v>
      </c>
      <c r="R297" s="7">
        <f>(R$289&gt;Inputs!$D171)*(R$289-Inputs!$D171-SUM(R298:R$307))</f>
        <v>0</v>
      </c>
      <c r="S297" s="7">
        <f>(S$289&gt;Inputs!$D171)*(S$289-Inputs!$D171-SUM(S298:S$307))</f>
        <v>0</v>
      </c>
      <c r="T297" s="7">
        <f>(T$289&gt;Inputs!$D171)*(T$289-Inputs!$D171-SUM(T298:T$307))</f>
        <v>0</v>
      </c>
      <c r="U297" s="7">
        <f>(U$289&gt;Inputs!$D171)*(U$289-Inputs!$D171-SUM(U298:U$307))</f>
        <v>0</v>
      </c>
      <c r="V297" s="7">
        <f>(V$289&gt;Inputs!$D171)*(V$289-Inputs!$D171-SUM(V298:V$307))</f>
        <v>0</v>
      </c>
      <c r="W297" s="7">
        <f>(W$289&gt;Inputs!$D171)*(W$289-Inputs!$D171-SUM(W298:W$307))</f>
        <v>0</v>
      </c>
      <c r="X297" s="7">
        <f>(X$289&gt;Inputs!$D171)*(X$289-Inputs!$D171-SUM(X298:X$307))</f>
        <v>0</v>
      </c>
      <c r="Y297" s="7">
        <f>(Y$289&gt;Inputs!$D171)*(Y$289-Inputs!$D171-SUM(Y298:Y$307))</f>
        <v>0</v>
      </c>
      <c r="Z297" s="7">
        <f>(Z$289&gt;Inputs!$D171)*(Z$289-Inputs!$D171-SUM(Z298:Z$307))</f>
        <v>0</v>
      </c>
      <c r="AA297" s="7">
        <f>(AA$289&gt;Inputs!$D171)*(AA$289-Inputs!$D171-SUM(AA298:AA$307))</f>
        <v>0</v>
      </c>
      <c r="AB297" s="7">
        <f>(AB$289&gt;Inputs!$D171)*(AB$289-Inputs!$D171-SUM(AB298:AB$307))</f>
        <v>0</v>
      </c>
      <c r="AC297" s="7">
        <f>(AC$289&gt;Inputs!$D171)*(AC$289-Inputs!$D171-SUM(AC298:AC$307))</f>
        <v>0</v>
      </c>
      <c r="AD297" s="7">
        <f>(AD$289&gt;Inputs!$D171)*(AD$289-Inputs!$D171-SUM(AD298:AD$307))</f>
        <v>0</v>
      </c>
      <c r="AE297" s="7">
        <f>(AE$289&gt;Inputs!$D171)*(AE$289-Inputs!$D171-SUM(AE298:AE$307))</f>
        <v>0</v>
      </c>
      <c r="AF297" s="7">
        <f>(AF$289&gt;Inputs!$D171)*(AF$289-Inputs!$D171-SUM(AF298:AF$307))</f>
        <v>0</v>
      </c>
      <c r="AG297" s="7">
        <f>(AG$289&gt;Inputs!$D171)*(AG$289-Inputs!$D171-SUM(AG298:AG$307))</f>
        <v>0</v>
      </c>
      <c r="AH297" s="7">
        <f>(AH$289&gt;Inputs!$D171)*(AH$289-Inputs!$D171-SUM(AH298:AH$307))</f>
        <v>0</v>
      </c>
      <c r="AI297" s="7">
        <f>(AI$289&gt;Inputs!$D171)*(AI$289-Inputs!$D171-SUM(AI298:AI$307))</f>
        <v>0</v>
      </c>
      <c r="AJ297" s="7">
        <f>(AJ$289&gt;Inputs!$D171)*(AJ$289-Inputs!$D171-SUM(AJ298:AJ$307))</f>
        <v>0</v>
      </c>
      <c r="AK297" s="7">
        <f>(AK$289&gt;Inputs!$D171)*(AK$289-Inputs!$D171-SUM(AK298:AK$307))</f>
        <v>0</v>
      </c>
      <c r="AL297" s="7">
        <f>(AL$289&gt;Inputs!$D171)*(AL$289-Inputs!$D171-SUM(AL298:AL$307))</f>
        <v>0</v>
      </c>
      <c r="AM297" s="7">
        <f>(AM$289&gt;Inputs!$D171)*(AM$289-Inputs!$D171-SUM(AM298:AM$307))</f>
        <v>0</v>
      </c>
      <c r="AN297" s="7">
        <f>(AN$289&gt;Inputs!$D171)*(AN$289-Inputs!$D171-SUM(AN298:AN$307))</f>
        <v>0</v>
      </c>
      <c r="AO297" s="7">
        <f>(AO$289&gt;Inputs!$D171)*(AO$289-Inputs!$D171-SUM(AO298:AO$307))</f>
        <v>0</v>
      </c>
      <c r="AP297" s="7">
        <f>(AP$289&gt;Inputs!$D171)*(AP$289-Inputs!$D171-SUM(AP298:AP$307))</f>
        <v>0</v>
      </c>
      <c r="AQ297" s="7">
        <f>(AQ$289&gt;Inputs!$D171)*(AQ$289-Inputs!$D171-SUM(AQ298:AQ$307))</f>
        <v>0</v>
      </c>
      <c r="AR297" s="7">
        <f>(AR$289&gt;Inputs!$D171)*(AR$289-Inputs!$D171-SUM(AR298:AR$307))</f>
        <v>0</v>
      </c>
      <c r="AS297" s="7">
        <f>(AS$289&gt;Inputs!$D171)*(AS$289-Inputs!$D171-SUM(AS298:AS$307))</f>
        <v>0</v>
      </c>
      <c r="AT297" s="7">
        <f>(AT$289&gt;Inputs!$D171)*(AT$289-Inputs!$D171-SUM(AT298:AT$307))</f>
        <v>0</v>
      </c>
      <c r="AU297" s="7">
        <f>(AU$289&gt;Inputs!$D171)*(AU$289-Inputs!$D171-SUM(AU298:AU$307))</f>
        <v>0</v>
      </c>
      <c r="AV297" s="7">
        <f>(AV$289&gt;Inputs!$D171)*(AV$289-Inputs!$D171-SUM(AV298:AV$307))</f>
        <v>0</v>
      </c>
      <c r="AW297" s="7">
        <f>(AW$289&gt;Inputs!$D171)*(AW$289-Inputs!$D171-SUM(AW298:AW$307))</f>
        <v>0</v>
      </c>
      <c r="AX297" s="7">
        <f>(AX$289&gt;Inputs!$D171)*(AX$289-Inputs!$D171-SUM(AX298:AX$307))</f>
        <v>0</v>
      </c>
      <c r="AY297" s="7">
        <f>(AY$289&gt;Inputs!$D171)*(AY$289-Inputs!$D171-SUM(AY298:AY$307))</f>
        <v>0</v>
      </c>
      <c r="AZ297" s="7">
        <f>(AZ$289&gt;Inputs!$D171)*(AZ$289-Inputs!$D171-SUM(AZ298:AZ$307))</f>
        <v>0</v>
      </c>
      <c r="BA297" s="7">
        <f>(BA$289&gt;Inputs!$D171)*(BA$289-Inputs!$D171-SUM(BA298:BA$307))</f>
        <v>0</v>
      </c>
      <c r="BB297" s="7">
        <f>(BB$289&gt;Inputs!$D171)*(BB$289-Inputs!$D171-SUM(BB298:BB$307))</f>
        <v>0</v>
      </c>
      <c r="BC297" s="7">
        <f>(BC$289&gt;Inputs!$D171)*(BC$289-Inputs!$D171-SUM(BC298:BC$307))</f>
        <v>0</v>
      </c>
      <c r="BD297" s="7">
        <f>(BD$289&gt;Inputs!$D171)*(BD$289-Inputs!$D171-SUM(BD298:BD$307))</f>
        <v>0</v>
      </c>
    </row>
    <row r="298" spans="3:56" ht="15" customHeight="1">
      <c r="C298" s="21"/>
      <c r="D298" s="150" t="s">
        <v>384</v>
      </c>
      <c r="E298" s="18" t="s">
        <v>30</v>
      </c>
      <c r="G298" s="7">
        <f>(G$289&gt;Inputs!$D172)*(G$289-Inputs!$D172-SUM(G299:G$307))</f>
        <v>0</v>
      </c>
      <c r="H298" s="7">
        <f>(H$289&gt;Inputs!$D172)*(H$289-Inputs!$D172-SUM(H299:H$307))</f>
        <v>0</v>
      </c>
      <c r="I298" s="7">
        <f>(I$289&gt;Inputs!$D172)*(I$289-Inputs!$D172-SUM(I299:I$307))</f>
        <v>0</v>
      </c>
      <c r="J298" s="7">
        <f>(J$289&gt;Inputs!$D172)*(J$289-Inputs!$D172-SUM(J299:J$307))</f>
        <v>0</v>
      </c>
      <c r="K298" s="7">
        <f>(K$289&gt;Inputs!$D172)*(K$289-Inputs!$D172-SUM(K299:K$307))</f>
        <v>0</v>
      </c>
      <c r="L298" s="7">
        <f>(L$289&gt;Inputs!$D172)*(L$289-Inputs!$D172-SUM(L299:L$307))</f>
        <v>0</v>
      </c>
      <c r="M298" s="7">
        <f>(M$289&gt;Inputs!$D172)*(M$289-Inputs!$D172-SUM(M299:M$307))</f>
        <v>0</v>
      </c>
      <c r="N298" s="7">
        <f>(N$289&gt;Inputs!$D172)*(N$289-Inputs!$D172-SUM(N299:N$307))</f>
        <v>0</v>
      </c>
      <c r="O298" s="7">
        <f>(O$289&gt;Inputs!$D172)*(O$289-Inputs!$D172-SUM(O299:O$307))</f>
        <v>0</v>
      </c>
      <c r="P298" s="7">
        <f>(P$289&gt;Inputs!$D172)*(P$289-Inputs!$D172-SUM(P299:P$307))</f>
        <v>0</v>
      </c>
      <c r="Q298" s="7">
        <f>(Q$289&gt;Inputs!$D172)*(Q$289-Inputs!$D172-SUM(Q299:Q$307))</f>
        <v>0</v>
      </c>
      <c r="R298" s="7">
        <f>(R$289&gt;Inputs!$D172)*(R$289-Inputs!$D172-SUM(R299:R$307))</f>
        <v>0</v>
      </c>
      <c r="S298" s="7">
        <f>(S$289&gt;Inputs!$D172)*(S$289-Inputs!$D172-SUM(S299:S$307))</f>
        <v>0</v>
      </c>
      <c r="T298" s="7">
        <f>(T$289&gt;Inputs!$D172)*(T$289-Inputs!$D172-SUM(T299:T$307))</f>
        <v>0</v>
      </c>
      <c r="U298" s="7">
        <f>(U$289&gt;Inputs!$D172)*(U$289-Inputs!$D172-SUM(U299:U$307))</f>
        <v>0</v>
      </c>
      <c r="V298" s="7">
        <f>(V$289&gt;Inputs!$D172)*(V$289-Inputs!$D172-SUM(V299:V$307))</f>
        <v>0</v>
      </c>
      <c r="W298" s="7">
        <f>(W$289&gt;Inputs!$D172)*(W$289-Inputs!$D172-SUM(W299:W$307))</f>
        <v>0</v>
      </c>
      <c r="X298" s="7">
        <f>(X$289&gt;Inputs!$D172)*(X$289-Inputs!$D172-SUM(X299:X$307))</f>
        <v>0</v>
      </c>
      <c r="Y298" s="7">
        <f>(Y$289&gt;Inputs!$D172)*(Y$289-Inputs!$D172-SUM(Y299:Y$307))</f>
        <v>0</v>
      </c>
      <c r="Z298" s="7">
        <f>(Z$289&gt;Inputs!$D172)*(Z$289-Inputs!$D172-SUM(Z299:Z$307))</f>
        <v>0</v>
      </c>
      <c r="AA298" s="7">
        <f>(AA$289&gt;Inputs!$D172)*(AA$289-Inputs!$D172-SUM(AA299:AA$307))</f>
        <v>0</v>
      </c>
      <c r="AB298" s="7">
        <f>(AB$289&gt;Inputs!$D172)*(AB$289-Inputs!$D172-SUM(AB299:AB$307))</f>
        <v>0</v>
      </c>
      <c r="AC298" s="7">
        <f>(AC$289&gt;Inputs!$D172)*(AC$289-Inputs!$D172-SUM(AC299:AC$307))</f>
        <v>0</v>
      </c>
      <c r="AD298" s="7">
        <f>(AD$289&gt;Inputs!$D172)*(AD$289-Inputs!$D172-SUM(AD299:AD$307))</f>
        <v>0</v>
      </c>
      <c r="AE298" s="7">
        <f>(AE$289&gt;Inputs!$D172)*(AE$289-Inputs!$D172-SUM(AE299:AE$307))</f>
        <v>0</v>
      </c>
      <c r="AF298" s="7">
        <f>(AF$289&gt;Inputs!$D172)*(AF$289-Inputs!$D172-SUM(AF299:AF$307))</f>
        <v>0</v>
      </c>
      <c r="AG298" s="7">
        <f>(AG$289&gt;Inputs!$D172)*(AG$289-Inputs!$D172-SUM(AG299:AG$307))</f>
        <v>0</v>
      </c>
      <c r="AH298" s="7">
        <f>(AH$289&gt;Inputs!$D172)*(AH$289-Inputs!$D172-SUM(AH299:AH$307))</f>
        <v>0</v>
      </c>
      <c r="AI298" s="7">
        <f>(AI$289&gt;Inputs!$D172)*(AI$289-Inputs!$D172-SUM(AI299:AI$307))</f>
        <v>0</v>
      </c>
      <c r="AJ298" s="7">
        <f>(AJ$289&gt;Inputs!$D172)*(AJ$289-Inputs!$D172-SUM(AJ299:AJ$307))</f>
        <v>0</v>
      </c>
      <c r="AK298" s="7">
        <f>(AK$289&gt;Inputs!$D172)*(AK$289-Inputs!$D172-SUM(AK299:AK$307))</f>
        <v>0</v>
      </c>
      <c r="AL298" s="7">
        <f>(AL$289&gt;Inputs!$D172)*(AL$289-Inputs!$D172-SUM(AL299:AL$307))</f>
        <v>0</v>
      </c>
      <c r="AM298" s="7">
        <f>(AM$289&gt;Inputs!$D172)*(AM$289-Inputs!$D172-SUM(AM299:AM$307))</f>
        <v>0</v>
      </c>
      <c r="AN298" s="7">
        <f>(AN$289&gt;Inputs!$D172)*(AN$289-Inputs!$D172-SUM(AN299:AN$307))</f>
        <v>0</v>
      </c>
      <c r="AO298" s="7">
        <f>(AO$289&gt;Inputs!$D172)*(AO$289-Inputs!$D172-SUM(AO299:AO$307))</f>
        <v>0</v>
      </c>
      <c r="AP298" s="7">
        <f>(AP$289&gt;Inputs!$D172)*(AP$289-Inputs!$D172-SUM(AP299:AP$307))</f>
        <v>0</v>
      </c>
      <c r="AQ298" s="7">
        <f>(AQ$289&gt;Inputs!$D172)*(AQ$289-Inputs!$D172-SUM(AQ299:AQ$307))</f>
        <v>0</v>
      </c>
      <c r="AR298" s="7">
        <f>(AR$289&gt;Inputs!$D172)*(AR$289-Inputs!$D172-SUM(AR299:AR$307))</f>
        <v>0</v>
      </c>
      <c r="AS298" s="7">
        <f>(AS$289&gt;Inputs!$D172)*(AS$289-Inputs!$D172-SUM(AS299:AS$307))</f>
        <v>0</v>
      </c>
      <c r="AT298" s="7">
        <f>(AT$289&gt;Inputs!$D172)*(AT$289-Inputs!$D172-SUM(AT299:AT$307))</f>
        <v>0</v>
      </c>
      <c r="AU298" s="7">
        <f>(AU$289&gt;Inputs!$D172)*(AU$289-Inputs!$D172-SUM(AU299:AU$307))</f>
        <v>0</v>
      </c>
      <c r="AV298" s="7">
        <f>(AV$289&gt;Inputs!$D172)*(AV$289-Inputs!$D172-SUM(AV299:AV$307))</f>
        <v>0</v>
      </c>
      <c r="AW298" s="7">
        <f>(AW$289&gt;Inputs!$D172)*(AW$289-Inputs!$D172-SUM(AW299:AW$307))</f>
        <v>0</v>
      </c>
      <c r="AX298" s="7">
        <f>(AX$289&gt;Inputs!$D172)*(AX$289-Inputs!$D172-SUM(AX299:AX$307))</f>
        <v>0</v>
      </c>
      <c r="AY298" s="7">
        <f>(AY$289&gt;Inputs!$D172)*(AY$289-Inputs!$D172-SUM(AY299:AY$307))</f>
        <v>0</v>
      </c>
      <c r="AZ298" s="7">
        <f>(AZ$289&gt;Inputs!$D172)*(AZ$289-Inputs!$D172-SUM(AZ299:AZ$307))</f>
        <v>0</v>
      </c>
      <c r="BA298" s="7">
        <f>(BA$289&gt;Inputs!$D172)*(BA$289-Inputs!$D172-SUM(BA299:BA$307))</f>
        <v>0</v>
      </c>
      <c r="BB298" s="7">
        <f>(BB$289&gt;Inputs!$D172)*(BB$289-Inputs!$D172-SUM(BB299:BB$307))</f>
        <v>0</v>
      </c>
      <c r="BC298" s="7">
        <f>(BC$289&gt;Inputs!$D172)*(BC$289-Inputs!$D172-SUM(BC299:BC$307))</f>
        <v>0</v>
      </c>
      <c r="BD298" s="7">
        <f>(BD$289&gt;Inputs!$D172)*(BD$289-Inputs!$D172-SUM(BD299:BD$307))</f>
        <v>0</v>
      </c>
    </row>
    <row r="299" spans="3:56" ht="15" customHeight="1">
      <c r="C299" s="21"/>
      <c r="D299" s="150" t="s">
        <v>385</v>
      </c>
      <c r="E299" s="18" t="s">
        <v>30</v>
      </c>
      <c r="G299" s="7">
        <f>(G$289&gt;Inputs!$D173)*(G$289-Inputs!$D173-SUM(G300:G$307))</f>
        <v>0</v>
      </c>
      <c r="H299" s="7">
        <f>(H$289&gt;Inputs!$D173)*(H$289-Inputs!$D173-SUM(H300:H$307))</f>
        <v>0</v>
      </c>
      <c r="I299" s="7">
        <f>(I$289&gt;Inputs!$D173)*(I$289-Inputs!$D173-SUM(I300:I$307))</f>
        <v>0</v>
      </c>
      <c r="J299" s="7">
        <f>(J$289&gt;Inputs!$D173)*(J$289-Inputs!$D173-SUM(J300:J$307))</f>
        <v>0</v>
      </c>
      <c r="K299" s="7">
        <f>(K$289&gt;Inputs!$D173)*(K$289-Inputs!$D173-SUM(K300:K$307))</f>
        <v>0</v>
      </c>
      <c r="L299" s="7">
        <f>(L$289&gt;Inputs!$D173)*(L$289-Inputs!$D173-SUM(L300:L$307))</f>
        <v>0</v>
      </c>
      <c r="M299" s="7">
        <f>(M$289&gt;Inputs!$D173)*(M$289-Inputs!$D173-SUM(M300:M$307))</f>
        <v>0</v>
      </c>
      <c r="N299" s="7">
        <f>(N$289&gt;Inputs!$D173)*(N$289-Inputs!$D173-SUM(N300:N$307))</f>
        <v>0</v>
      </c>
      <c r="O299" s="7">
        <f>(O$289&gt;Inputs!$D173)*(O$289-Inputs!$D173-SUM(O300:O$307))</f>
        <v>0</v>
      </c>
      <c r="P299" s="7">
        <f>(P$289&gt;Inputs!$D173)*(P$289-Inputs!$D173-SUM(P300:P$307))</f>
        <v>0</v>
      </c>
      <c r="Q299" s="7">
        <f>(Q$289&gt;Inputs!$D173)*(Q$289-Inputs!$D173-SUM(Q300:Q$307))</f>
        <v>0</v>
      </c>
      <c r="R299" s="7">
        <f>(R$289&gt;Inputs!$D173)*(R$289-Inputs!$D173-SUM(R300:R$307))</f>
        <v>0</v>
      </c>
      <c r="S299" s="7">
        <f>(S$289&gt;Inputs!$D173)*(S$289-Inputs!$D173-SUM(S300:S$307))</f>
        <v>0</v>
      </c>
      <c r="T299" s="7">
        <f>(T$289&gt;Inputs!$D173)*(T$289-Inputs!$D173-SUM(T300:T$307))</f>
        <v>0</v>
      </c>
      <c r="U299" s="7">
        <f>(U$289&gt;Inputs!$D173)*(U$289-Inputs!$D173-SUM(U300:U$307))</f>
        <v>0</v>
      </c>
      <c r="V299" s="7">
        <f>(V$289&gt;Inputs!$D173)*(V$289-Inputs!$D173-SUM(V300:V$307))</f>
        <v>0</v>
      </c>
      <c r="W299" s="7">
        <f>(W$289&gt;Inputs!$D173)*(W$289-Inputs!$D173-SUM(W300:W$307))</f>
        <v>0</v>
      </c>
      <c r="X299" s="7">
        <f>(X$289&gt;Inputs!$D173)*(X$289-Inputs!$D173-SUM(X300:X$307))</f>
        <v>0</v>
      </c>
      <c r="Y299" s="7">
        <f>(Y$289&gt;Inputs!$D173)*(Y$289-Inputs!$D173-SUM(Y300:Y$307))</f>
        <v>0</v>
      </c>
      <c r="Z299" s="7">
        <f>(Z$289&gt;Inputs!$D173)*(Z$289-Inputs!$D173-SUM(Z300:Z$307))</f>
        <v>0</v>
      </c>
      <c r="AA299" s="7">
        <f>(AA$289&gt;Inputs!$D173)*(AA$289-Inputs!$D173-SUM(AA300:AA$307))</f>
        <v>0</v>
      </c>
      <c r="AB299" s="7">
        <f>(AB$289&gt;Inputs!$D173)*(AB$289-Inputs!$D173-SUM(AB300:AB$307))</f>
        <v>0</v>
      </c>
      <c r="AC299" s="7">
        <f>(AC$289&gt;Inputs!$D173)*(AC$289-Inputs!$D173-SUM(AC300:AC$307))</f>
        <v>0</v>
      </c>
      <c r="AD299" s="7">
        <f>(AD$289&gt;Inputs!$D173)*(AD$289-Inputs!$D173-SUM(AD300:AD$307))</f>
        <v>0</v>
      </c>
      <c r="AE299" s="7">
        <f>(AE$289&gt;Inputs!$D173)*(AE$289-Inputs!$D173-SUM(AE300:AE$307))</f>
        <v>0</v>
      </c>
      <c r="AF299" s="7">
        <f>(AF$289&gt;Inputs!$D173)*(AF$289-Inputs!$D173-SUM(AF300:AF$307))</f>
        <v>0</v>
      </c>
      <c r="AG299" s="7">
        <f>(AG$289&gt;Inputs!$D173)*(AG$289-Inputs!$D173-SUM(AG300:AG$307))</f>
        <v>0</v>
      </c>
      <c r="AH299" s="7">
        <f>(AH$289&gt;Inputs!$D173)*(AH$289-Inputs!$D173-SUM(AH300:AH$307))</f>
        <v>0</v>
      </c>
      <c r="AI299" s="7">
        <f>(AI$289&gt;Inputs!$D173)*(AI$289-Inputs!$D173-SUM(AI300:AI$307))</f>
        <v>0</v>
      </c>
      <c r="AJ299" s="7">
        <f>(AJ$289&gt;Inputs!$D173)*(AJ$289-Inputs!$D173-SUM(AJ300:AJ$307))</f>
        <v>0</v>
      </c>
      <c r="AK299" s="7">
        <f>(AK$289&gt;Inputs!$D173)*(AK$289-Inputs!$D173-SUM(AK300:AK$307))</f>
        <v>0</v>
      </c>
      <c r="AL299" s="7">
        <f>(AL$289&gt;Inputs!$D173)*(AL$289-Inputs!$D173-SUM(AL300:AL$307))</f>
        <v>0</v>
      </c>
      <c r="AM299" s="7">
        <f>(AM$289&gt;Inputs!$D173)*(AM$289-Inputs!$D173-SUM(AM300:AM$307))</f>
        <v>0</v>
      </c>
      <c r="AN299" s="7">
        <f>(AN$289&gt;Inputs!$D173)*(AN$289-Inputs!$D173-SUM(AN300:AN$307))</f>
        <v>0</v>
      </c>
      <c r="AO299" s="7">
        <f>(AO$289&gt;Inputs!$D173)*(AO$289-Inputs!$D173-SUM(AO300:AO$307))</f>
        <v>0</v>
      </c>
      <c r="AP299" s="7">
        <f>(AP$289&gt;Inputs!$D173)*(AP$289-Inputs!$D173-SUM(AP300:AP$307))</f>
        <v>0</v>
      </c>
      <c r="AQ299" s="7">
        <f>(AQ$289&gt;Inputs!$D173)*(AQ$289-Inputs!$D173-SUM(AQ300:AQ$307))</f>
        <v>0</v>
      </c>
      <c r="AR299" s="7">
        <f>(AR$289&gt;Inputs!$D173)*(AR$289-Inputs!$D173-SUM(AR300:AR$307))</f>
        <v>0</v>
      </c>
      <c r="AS299" s="7">
        <f>(AS$289&gt;Inputs!$D173)*(AS$289-Inputs!$D173-SUM(AS300:AS$307))</f>
        <v>0</v>
      </c>
      <c r="AT299" s="7">
        <f>(AT$289&gt;Inputs!$D173)*(AT$289-Inputs!$D173-SUM(AT300:AT$307))</f>
        <v>0</v>
      </c>
      <c r="AU299" s="7">
        <f>(AU$289&gt;Inputs!$D173)*(AU$289-Inputs!$D173-SUM(AU300:AU$307))</f>
        <v>0</v>
      </c>
      <c r="AV299" s="7">
        <f>(AV$289&gt;Inputs!$D173)*(AV$289-Inputs!$D173-SUM(AV300:AV$307))</f>
        <v>0</v>
      </c>
      <c r="AW299" s="7">
        <f>(AW$289&gt;Inputs!$D173)*(AW$289-Inputs!$D173-SUM(AW300:AW$307))</f>
        <v>0</v>
      </c>
      <c r="AX299" s="7">
        <f>(AX$289&gt;Inputs!$D173)*(AX$289-Inputs!$D173-SUM(AX300:AX$307))</f>
        <v>0</v>
      </c>
      <c r="AY299" s="7">
        <f>(AY$289&gt;Inputs!$D173)*(AY$289-Inputs!$D173-SUM(AY300:AY$307))</f>
        <v>0</v>
      </c>
      <c r="AZ299" s="7">
        <f>(AZ$289&gt;Inputs!$D173)*(AZ$289-Inputs!$D173-SUM(AZ300:AZ$307))</f>
        <v>0</v>
      </c>
      <c r="BA299" s="7">
        <f>(BA$289&gt;Inputs!$D173)*(BA$289-Inputs!$D173-SUM(BA300:BA$307))</f>
        <v>0</v>
      </c>
      <c r="BB299" s="7">
        <f>(BB$289&gt;Inputs!$D173)*(BB$289-Inputs!$D173-SUM(BB300:BB$307))</f>
        <v>0</v>
      </c>
      <c r="BC299" s="7">
        <f>(BC$289&gt;Inputs!$D173)*(BC$289-Inputs!$D173-SUM(BC300:BC$307))</f>
        <v>0</v>
      </c>
      <c r="BD299" s="7">
        <f>(BD$289&gt;Inputs!$D173)*(BD$289-Inputs!$D173-SUM(BD300:BD$307))</f>
        <v>0</v>
      </c>
    </row>
    <row r="300" spans="3:56" ht="15" customHeight="1">
      <c r="C300" s="21"/>
      <c r="D300" s="150" t="s">
        <v>386</v>
      </c>
      <c r="E300" s="18" t="s">
        <v>30</v>
      </c>
      <c r="G300" s="7">
        <f>(G$289&gt;Inputs!$D174)*(G$289-Inputs!$D174-SUM(G301:G$307))</f>
        <v>0</v>
      </c>
      <c r="H300" s="7">
        <f>(H$289&gt;Inputs!$D174)*(H$289-Inputs!$D174-SUM(H301:H$307))</f>
        <v>0</v>
      </c>
      <c r="I300" s="7">
        <f>(I$289&gt;Inputs!$D174)*(I$289-Inputs!$D174-SUM(I301:I$307))</f>
        <v>0</v>
      </c>
      <c r="J300" s="7">
        <f>(J$289&gt;Inputs!$D174)*(J$289-Inputs!$D174-SUM(J301:J$307))</f>
        <v>0</v>
      </c>
      <c r="K300" s="7">
        <f>(K$289&gt;Inputs!$D174)*(K$289-Inputs!$D174-SUM(K301:K$307))</f>
        <v>0</v>
      </c>
      <c r="L300" s="7">
        <f>(L$289&gt;Inputs!$D174)*(L$289-Inputs!$D174-SUM(L301:L$307))</f>
        <v>0</v>
      </c>
      <c r="M300" s="7">
        <f>(M$289&gt;Inputs!$D174)*(M$289-Inputs!$D174-SUM(M301:M$307))</f>
        <v>0</v>
      </c>
      <c r="N300" s="7">
        <f>(N$289&gt;Inputs!$D174)*(N$289-Inputs!$D174-SUM(N301:N$307))</f>
        <v>0</v>
      </c>
      <c r="O300" s="7">
        <f>(O$289&gt;Inputs!$D174)*(O$289-Inputs!$D174-SUM(O301:O$307))</f>
        <v>0</v>
      </c>
      <c r="P300" s="7">
        <f>(P$289&gt;Inputs!$D174)*(P$289-Inputs!$D174-SUM(P301:P$307))</f>
        <v>0</v>
      </c>
      <c r="Q300" s="7">
        <f>(Q$289&gt;Inputs!$D174)*(Q$289-Inputs!$D174-SUM(Q301:Q$307))</f>
        <v>0</v>
      </c>
      <c r="R300" s="7">
        <f>(R$289&gt;Inputs!$D174)*(R$289-Inputs!$D174-SUM(R301:R$307))</f>
        <v>0</v>
      </c>
      <c r="S300" s="7">
        <f>(S$289&gt;Inputs!$D174)*(S$289-Inputs!$D174-SUM(S301:S$307))</f>
        <v>0</v>
      </c>
      <c r="T300" s="7">
        <f>(T$289&gt;Inputs!$D174)*(T$289-Inputs!$D174-SUM(T301:T$307))</f>
        <v>0</v>
      </c>
      <c r="U300" s="7">
        <f>(U$289&gt;Inputs!$D174)*(U$289-Inputs!$D174-SUM(U301:U$307))</f>
        <v>0</v>
      </c>
      <c r="V300" s="7">
        <f>(V$289&gt;Inputs!$D174)*(V$289-Inputs!$D174-SUM(V301:V$307))</f>
        <v>0</v>
      </c>
      <c r="W300" s="7">
        <f>(W$289&gt;Inputs!$D174)*(W$289-Inputs!$D174-SUM(W301:W$307))</f>
        <v>0</v>
      </c>
      <c r="X300" s="7">
        <f>(X$289&gt;Inputs!$D174)*(X$289-Inputs!$D174-SUM(X301:X$307))</f>
        <v>0</v>
      </c>
      <c r="Y300" s="7">
        <f>(Y$289&gt;Inputs!$D174)*(Y$289-Inputs!$D174-SUM(Y301:Y$307))</f>
        <v>0</v>
      </c>
      <c r="Z300" s="7">
        <f>(Z$289&gt;Inputs!$D174)*(Z$289-Inputs!$D174-SUM(Z301:Z$307))</f>
        <v>0</v>
      </c>
      <c r="AA300" s="7">
        <f>(AA$289&gt;Inputs!$D174)*(AA$289-Inputs!$D174-SUM(AA301:AA$307))</f>
        <v>0</v>
      </c>
      <c r="AB300" s="7">
        <f>(AB$289&gt;Inputs!$D174)*(AB$289-Inputs!$D174-SUM(AB301:AB$307))</f>
        <v>0</v>
      </c>
      <c r="AC300" s="7">
        <f>(AC$289&gt;Inputs!$D174)*(AC$289-Inputs!$D174-SUM(AC301:AC$307))</f>
        <v>0</v>
      </c>
      <c r="AD300" s="7">
        <f>(AD$289&gt;Inputs!$D174)*(AD$289-Inputs!$D174-SUM(AD301:AD$307))</f>
        <v>0</v>
      </c>
      <c r="AE300" s="7">
        <f>(AE$289&gt;Inputs!$D174)*(AE$289-Inputs!$D174-SUM(AE301:AE$307))</f>
        <v>0</v>
      </c>
      <c r="AF300" s="7">
        <f>(AF$289&gt;Inputs!$D174)*(AF$289-Inputs!$D174-SUM(AF301:AF$307))</f>
        <v>0</v>
      </c>
      <c r="AG300" s="7">
        <f>(AG$289&gt;Inputs!$D174)*(AG$289-Inputs!$D174-SUM(AG301:AG$307))</f>
        <v>0</v>
      </c>
      <c r="AH300" s="7">
        <f>(AH$289&gt;Inputs!$D174)*(AH$289-Inputs!$D174-SUM(AH301:AH$307))</f>
        <v>0</v>
      </c>
      <c r="AI300" s="7">
        <f>(AI$289&gt;Inputs!$D174)*(AI$289-Inputs!$D174-SUM(AI301:AI$307))</f>
        <v>0</v>
      </c>
      <c r="AJ300" s="7">
        <f>(AJ$289&gt;Inputs!$D174)*(AJ$289-Inputs!$D174-SUM(AJ301:AJ$307))</f>
        <v>0</v>
      </c>
      <c r="AK300" s="7">
        <f>(AK$289&gt;Inputs!$D174)*(AK$289-Inputs!$D174-SUM(AK301:AK$307))</f>
        <v>0</v>
      </c>
      <c r="AL300" s="7">
        <f>(AL$289&gt;Inputs!$D174)*(AL$289-Inputs!$D174-SUM(AL301:AL$307))</f>
        <v>0</v>
      </c>
      <c r="AM300" s="7">
        <f>(AM$289&gt;Inputs!$D174)*(AM$289-Inputs!$D174-SUM(AM301:AM$307))</f>
        <v>0</v>
      </c>
      <c r="AN300" s="7">
        <f>(AN$289&gt;Inputs!$D174)*(AN$289-Inputs!$D174-SUM(AN301:AN$307))</f>
        <v>0</v>
      </c>
      <c r="AO300" s="7">
        <f>(AO$289&gt;Inputs!$D174)*(AO$289-Inputs!$D174-SUM(AO301:AO$307))</f>
        <v>0</v>
      </c>
      <c r="AP300" s="7">
        <f>(AP$289&gt;Inputs!$D174)*(AP$289-Inputs!$D174-SUM(AP301:AP$307))</f>
        <v>0</v>
      </c>
      <c r="AQ300" s="7">
        <f>(AQ$289&gt;Inputs!$D174)*(AQ$289-Inputs!$D174-SUM(AQ301:AQ$307))</f>
        <v>0</v>
      </c>
      <c r="AR300" s="7">
        <f>(AR$289&gt;Inputs!$D174)*(AR$289-Inputs!$D174-SUM(AR301:AR$307))</f>
        <v>0</v>
      </c>
      <c r="AS300" s="7">
        <f>(AS$289&gt;Inputs!$D174)*(AS$289-Inputs!$D174-SUM(AS301:AS$307))</f>
        <v>0</v>
      </c>
      <c r="AT300" s="7">
        <f>(AT$289&gt;Inputs!$D174)*(AT$289-Inputs!$D174-SUM(AT301:AT$307))</f>
        <v>0</v>
      </c>
      <c r="AU300" s="7">
        <f>(AU$289&gt;Inputs!$D174)*(AU$289-Inputs!$D174-SUM(AU301:AU$307))</f>
        <v>0</v>
      </c>
      <c r="AV300" s="7">
        <f>(AV$289&gt;Inputs!$D174)*(AV$289-Inputs!$D174-SUM(AV301:AV$307))</f>
        <v>0</v>
      </c>
      <c r="AW300" s="7">
        <f>(AW$289&gt;Inputs!$D174)*(AW$289-Inputs!$D174-SUM(AW301:AW$307))</f>
        <v>0</v>
      </c>
      <c r="AX300" s="7">
        <f>(AX$289&gt;Inputs!$D174)*(AX$289-Inputs!$D174-SUM(AX301:AX$307))</f>
        <v>0</v>
      </c>
      <c r="AY300" s="7">
        <f>(AY$289&gt;Inputs!$D174)*(AY$289-Inputs!$D174-SUM(AY301:AY$307))</f>
        <v>0</v>
      </c>
      <c r="AZ300" s="7">
        <f>(AZ$289&gt;Inputs!$D174)*(AZ$289-Inputs!$D174-SUM(AZ301:AZ$307))</f>
        <v>0</v>
      </c>
      <c r="BA300" s="7">
        <f>(BA$289&gt;Inputs!$D174)*(BA$289-Inputs!$D174-SUM(BA301:BA$307))</f>
        <v>0</v>
      </c>
      <c r="BB300" s="7">
        <f>(BB$289&gt;Inputs!$D174)*(BB$289-Inputs!$D174-SUM(BB301:BB$307))</f>
        <v>0</v>
      </c>
      <c r="BC300" s="7">
        <f>(BC$289&gt;Inputs!$D174)*(BC$289-Inputs!$D174-SUM(BC301:BC$307))</f>
        <v>0</v>
      </c>
      <c r="BD300" s="7">
        <f>(BD$289&gt;Inputs!$D174)*(BD$289-Inputs!$D174-SUM(BD301:BD$307))</f>
        <v>0</v>
      </c>
    </row>
    <row r="301" spans="3:56" ht="15" customHeight="1">
      <c r="C301" s="21"/>
      <c r="D301" s="150" t="s">
        <v>409</v>
      </c>
      <c r="E301" s="18" t="s">
        <v>30</v>
      </c>
      <c r="G301" s="7">
        <f>(G$289&gt;Inputs!$D175)*(G$289-Inputs!$D175-SUM(G302:G$307))</f>
        <v>0</v>
      </c>
      <c r="H301" s="7">
        <f>(H$289&gt;Inputs!$D175)*(H$289-Inputs!$D175-SUM(H302:H$307))</f>
        <v>0</v>
      </c>
      <c r="I301" s="7">
        <f>(I$289&gt;Inputs!$D175)*(I$289-Inputs!$D175-SUM(I302:I$307))</f>
        <v>0</v>
      </c>
      <c r="J301" s="7">
        <f>(J$289&gt;Inputs!$D175)*(J$289-Inputs!$D175-SUM(J302:J$307))</f>
        <v>0</v>
      </c>
      <c r="K301" s="7">
        <f>(K$289&gt;Inputs!$D175)*(K$289-Inputs!$D175-SUM(K302:K$307))</f>
        <v>0</v>
      </c>
      <c r="L301" s="7">
        <f>(L$289&gt;Inputs!$D175)*(L$289-Inputs!$D175-SUM(L302:L$307))</f>
        <v>0</v>
      </c>
      <c r="M301" s="7">
        <f>(M$289&gt;Inputs!$D175)*(M$289-Inputs!$D175-SUM(M302:M$307))</f>
        <v>0</v>
      </c>
      <c r="N301" s="7">
        <f>(N$289&gt;Inputs!$D175)*(N$289-Inputs!$D175-SUM(N302:N$307))</f>
        <v>0</v>
      </c>
      <c r="O301" s="7">
        <f>(O$289&gt;Inputs!$D175)*(O$289-Inputs!$D175-SUM(O302:O$307))</f>
        <v>0</v>
      </c>
      <c r="P301" s="7">
        <f>(P$289&gt;Inputs!$D175)*(P$289-Inputs!$D175-SUM(P302:P$307))</f>
        <v>0</v>
      </c>
      <c r="Q301" s="7">
        <f>(Q$289&gt;Inputs!$D175)*(Q$289-Inputs!$D175-SUM(Q302:Q$307))</f>
        <v>0</v>
      </c>
      <c r="R301" s="7">
        <f>(R$289&gt;Inputs!$D175)*(R$289-Inputs!$D175-SUM(R302:R$307))</f>
        <v>0</v>
      </c>
      <c r="S301" s="7">
        <f>(S$289&gt;Inputs!$D175)*(S$289-Inputs!$D175-SUM(S302:S$307))</f>
        <v>0</v>
      </c>
      <c r="T301" s="7">
        <f>(T$289&gt;Inputs!$D175)*(T$289-Inputs!$D175-SUM(T302:T$307))</f>
        <v>0</v>
      </c>
      <c r="U301" s="7">
        <f>(U$289&gt;Inputs!$D175)*(U$289-Inputs!$D175-SUM(U302:U$307))</f>
        <v>0</v>
      </c>
      <c r="V301" s="7">
        <f>(V$289&gt;Inputs!$D175)*(V$289-Inputs!$D175-SUM(V302:V$307))</f>
        <v>0</v>
      </c>
      <c r="W301" s="7">
        <f>(W$289&gt;Inputs!$D175)*(W$289-Inputs!$D175-SUM(W302:W$307))</f>
        <v>0</v>
      </c>
      <c r="X301" s="7">
        <f>(X$289&gt;Inputs!$D175)*(X$289-Inputs!$D175-SUM(X302:X$307))</f>
        <v>0</v>
      </c>
      <c r="Y301" s="7">
        <f>(Y$289&gt;Inputs!$D175)*(Y$289-Inputs!$D175-SUM(Y302:Y$307))</f>
        <v>0</v>
      </c>
      <c r="Z301" s="7">
        <f>(Z$289&gt;Inputs!$D175)*(Z$289-Inputs!$D175-SUM(Z302:Z$307))</f>
        <v>0</v>
      </c>
      <c r="AA301" s="7">
        <f>(AA$289&gt;Inputs!$D175)*(AA$289-Inputs!$D175-SUM(AA302:AA$307))</f>
        <v>0</v>
      </c>
      <c r="AB301" s="7">
        <f>(AB$289&gt;Inputs!$D175)*(AB$289-Inputs!$D175-SUM(AB302:AB$307))</f>
        <v>0</v>
      </c>
      <c r="AC301" s="7">
        <f>(AC$289&gt;Inputs!$D175)*(AC$289-Inputs!$D175-SUM(AC302:AC$307))</f>
        <v>0</v>
      </c>
      <c r="AD301" s="7">
        <f>(AD$289&gt;Inputs!$D175)*(AD$289-Inputs!$D175-SUM(AD302:AD$307))</f>
        <v>0</v>
      </c>
      <c r="AE301" s="7">
        <f>(AE$289&gt;Inputs!$D175)*(AE$289-Inputs!$D175-SUM(AE302:AE$307))</f>
        <v>0</v>
      </c>
      <c r="AF301" s="7">
        <f>(AF$289&gt;Inputs!$D175)*(AF$289-Inputs!$D175-SUM(AF302:AF$307))</f>
        <v>0</v>
      </c>
      <c r="AG301" s="7">
        <f>(AG$289&gt;Inputs!$D175)*(AG$289-Inputs!$D175-SUM(AG302:AG$307))</f>
        <v>0</v>
      </c>
      <c r="AH301" s="7">
        <f>(AH$289&gt;Inputs!$D175)*(AH$289-Inputs!$D175-SUM(AH302:AH$307))</f>
        <v>0</v>
      </c>
      <c r="AI301" s="7">
        <f>(AI$289&gt;Inputs!$D175)*(AI$289-Inputs!$D175-SUM(AI302:AI$307))</f>
        <v>0</v>
      </c>
      <c r="AJ301" s="7">
        <f>(AJ$289&gt;Inputs!$D175)*(AJ$289-Inputs!$D175-SUM(AJ302:AJ$307))</f>
        <v>0</v>
      </c>
      <c r="AK301" s="7">
        <f>(AK$289&gt;Inputs!$D175)*(AK$289-Inputs!$D175-SUM(AK302:AK$307))</f>
        <v>0</v>
      </c>
      <c r="AL301" s="7">
        <f>(AL$289&gt;Inputs!$D175)*(AL$289-Inputs!$D175-SUM(AL302:AL$307))</f>
        <v>0</v>
      </c>
      <c r="AM301" s="7">
        <f>(AM$289&gt;Inputs!$D175)*(AM$289-Inputs!$D175-SUM(AM302:AM$307))</f>
        <v>0</v>
      </c>
      <c r="AN301" s="7">
        <f>(AN$289&gt;Inputs!$D175)*(AN$289-Inputs!$D175-SUM(AN302:AN$307))</f>
        <v>0</v>
      </c>
      <c r="AO301" s="7">
        <f>(AO$289&gt;Inputs!$D175)*(AO$289-Inputs!$D175-SUM(AO302:AO$307))</f>
        <v>0</v>
      </c>
      <c r="AP301" s="7">
        <f>(AP$289&gt;Inputs!$D175)*(AP$289-Inputs!$D175-SUM(AP302:AP$307))</f>
        <v>0</v>
      </c>
      <c r="AQ301" s="7">
        <f>(AQ$289&gt;Inputs!$D175)*(AQ$289-Inputs!$D175-SUM(AQ302:AQ$307))</f>
        <v>0</v>
      </c>
      <c r="AR301" s="7">
        <f>(AR$289&gt;Inputs!$D175)*(AR$289-Inputs!$D175-SUM(AR302:AR$307))</f>
        <v>0</v>
      </c>
      <c r="AS301" s="7">
        <f>(AS$289&gt;Inputs!$D175)*(AS$289-Inputs!$D175-SUM(AS302:AS$307))</f>
        <v>0</v>
      </c>
      <c r="AT301" s="7">
        <f>(AT$289&gt;Inputs!$D175)*(AT$289-Inputs!$D175-SUM(AT302:AT$307))</f>
        <v>0</v>
      </c>
      <c r="AU301" s="7">
        <f>(AU$289&gt;Inputs!$D175)*(AU$289-Inputs!$D175-SUM(AU302:AU$307))</f>
        <v>0</v>
      </c>
      <c r="AV301" s="7">
        <f>(AV$289&gt;Inputs!$D175)*(AV$289-Inputs!$D175-SUM(AV302:AV$307))</f>
        <v>0</v>
      </c>
      <c r="AW301" s="7">
        <f>(AW$289&gt;Inputs!$D175)*(AW$289-Inputs!$D175-SUM(AW302:AW$307))</f>
        <v>0</v>
      </c>
      <c r="AX301" s="7">
        <f>(AX$289&gt;Inputs!$D175)*(AX$289-Inputs!$D175-SUM(AX302:AX$307))</f>
        <v>0</v>
      </c>
      <c r="AY301" s="7">
        <f>(AY$289&gt;Inputs!$D175)*(AY$289-Inputs!$D175-SUM(AY302:AY$307))</f>
        <v>0</v>
      </c>
      <c r="AZ301" s="7">
        <f>(AZ$289&gt;Inputs!$D175)*(AZ$289-Inputs!$D175-SUM(AZ302:AZ$307))</f>
        <v>0</v>
      </c>
      <c r="BA301" s="7">
        <f>(BA$289&gt;Inputs!$D175)*(BA$289-Inputs!$D175-SUM(BA302:BA$307))</f>
        <v>0</v>
      </c>
      <c r="BB301" s="7">
        <f>(BB$289&gt;Inputs!$D175)*(BB$289-Inputs!$D175-SUM(BB302:BB$307))</f>
        <v>0</v>
      </c>
      <c r="BC301" s="7">
        <f>(BC$289&gt;Inputs!$D175)*(BC$289-Inputs!$D175-SUM(BC302:BC$307))</f>
        <v>0</v>
      </c>
      <c r="BD301" s="7">
        <f>(BD$289&gt;Inputs!$D175)*(BD$289-Inputs!$D175-SUM(BD302:BD$307))</f>
        <v>0</v>
      </c>
    </row>
    <row r="302" spans="3:56" ht="15" customHeight="1">
      <c r="C302" s="21"/>
      <c r="D302" s="150" t="s">
        <v>410</v>
      </c>
      <c r="E302" s="18" t="s">
        <v>30</v>
      </c>
      <c r="G302" s="7">
        <f>(G$289&gt;Inputs!$D176)*(G$289-Inputs!$D176-SUM(G303:G$307))</f>
        <v>0</v>
      </c>
      <c r="H302" s="7">
        <f>(H$289&gt;Inputs!$D176)*(H$289-Inputs!$D176-SUM(H303:H$307))</f>
        <v>0</v>
      </c>
      <c r="I302" s="7">
        <f>(I$289&gt;Inputs!$D176)*(I$289-Inputs!$D176-SUM(I303:I$307))</f>
        <v>0</v>
      </c>
      <c r="J302" s="7">
        <f>(J$289&gt;Inputs!$D176)*(J$289-Inputs!$D176-SUM(J303:J$307))</f>
        <v>0</v>
      </c>
      <c r="K302" s="7">
        <f>(K$289&gt;Inputs!$D176)*(K$289-Inputs!$D176-SUM(K303:K$307))</f>
        <v>0</v>
      </c>
      <c r="L302" s="7">
        <f>(L$289&gt;Inputs!$D176)*(L$289-Inputs!$D176-SUM(L303:L$307))</f>
        <v>0</v>
      </c>
      <c r="M302" s="7">
        <f>(M$289&gt;Inputs!$D176)*(M$289-Inputs!$D176-SUM(M303:M$307))</f>
        <v>0</v>
      </c>
      <c r="N302" s="7">
        <f>(N$289&gt;Inputs!$D176)*(N$289-Inputs!$D176-SUM(N303:N$307))</f>
        <v>0</v>
      </c>
      <c r="O302" s="7">
        <f>(O$289&gt;Inputs!$D176)*(O$289-Inputs!$D176-SUM(O303:O$307))</f>
        <v>0</v>
      </c>
      <c r="P302" s="7">
        <f>(P$289&gt;Inputs!$D176)*(P$289-Inputs!$D176-SUM(P303:P$307))</f>
        <v>0</v>
      </c>
      <c r="Q302" s="7">
        <f>(Q$289&gt;Inputs!$D176)*(Q$289-Inputs!$D176-SUM(Q303:Q$307))</f>
        <v>0</v>
      </c>
      <c r="R302" s="7">
        <f>(R$289&gt;Inputs!$D176)*(R$289-Inputs!$D176-SUM(R303:R$307))</f>
        <v>0</v>
      </c>
      <c r="S302" s="7">
        <f>(S$289&gt;Inputs!$D176)*(S$289-Inputs!$D176-SUM(S303:S$307))</f>
        <v>0</v>
      </c>
      <c r="T302" s="7">
        <f>(T$289&gt;Inputs!$D176)*(T$289-Inputs!$D176-SUM(T303:T$307))</f>
        <v>0</v>
      </c>
      <c r="U302" s="7">
        <f>(U$289&gt;Inputs!$D176)*(U$289-Inputs!$D176-SUM(U303:U$307))</f>
        <v>0</v>
      </c>
      <c r="V302" s="7">
        <f>(V$289&gt;Inputs!$D176)*(V$289-Inputs!$D176-SUM(V303:V$307))</f>
        <v>0</v>
      </c>
      <c r="W302" s="7">
        <f>(W$289&gt;Inputs!$D176)*(W$289-Inputs!$D176-SUM(W303:W$307))</f>
        <v>0</v>
      </c>
      <c r="X302" s="7">
        <f>(X$289&gt;Inputs!$D176)*(X$289-Inputs!$D176-SUM(X303:X$307))</f>
        <v>0</v>
      </c>
      <c r="Y302" s="7">
        <f>(Y$289&gt;Inputs!$D176)*(Y$289-Inputs!$D176-SUM(Y303:Y$307))</f>
        <v>0</v>
      </c>
      <c r="Z302" s="7">
        <f>(Z$289&gt;Inputs!$D176)*(Z$289-Inputs!$D176-SUM(Z303:Z$307))</f>
        <v>0</v>
      </c>
      <c r="AA302" s="7">
        <f>(AA$289&gt;Inputs!$D176)*(AA$289-Inputs!$D176-SUM(AA303:AA$307))</f>
        <v>0</v>
      </c>
      <c r="AB302" s="7">
        <f>(AB$289&gt;Inputs!$D176)*(AB$289-Inputs!$D176-SUM(AB303:AB$307))</f>
        <v>0</v>
      </c>
      <c r="AC302" s="7">
        <f>(AC$289&gt;Inputs!$D176)*(AC$289-Inputs!$D176-SUM(AC303:AC$307))</f>
        <v>0</v>
      </c>
      <c r="AD302" s="7">
        <f>(AD$289&gt;Inputs!$D176)*(AD$289-Inputs!$D176-SUM(AD303:AD$307))</f>
        <v>0</v>
      </c>
      <c r="AE302" s="7">
        <f>(AE$289&gt;Inputs!$D176)*(AE$289-Inputs!$D176-SUM(AE303:AE$307))</f>
        <v>0</v>
      </c>
      <c r="AF302" s="7">
        <f>(AF$289&gt;Inputs!$D176)*(AF$289-Inputs!$D176-SUM(AF303:AF$307))</f>
        <v>0</v>
      </c>
      <c r="AG302" s="7">
        <f>(AG$289&gt;Inputs!$D176)*(AG$289-Inputs!$D176-SUM(AG303:AG$307))</f>
        <v>0</v>
      </c>
      <c r="AH302" s="7">
        <f>(AH$289&gt;Inputs!$D176)*(AH$289-Inputs!$D176-SUM(AH303:AH$307))</f>
        <v>0</v>
      </c>
      <c r="AI302" s="7">
        <f>(AI$289&gt;Inputs!$D176)*(AI$289-Inputs!$D176-SUM(AI303:AI$307))</f>
        <v>0</v>
      </c>
      <c r="AJ302" s="7">
        <f>(AJ$289&gt;Inputs!$D176)*(AJ$289-Inputs!$D176-SUM(AJ303:AJ$307))</f>
        <v>0</v>
      </c>
      <c r="AK302" s="7">
        <f>(AK$289&gt;Inputs!$D176)*(AK$289-Inputs!$D176-SUM(AK303:AK$307))</f>
        <v>0</v>
      </c>
      <c r="AL302" s="7">
        <f>(AL$289&gt;Inputs!$D176)*(AL$289-Inputs!$D176-SUM(AL303:AL$307))</f>
        <v>0</v>
      </c>
      <c r="AM302" s="7">
        <f>(AM$289&gt;Inputs!$D176)*(AM$289-Inputs!$D176-SUM(AM303:AM$307))</f>
        <v>0</v>
      </c>
      <c r="AN302" s="7">
        <f>(AN$289&gt;Inputs!$D176)*(AN$289-Inputs!$D176-SUM(AN303:AN$307))</f>
        <v>0</v>
      </c>
      <c r="AO302" s="7">
        <f>(AO$289&gt;Inputs!$D176)*(AO$289-Inputs!$D176-SUM(AO303:AO$307))</f>
        <v>0</v>
      </c>
      <c r="AP302" s="7">
        <f>(AP$289&gt;Inputs!$D176)*(AP$289-Inputs!$D176-SUM(AP303:AP$307))</f>
        <v>0</v>
      </c>
      <c r="AQ302" s="7">
        <f>(AQ$289&gt;Inputs!$D176)*(AQ$289-Inputs!$D176-SUM(AQ303:AQ$307))</f>
        <v>0</v>
      </c>
      <c r="AR302" s="7">
        <f>(AR$289&gt;Inputs!$D176)*(AR$289-Inputs!$D176-SUM(AR303:AR$307))</f>
        <v>0</v>
      </c>
      <c r="AS302" s="7">
        <f>(AS$289&gt;Inputs!$D176)*(AS$289-Inputs!$D176-SUM(AS303:AS$307))</f>
        <v>0</v>
      </c>
      <c r="AT302" s="7">
        <f>(AT$289&gt;Inputs!$D176)*(AT$289-Inputs!$D176-SUM(AT303:AT$307))</f>
        <v>0</v>
      </c>
      <c r="AU302" s="7">
        <f>(AU$289&gt;Inputs!$D176)*(AU$289-Inputs!$D176-SUM(AU303:AU$307))</f>
        <v>0</v>
      </c>
      <c r="AV302" s="7">
        <f>(AV$289&gt;Inputs!$D176)*(AV$289-Inputs!$D176-SUM(AV303:AV$307))</f>
        <v>0</v>
      </c>
      <c r="AW302" s="7">
        <f>(AW$289&gt;Inputs!$D176)*(AW$289-Inputs!$D176-SUM(AW303:AW$307))</f>
        <v>0</v>
      </c>
      <c r="AX302" s="7">
        <f>(AX$289&gt;Inputs!$D176)*(AX$289-Inputs!$D176-SUM(AX303:AX$307))</f>
        <v>0</v>
      </c>
      <c r="AY302" s="7">
        <f>(AY$289&gt;Inputs!$D176)*(AY$289-Inputs!$D176-SUM(AY303:AY$307))</f>
        <v>0</v>
      </c>
      <c r="AZ302" s="7">
        <f>(AZ$289&gt;Inputs!$D176)*(AZ$289-Inputs!$D176-SUM(AZ303:AZ$307))</f>
        <v>0</v>
      </c>
      <c r="BA302" s="7">
        <f>(BA$289&gt;Inputs!$D176)*(BA$289-Inputs!$D176-SUM(BA303:BA$307))</f>
        <v>0</v>
      </c>
      <c r="BB302" s="7">
        <f>(BB$289&gt;Inputs!$D176)*(BB$289-Inputs!$D176-SUM(BB303:BB$307))</f>
        <v>0</v>
      </c>
      <c r="BC302" s="7">
        <f>(BC$289&gt;Inputs!$D176)*(BC$289-Inputs!$D176-SUM(BC303:BC$307))</f>
        <v>0</v>
      </c>
      <c r="BD302" s="7">
        <f>(BD$289&gt;Inputs!$D176)*(BD$289-Inputs!$D176-SUM(BD303:BD$307))</f>
        <v>0</v>
      </c>
    </row>
    <row r="303" spans="3:56" ht="15" customHeight="1">
      <c r="C303" s="21"/>
      <c r="D303" s="150" t="s">
        <v>411</v>
      </c>
      <c r="E303" s="18" t="s">
        <v>30</v>
      </c>
      <c r="G303" s="7">
        <f>(G$289&gt;Inputs!$D177)*(G$289-Inputs!$D177-SUM(G304:G$307))</f>
        <v>0</v>
      </c>
      <c r="H303" s="7">
        <f>(H$289&gt;Inputs!$D177)*(H$289-Inputs!$D177-SUM(H304:H$307))</f>
        <v>0</v>
      </c>
      <c r="I303" s="7">
        <f>(I$289&gt;Inputs!$D177)*(I$289-Inputs!$D177-SUM(I304:I$307))</f>
        <v>0</v>
      </c>
      <c r="J303" s="7">
        <f>(J$289&gt;Inputs!$D177)*(J$289-Inputs!$D177-SUM(J304:J$307))</f>
        <v>0</v>
      </c>
      <c r="K303" s="7">
        <f>(K$289&gt;Inputs!$D177)*(K$289-Inputs!$D177-SUM(K304:K$307))</f>
        <v>0</v>
      </c>
      <c r="L303" s="7">
        <f>(L$289&gt;Inputs!$D177)*(L$289-Inputs!$D177-SUM(L304:L$307))</f>
        <v>0</v>
      </c>
      <c r="M303" s="7">
        <f>(M$289&gt;Inputs!$D177)*(M$289-Inputs!$D177-SUM(M304:M$307))</f>
        <v>0</v>
      </c>
      <c r="N303" s="7">
        <f>(N$289&gt;Inputs!$D177)*(N$289-Inputs!$D177-SUM(N304:N$307))</f>
        <v>0</v>
      </c>
      <c r="O303" s="7">
        <f>(O$289&gt;Inputs!$D177)*(O$289-Inputs!$D177-SUM(O304:O$307))</f>
        <v>0</v>
      </c>
      <c r="P303" s="7">
        <f>(P$289&gt;Inputs!$D177)*(P$289-Inputs!$D177-SUM(P304:P$307))</f>
        <v>0</v>
      </c>
      <c r="Q303" s="7">
        <f>(Q$289&gt;Inputs!$D177)*(Q$289-Inputs!$D177-SUM(Q304:Q$307))</f>
        <v>0</v>
      </c>
      <c r="R303" s="7">
        <f>(R$289&gt;Inputs!$D177)*(R$289-Inputs!$D177-SUM(R304:R$307))</f>
        <v>0</v>
      </c>
      <c r="S303" s="7">
        <f>(S$289&gt;Inputs!$D177)*(S$289-Inputs!$D177-SUM(S304:S$307))</f>
        <v>0</v>
      </c>
      <c r="T303" s="7">
        <f>(T$289&gt;Inputs!$D177)*(T$289-Inputs!$D177-SUM(T304:T$307))</f>
        <v>0</v>
      </c>
      <c r="U303" s="7">
        <f>(U$289&gt;Inputs!$D177)*(U$289-Inputs!$D177-SUM(U304:U$307))</f>
        <v>0</v>
      </c>
      <c r="V303" s="7">
        <f>(V$289&gt;Inputs!$D177)*(V$289-Inputs!$D177-SUM(V304:V$307))</f>
        <v>0</v>
      </c>
      <c r="W303" s="7">
        <f>(W$289&gt;Inputs!$D177)*(W$289-Inputs!$D177-SUM(W304:W$307))</f>
        <v>0</v>
      </c>
      <c r="X303" s="7">
        <f>(X$289&gt;Inputs!$D177)*(X$289-Inputs!$D177-SUM(X304:X$307))</f>
        <v>0</v>
      </c>
      <c r="Y303" s="7">
        <f>(Y$289&gt;Inputs!$D177)*(Y$289-Inputs!$D177-SUM(Y304:Y$307))</f>
        <v>0</v>
      </c>
      <c r="Z303" s="7">
        <f>(Z$289&gt;Inputs!$D177)*(Z$289-Inputs!$D177-SUM(Z304:Z$307))</f>
        <v>0</v>
      </c>
      <c r="AA303" s="7">
        <f>(AA$289&gt;Inputs!$D177)*(AA$289-Inputs!$D177-SUM(AA304:AA$307))</f>
        <v>0</v>
      </c>
      <c r="AB303" s="7">
        <f>(AB$289&gt;Inputs!$D177)*(AB$289-Inputs!$D177-SUM(AB304:AB$307))</f>
        <v>0</v>
      </c>
      <c r="AC303" s="7">
        <f>(AC$289&gt;Inputs!$D177)*(AC$289-Inputs!$D177-SUM(AC304:AC$307))</f>
        <v>0</v>
      </c>
      <c r="AD303" s="7">
        <f>(AD$289&gt;Inputs!$D177)*(AD$289-Inputs!$D177-SUM(AD304:AD$307))</f>
        <v>0</v>
      </c>
      <c r="AE303" s="7">
        <f>(AE$289&gt;Inputs!$D177)*(AE$289-Inputs!$D177-SUM(AE304:AE$307))</f>
        <v>0</v>
      </c>
      <c r="AF303" s="7">
        <f>(AF$289&gt;Inputs!$D177)*(AF$289-Inputs!$D177-SUM(AF304:AF$307))</f>
        <v>0</v>
      </c>
      <c r="AG303" s="7">
        <f>(AG$289&gt;Inputs!$D177)*(AG$289-Inputs!$D177-SUM(AG304:AG$307))</f>
        <v>0</v>
      </c>
      <c r="AH303" s="7">
        <f>(AH$289&gt;Inputs!$D177)*(AH$289-Inputs!$D177-SUM(AH304:AH$307))</f>
        <v>0</v>
      </c>
      <c r="AI303" s="7">
        <f>(AI$289&gt;Inputs!$D177)*(AI$289-Inputs!$D177-SUM(AI304:AI$307))</f>
        <v>0</v>
      </c>
      <c r="AJ303" s="7">
        <f>(AJ$289&gt;Inputs!$D177)*(AJ$289-Inputs!$D177-SUM(AJ304:AJ$307))</f>
        <v>0</v>
      </c>
      <c r="AK303" s="7">
        <f>(AK$289&gt;Inputs!$D177)*(AK$289-Inputs!$D177-SUM(AK304:AK$307))</f>
        <v>0</v>
      </c>
      <c r="AL303" s="7">
        <f>(AL$289&gt;Inputs!$D177)*(AL$289-Inputs!$D177-SUM(AL304:AL$307))</f>
        <v>0</v>
      </c>
      <c r="AM303" s="7">
        <f>(AM$289&gt;Inputs!$D177)*(AM$289-Inputs!$D177-SUM(AM304:AM$307))</f>
        <v>0</v>
      </c>
      <c r="AN303" s="7">
        <f>(AN$289&gt;Inputs!$D177)*(AN$289-Inputs!$D177-SUM(AN304:AN$307))</f>
        <v>0</v>
      </c>
      <c r="AO303" s="7">
        <f>(AO$289&gt;Inputs!$D177)*(AO$289-Inputs!$D177-SUM(AO304:AO$307))</f>
        <v>0</v>
      </c>
      <c r="AP303" s="7">
        <f>(AP$289&gt;Inputs!$D177)*(AP$289-Inputs!$D177-SUM(AP304:AP$307))</f>
        <v>0</v>
      </c>
      <c r="AQ303" s="7">
        <f>(AQ$289&gt;Inputs!$D177)*(AQ$289-Inputs!$D177-SUM(AQ304:AQ$307))</f>
        <v>0</v>
      </c>
      <c r="AR303" s="7">
        <f>(AR$289&gt;Inputs!$D177)*(AR$289-Inputs!$D177-SUM(AR304:AR$307))</f>
        <v>0</v>
      </c>
      <c r="AS303" s="7">
        <f>(AS$289&gt;Inputs!$D177)*(AS$289-Inputs!$D177-SUM(AS304:AS$307))</f>
        <v>0</v>
      </c>
      <c r="AT303" s="7">
        <f>(AT$289&gt;Inputs!$D177)*(AT$289-Inputs!$D177-SUM(AT304:AT$307))</f>
        <v>0</v>
      </c>
      <c r="AU303" s="7">
        <f>(AU$289&gt;Inputs!$D177)*(AU$289-Inputs!$D177-SUM(AU304:AU$307))</f>
        <v>0</v>
      </c>
      <c r="AV303" s="7">
        <f>(AV$289&gt;Inputs!$D177)*(AV$289-Inputs!$D177-SUM(AV304:AV$307))</f>
        <v>0</v>
      </c>
      <c r="AW303" s="7">
        <f>(AW$289&gt;Inputs!$D177)*(AW$289-Inputs!$D177-SUM(AW304:AW$307))</f>
        <v>0</v>
      </c>
      <c r="AX303" s="7">
        <f>(AX$289&gt;Inputs!$D177)*(AX$289-Inputs!$D177-SUM(AX304:AX$307))</f>
        <v>0</v>
      </c>
      <c r="AY303" s="7">
        <f>(AY$289&gt;Inputs!$D177)*(AY$289-Inputs!$D177-SUM(AY304:AY$307))</f>
        <v>0</v>
      </c>
      <c r="AZ303" s="7">
        <f>(AZ$289&gt;Inputs!$D177)*(AZ$289-Inputs!$D177-SUM(AZ304:AZ$307))</f>
        <v>0</v>
      </c>
      <c r="BA303" s="7">
        <f>(BA$289&gt;Inputs!$D177)*(BA$289-Inputs!$D177-SUM(BA304:BA$307))</f>
        <v>0</v>
      </c>
      <c r="BB303" s="7">
        <f>(BB$289&gt;Inputs!$D177)*(BB$289-Inputs!$D177-SUM(BB304:BB$307))</f>
        <v>0</v>
      </c>
      <c r="BC303" s="7">
        <f>(BC$289&gt;Inputs!$D177)*(BC$289-Inputs!$D177-SUM(BC304:BC$307))</f>
        <v>0</v>
      </c>
      <c r="BD303" s="7">
        <f>(BD$289&gt;Inputs!$D177)*(BD$289-Inputs!$D177-SUM(BD304:BD$307))</f>
        <v>0</v>
      </c>
    </row>
    <row r="304" spans="3:56" ht="15" customHeight="1">
      <c r="C304" s="21"/>
      <c r="D304" s="150" t="s">
        <v>412</v>
      </c>
      <c r="E304" s="18" t="s">
        <v>30</v>
      </c>
      <c r="G304" s="7">
        <f>(G$289&gt;Inputs!$D178)*(G$289-Inputs!$D178-SUM(G305:G$307))</f>
        <v>0</v>
      </c>
      <c r="H304" s="7">
        <f>(H$289&gt;Inputs!$D178)*(H$289-Inputs!$D178-SUM(H305:H$307))</f>
        <v>0</v>
      </c>
      <c r="I304" s="7">
        <f>(I$289&gt;Inputs!$D178)*(I$289-Inputs!$D178-SUM(I305:I$307))</f>
        <v>0</v>
      </c>
      <c r="J304" s="7">
        <f>(J$289&gt;Inputs!$D178)*(J$289-Inputs!$D178-SUM(J305:J$307))</f>
        <v>0</v>
      </c>
      <c r="K304" s="7">
        <f>(K$289&gt;Inputs!$D178)*(K$289-Inputs!$D178-SUM(K305:K$307))</f>
        <v>0</v>
      </c>
      <c r="L304" s="7">
        <f>(L$289&gt;Inputs!$D178)*(L$289-Inputs!$D178-SUM(L305:L$307))</f>
        <v>0</v>
      </c>
      <c r="M304" s="7">
        <f>(M$289&gt;Inputs!$D178)*(M$289-Inputs!$D178-SUM(M305:M$307))</f>
        <v>0</v>
      </c>
      <c r="N304" s="7">
        <f>(N$289&gt;Inputs!$D178)*(N$289-Inputs!$D178-SUM(N305:N$307))</f>
        <v>0</v>
      </c>
      <c r="O304" s="7">
        <f>(O$289&gt;Inputs!$D178)*(O$289-Inputs!$D178-SUM(O305:O$307))</f>
        <v>0</v>
      </c>
      <c r="P304" s="7">
        <f>(P$289&gt;Inputs!$D178)*(P$289-Inputs!$D178-SUM(P305:P$307))</f>
        <v>0</v>
      </c>
      <c r="Q304" s="7">
        <f>(Q$289&gt;Inputs!$D178)*(Q$289-Inputs!$D178-SUM(Q305:Q$307))</f>
        <v>0</v>
      </c>
      <c r="R304" s="7">
        <f>(R$289&gt;Inputs!$D178)*(R$289-Inputs!$D178-SUM(R305:R$307))</f>
        <v>0</v>
      </c>
      <c r="S304" s="7">
        <f>(S$289&gt;Inputs!$D178)*(S$289-Inputs!$D178-SUM(S305:S$307))</f>
        <v>0</v>
      </c>
      <c r="T304" s="7">
        <f>(T$289&gt;Inputs!$D178)*(T$289-Inputs!$D178-SUM(T305:T$307))</f>
        <v>0</v>
      </c>
      <c r="U304" s="7">
        <f>(U$289&gt;Inputs!$D178)*(U$289-Inputs!$D178-SUM(U305:U$307))</f>
        <v>0</v>
      </c>
      <c r="V304" s="7">
        <f>(V$289&gt;Inputs!$D178)*(V$289-Inputs!$D178-SUM(V305:V$307))</f>
        <v>0</v>
      </c>
      <c r="W304" s="7">
        <f>(W$289&gt;Inputs!$D178)*(W$289-Inputs!$D178-SUM(W305:W$307))</f>
        <v>0</v>
      </c>
      <c r="X304" s="7">
        <f>(X$289&gt;Inputs!$D178)*(X$289-Inputs!$D178-SUM(X305:X$307))</f>
        <v>0</v>
      </c>
      <c r="Y304" s="7">
        <f>(Y$289&gt;Inputs!$D178)*(Y$289-Inputs!$D178-SUM(Y305:Y$307))</f>
        <v>0</v>
      </c>
      <c r="Z304" s="7">
        <f>(Z$289&gt;Inputs!$D178)*(Z$289-Inputs!$D178-SUM(Z305:Z$307))</f>
        <v>0</v>
      </c>
      <c r="AA304" s="7">
        <f>(AA$289&gt;Inputs!$D178)*(AA$289-Inputs!$D178-SUM(AA305:AA$307))</f>
        <v>0</v>
      </c>
      <c r="AB304" s="7">
        <f>(AB$289&gt;Inputs!$D178)*(AB$289-Inputs!$D178-SUM(AB305:AB$307))</f>
        <v>0</v>
      </c>
      <c r="AC304" s="7">
        <f>(AC$289&gt;Inputs!$D178)*(AC$289-Inputs!$D178-SUM(AC305:AC$307))</f>
        <v>0</v>
      </c>
      <c r="AD304" s="7">
        <f>(AD$289&gt;Inputs!$D178)*(AD$289-Inputs!$D178-SUM(AD305:AD$307))</f>
        <v>0</v>
      </c>
      <c r="AE304" s="7">
        <f>(AE$289&gt;Inputs!$D178)*(AE$289-Inputs!$D178-SUM(AE305:AE$307))</f>
        <v>0</v>
      </c>
      <c r="AF304" s="7">
        <f>(AF$289&gt;Inputs!$D178)*(AF$289-Inputs!$D178-SUM(AF305:AF$307))</f>
        <v>0</v>
      </c>
      <c r="AG304" s="7">
        <f>(AG$289&gt;Inputs!$D178)*(AG$289-Inputs!$D178-SUM(AG305:AG$307))</f>
        <v>0</v>
      </c>
      <c r="AH304" s="7">
        <f>(AH$289&gt;Inputs!$D178)*(AH$289-Inputs!$D178-SUM(AH305:AH$307))</f>
        <v>0</v>
      </c>
      <c r="AI304" s="7">
        <f>(AI$289&gt;Inputs!$D178)*(AI$289-Inputs!$D178-SUM(AI305:AI$307))</f>
        <v>0</v>
      </c>
      <c r="AJ304" s="7">
        <f>(AJ$289&gt;Inputs!$D178)*(AJ$289-Inputs!$D178-SUM(AJ305:AJ$307))</f>
        <v>0</v>
      </c>
      <c r="AK304" s="7">
        <f>(AK$289&gt;Inputs!$D178)*(AK$289-Inputs!$D178-SUM(AK305:AK$307))</f>
        <v>0</v>
      </c>
      <c r="AL304" s="7">
        <f>(AL$289&gt;Inputs!$D178)*(AL$289-Inputs!$D178-SUM(AL305:AL$307))</f>
        <v>0</v>
      </c>
      <c r="AM304" s="7">
        <f>(AM$289&gt;Inputs!$D178)*(AM$289-Inputs!$D178-SUM(AM305:AM$307))</f>
        <v>0</v>
      </c>
      <c r="AN304" s="7">
        <f>(AN$289&gt;Inputs!$D178)*(AN$289-Inputs!$D178-SUM(AN305:AN$307))</f>
        <v>0</v>
      </c>
      <c r="AO304" s="7">
        <f>(AO$289&gt;Inputs!$D178)*(AO$289-Inputs!$D178-SUM(AO305:AO$307))</f>
        <v>0</v>
      </c>
      <c r="AP304" s="7">
        <f>(AP$289&gt;Inputs!$D178)*(AP$289-Inputs!$D178-SUM(AP305:AP$307))</f>
        <v>0</v>
      </c>
      <c r="AQ304" s="7">
        <f>(AQ$289&gt;Inputs!$D178)*(AQ$289-Inputs!$D178-SUM(AQ305:AQ$307))</f>
        <v>0</v>
      </c>
      <c r="AR304" s="7">
        <f>(AR$289&gt;Inputs!$D178)*(AR$289-Inputs!$D178-SUM(AR305:AR$307))</f>
        <v>0</v>
      </c>
      <c r="AS304" s="7">
        <f>(AS$289&gt;Inputs!$D178)*(AS$289-Inputs!$D178-SUM(AS305:AS$307))</f>
        <v>0</v>
      </c>
      <c r="AT304" s="7">
        <f>(AT$289&gt;Inputs!$D178)*(AT$289-Inputs!$D178-SUM(AT305:AT$307))</f>
        <v>0</v>
      </c>
      <c r="AU304" s="7">
        <f>(AU$289&gt;Inputs!$D178)*(AU$289-Inputs!$D178-SUM(AU305:AU$307))</f>
        <v>0</v>
      </c>
      <c r="AV304" s="7">
        <f>(AV$289&gt;Inputs!$D178)*(AV$289-Inputs!$D178-SUM(AV305:AV$307))</f>
        <v>0</v>
      </c>
      <c r="AW304" s="7">
        <f>(AW$289&gt;Inputs!$D178)*(AW$289-Inputs!$D178-SUM(AW305:AW$307))</f>
        <v>0</v>
      </c>
      <c r="AX304" s="7">
        <f>(AX$289&gt;Inputs!$D178)*(AX$289-Inputs!$D178-SUM(AX305:AX$307))</f>
        <v>0</v>
      </c>
      <c r="AY304" s="7">
        <f>(AY$289&gt;Inputs!$D178)*(AY$289-Inputs!$D178-SUM(AY305:AY$307))</f>
        <v>0</v>
      </c>
      <c r="AZ304" s="7">
        <f>(AZ$289&gt;Inputs!$D178)*(AZ$289-Inputs!$D178-SUM(AZ305:AZ$307))</f>
        <v>0</v>
      </c>
      <c r="BA304" s="7">
        <f>(BA$289&gt;Inputs!$D178)*(BA$289-Inputs!$D178-SUM(BA305:BA$307))</f>
        <v>0</v>
      </c>
      <c r="BB304" s="7">
        <f>(BB$289&gt;Inputs!$D178)*(BB$289-Inputs!$D178-SUM(BB305:BB$307))</f>
        <v>0</v>
      </c>
      <c r="BC304" s="7">
        <f>(BC$289&gt;Inputs!$D178)*(BC$289-Inputs!$D178-SUM(BC305:BC$307))</f>
        <v>0</v>
      </c>
      <c r="BD304" s="7">
        <f>(BD$289&gt;Inputs!$D178)*(BD$289-Inputs!$D178-SUM(BD305:BD$307))</f>
        <v>0</v>
      </c>
    </row>
    <row r="305" spans="1:57" ht="15" customHeight="1">
      <c r="C305" s="21"/>
      <c r="D305" s="150" t="s">
        <v>469</v>
      </c>
      <c r="E305" s="18" t="s">
        <v>30</v>
      </c>
      <c r="G305" s="7">
        <f>(G$289&gt;Inputs!$D179)*(G$289-Inputs!$D179-SUM(G306:G$307))</f>
        <v>0</v>
      </c>
      <c r="H305" s="7">
        <f>(H$289&gt;Inputs!$D179)*(H$289-Inputs!$D179-SUM(H306:H$307))</f>
        <v>0</v>
      </c>
      <c r="I305" s="7">
        <f>(I$289&gt;Inputs!$D179)*(I$289-Inputs!$D179-SUM(I306:I$307))</f>
        <v>0</v>
      </c>
      <c r="J305" s="7">
        <f>(J$289&gt;Inputs!$D179)*(J$289-Inputs!$D179-SUM(J306:J$307))</f>
        <v>0</v>
      </c>
      <c r="K305" s="7">
        <f>(K$289&gt;Inputs!$D179)*(K$289-Inputs!$D179-SUM(K306:K$307))</f>
        <v>0</v>
      </c>
      <c r="L305" s="7">
        <f>(L$289&gt;Inputs!$D179)*(L$289-Inputs!$D179-SUM(L306:L$307))</f>
        <v>0</v>
      </c>
      <c r="M305" s="7">
        <f>(M$289&gt;Inputs!$D179)*(M$289-Inputs!$D179-SUM(M306:M$307))</f>
        <v>0</v>
      </c>
      <c r="N305" s="7">
        <f>(N$289&gt;Inputs!$D179)*(N$289-Inputs!$D179-SUM(N306:N$307))</f>
        <v>0</v>
      </c>
      <c r="O305" s="7">
        <f>(O$289&gt;Inputs!$D179)*(O$289-Inputs!$D179-SUM(O306:O$307))</f>
        <v>0</v>
      </c>
      <c r="P305" s="7">
        <f>(P$289&gt;Inputs!$D179)*(P$289-Inputs!$D179-SUM(P306:P$307))</f>
        <v>0</v>
      </c>
      <c r="Q305" s="7">
        <f>(Q$289&gt;Inputs!$D179)*(Q$289-Inputs!$D179-SUM(Q306:Q$307))</f>
        <v>0</v>
      </c>
      <c r="R305" s="7">
        <f>(R$289&gt;Inputs!$D179)*(R$289-Inputs!$D179-SUM(R306:R$307))</f>
        <v>0</v>
      </c>
      <c r="S305" s="7">
        <f>(S$289&gt;Inputs!$D179)*(S$289-Inputs!$D179-SUM(S306:S$307))</f>
        <v>0</v>
      </c>
      <c r="T305" s="7">
        <f>(T$289&gt;Inputs!$D179)*(T$289-Inputs!$D179-SUM(T306:T$307))</f>
        <v>0</v>
      </c>
      <c r="U305" s="7">
        <f>(U$289&gt;Inputs!$D179)*(U$289-Inputs!$D179-SUM(U306:U$307))</f>
        <v>0</v>
      </c>
      <c r="V305" s="7">
        <f>(V$289&gt;Inputs!$D179)*(V$289-Inputs!$D179-SUM(V306:V$307))</f>
        <v>0</v>
      </c>
      <c r="W305" s="7">
        <f>(W$289&gt;Inputs!$D179)*(W$289-Inputs!$D179-SUM(W306:W$307))</f>
        <v>0</v>
      </c>
      <c r="X305" s="7">
        <f>(X$289&gt;Inputs!$D179)*(X$289-Inputs!$D179-SUM(X306:X$307))</f>
        <v>0</v>
      </c>
      <c r="Y305" s="7">
        <f>(Y$289&gt;Inputs!$D179)*(Y$289-Inputs!$D179-SUM(Y306:Y$307))</f>
        <v>0</v>
      </c>
      <c r="Z305" s="7">
        <f>(Z$289&gt;Inputs!$D179)*(Z$289-Inputs!$D179-SUM(Z306:Z$307))</f>
        <v>0</v>
      </c>
      <c r="AA305" s="7">
        <f>(AA$289&gt;Inputs!$D179)*(AA$289-Inputs!$D179-SUM(AA306:AA$307))</f>
        <v>0</v>
      </c>
      <c r="AB305" s="7">
        <f>(AB$289&gt;Inputs!$D179)*(AB$289-Inputs!$D179-SUM(AB306:AB$307))</f>
        <v>0</v>
      </c>
      <c r="AC305" s="7">
        <f>(AC$289&gt;Inputs!$D179)*(AC$289-Inputs!$D179-SUM(AC306:AC$307))</f>
        <v>0</v>
      </c>
      <c r="AD305" s="7">
        <f>(AD$289&gt;Inputs!$D179)*(AD$289-Inputs!$D179-SUM(AD306:AD$307))</f>
        <v>0</v>
      </c>
      <c r="AE305" s="7">
        <f>(AE$289&gt;Inputs!$D179)*(AE$289-Inputs!$D179-SUM(AE306:AE$307))</f>
        <v>0</v>
      </c>
      <c r="AF305" s="7">
        <f>(AF$289&gt;Inputs!$D179)*(AF$289-Inputs!$D179-SUM(AF306:AF$307))</f>
        <v>0</v>
      </c>
      <c r="AG305" s="7">
        <f>(AG$289&gt;Inputs!$D179)*(AG$289-Inputs!$D179-SUM(AG306:AG$307))</f>
        <v>0</v>
      </c>
      <c r="AH305" s="7">
        <f>(AH$289&gt;Inputs!$D179)*(AH$289-Inputs!$D179-SUM(AH306:AH$307))</f>
        <v>0</v>
      </c>
      <c r="AI305" s="7">
        <f>(AI$289&gt;Inputs!$D179)*(AI$289-Inputs!$D179-SUM(AI306:AI$307))</f>
        <v>0</v>
      </c>
      <c r="AJ305" s="7">
        <f>(AJ$289&gt;Inputs!$D179)*(AJ$289-Inputs!$D179-SUM(AJ306:AJ$307))</f>
        <v>0</v>
      </c>
      <c r="AK305" s="7">
        <f>(AK$289&gt;Inputs!$D179)*(AK$289-Inputs!$D179-SUM(AK306:AK$307))</f>
        <v>0</v>
      </c>
      <c r="AL305" s="7">
        <f>(AL$289&gt;Inputs!$D179)*(AL$289-Inputs!$D179-SUM(AL306:AL$307))</f>
        <v>0</v>
      </c>
      <c r="AM305" s="7">
        <f>(AM$289&gt;Inputs!$D179)*(AM$289-Inputs!$D179-SUM(AM306:AM$307))</f>
        <v>0</v>
      </c>
      <c r="AN305" s="7">
        <f>(AN$289&gt;Inputs!$D179)*(AN$289-Inputs!$D179-SUM(AN306:AN$307))</f>
        <v>0</v>
      </c>
      <c r="AO305" s="7">
        <f>(AO$289&gt;Inputs!$D179)*(AO$289-Inputs!$D179-SUM(AO306:AO$307))</f>
        <v>0</v>
      </c>
      <c r="AP305" s="7">
        <f>(AP$289&gt;Inputs!$D179)*(AP$289-Inputs!$D179-SUM(AP306:AP$307))</f>
        <v>0</v>
      </c>
      <c r="AQ305" s="7">
        <f>(AQ$289&gt;Inputs!$D179)*(AQ$289-Inputs!$D179-SUM(AQ306:AQ$307))</f>
        <v>0</v>
      </c>
      <c r="AR305" s="7">
        <f>(AR$289&gt;Inputs!$D179)*(AR$289-Inputs!$D179-SUM(AR306:AR$307))</f>
        <v>0</v>
      </c>
      <c r="AS305" s="7">
        <f>(AS$289&gt;Inputs!$D179)*(AS$289-Inputs!$D179-SUM(AS306:AS$307))</f>
        <v>0</v>
      </c>
      <c r="AT305" s="7">
        <f>(AT$289&gt;Inputs!$D179)*(AT$289-Inputs!$D179-SUM(AT306:AT$307))</f>
        <v>0</v>
      </c>
      <c r="AU305" s="7">
        <f>(AU$289&gt;Inputs!$D179)*(AU$289-Inputs!$D179-SUM(AU306:AU$307))</f>
        <v>0</v>
      </c>
      <c r="AV305" s="7">
        <f>(AV$289&gt;Inputs!$D179)*(AV$289-Inputs!$D179-SUM(AV306:AV$307))</f>
        <v>0</v>
      </c>
      <c r="AW305" s="7">
        <f>(AW$289&gt;Inputs!$D179)*(AW$289-Inputs!$D179-SUM(AW306:AW$307))</f>
        <v>0</v>
      </c>
      <c r="AX305" s="7">
        <f>(AX$289&gt;Inputs!$D179)*(AX$289-Inputs!$D179-SUM(AX306:AX$307))</f>
        <v>0</v>
      </c>
      <c r="AY305" s="7">
        <f>(AY$289&gt;Inputs!$D179)*(AY$289-Inputs!$D179-SUM(AY306:AY$307))</f>
        <v>0</v>
      </c>
      <c r="AZ305" s="7">
        <f>(AZ$289&gt;Inputs!$D179)*(AZ$289-Inputs!$D179-SUM(AZ306:AZ$307))</f>
        <v>0</v>
      </c>
      <c r="BA305" s="7">
        <f>(BA$289&gt;Inputs!$D179)*(BA$289-Inputs!$D179-SUM(BA306:BA$307))</f>
        <v>0</v>
      </c>
      <c r="BB305" s="7">
        <f>(BB$289&gt;Inputs!$D179)*(BB$289-Inputs!$D179-SUM(BB306:BB$307))</f>
        <v>0</v>
      </c>
      <c r="BC305" s="7">
        <f>(BC$289&gt;Inputs!$D179)*(BC$289-Inputs!$D179-SUM(BC306:BC$307))</f>
        <v>0</v>
      </c>
      <c r="BD305" s="7">
        <f>(BD$289&gt;Inputs!$D179)*(BD$289-Inputs!$D179-SUM(BD306:BD$307))</f>
        <v>0</v>
      </c>
    </row>
    <row r="306" spans="1:57" ht="15" customHeight="1">
      <c r="C306" s="21"/>
      <c r="D306" s="150" t="s">
        <v>470</v>
      </c>
      <c r="E306" s="18" t="s">
        <v>30</v>
      </c>
      <c r="G306" s="7">
        <f>(G$289&gt;Inputs!$D180)*(G$289-Inputs!$D180-SUM(G307:G$307))</f>
        <v>0</v>
      </c>
      <c r="H306" s="7">
        <f>(H$289&gt;Inputs!$D180)*(H$289-Inputs!$D180-SUM(H307:H$307))</f>
        <v>0</v>
      </c>
      <c r="I306" s="7">
        <f>(I$289&gt;Inputs!$D180)*(I$289-Inputs!$D180-SUM(I307:I$307))</f>
        <v>0</v>
      </c>
      <c r="J306" s="7">
        <f>(J$289&gt;Inputs!$D180)*(J$289-Inputs!$D180-SUM(J307:J$307))</f>
        <v>0</v>
      </c>
      <c r="K306" s="7">
        <f>(K$289&gt;Inputs!$D180)*(K$289-Inputs!$D180-SUM(K307:K$307))</f>
        <v>0</v>
      </c>
      <c r="L306" s="7">
        <f>(L$289&gt;Inputs!$D180)*(L$289-Inputs!$D180-SUM(L307:L$307))</f>
        <v>0</v>
      </c>
      <c r="M306" s="7">
        <f>(M$289&gt;Inputs!$D180)*(M$289-Inputs!$D180-SUM(M307:M$307))</f>
        <v>0</v>
      </c>
      <c r="N306" s="7">
        <f>(N$289&gt;Inputs!$D180)*(N$289-Inputs!$D180-SUM(N307:N$307))</f>
        <v>0</v>
      </c>
      <c r="O306" s="7">
        <f>(O$289&gt;Inputs!$D180)*(O$289-Inputs!$D180-SUM(O307:O$307))</f>
        <v>0</v>
      </c>
      <c r="P306" s="7">
        <f>(P$289&gt;Inputs!$D180)*(P$289-Inputs!$D180-SUM(P307:P$307))</f>
        <v>0</v>
      </c>
      <c r="Q306" s="7">
        <f>(Q$289&gt;Inputs!$D180)*(Q$289-Inputs!$D180-SUM(Q307:Q$307))</f>
        <v>0</v>
      </c>
      <c r="R306" s="7">
        <f>(R$289&gt;Inputs!$D180)*(R$289-Inputs!$D180-SUM(R307:R$307))</f>
        <v>0</v>
      </c>
      <c r="S306" s="7">
        <f>(S$289&gt;Inputs!$D180)*(S$289-Inputs!$D180-SUM(S307:S$307))</f>
        <v>0</v>
      </c>
      <c r="T306" s="7">
        <f>(T$289&gt;Inputs!$D180)*(T$289-Inputs!$D180-SUM(T307:T$307))</f>
        <v>0</v>
      </c>
      <c r="U306" s="7">
        <f>(U$289&gt;Inputs!$D180)*(U$289-Inputs!$D180-SUM(U307:U$307))</f>
        <v>0</v>
      </c>
      <c r="V306" s="7">
        <f>(V$289&gt;Inputs!$D180)*(V$289-Inputs!$D180-SUM(V307:V$307))</f>
        <v>0</v>
      </c>
      <c r="W306" s="7">
        <f>(W$289&gt;Inputs!$D180)*(W$289-Inputs!$D180-SUM(W307:W$307))</f>
        <v>0</v>
      </c>
      <c r="X306" s="7">
        <f>(X$289&gt;Inputs!$D180)*(X$289-Inputs!$D180-SUM(X307:X$307))</f>
        <v>0</v>
      </c>
      <c r="Y306" s="7">
        <f>(Y$289&gt;Inputs!$D180)*(Y$289-Inputs!$D180-SUM(Y307:Y$307))</f>
        <v>0</v>
      </c>
      <c r="Z306" s="7">
        <f>(Z$289&gt;Inputs!$D180)*(Z$289-Inputs!$D180-SUM(Z307:Z$307))</f>
        <v>0</v>
      </c>
      <c r="AA306" s="7">
        <f>(AA$289&gt;Inputs!$D180)*(AA$289-Inputs!$D180-SUM(AA307:AA$307))</f>
        <v>0</v>
      </c>
      <c r="AB306" s="7">
        <f>(AB$289&gt;Inputs!$D180)*(AB$289-Inputs!$D180-SUM(AB307:AB$307))</f>
        <v>0</v>
      </c>
      <c r="AC306" s="7">
        <f>(AC$289&gt;Inputs!$D180)*(AC$289-Inputs!$D180-SUM(AC307:AC$307))</f>
        <v>0</v>
      </c>
      <c r="AD306" s="7">
        <f>(AD$289&gt;Inputs!$D180)*(AD$289-Inputs!$D180-SUM(AD307:AD$307))</f>
        <v>0</v>
      </c>
      <c r="AE306" s="7">
        <f>(AE$289&gt;Inputs!$D180)*(AE$289-Inputs!$D180-SUM(AE307:AE$307))</f>
        <v>0</v>
      </c>
      <c r="AF306" s="7">
        <f>(AF$289&gt;Inputs!$D180)*(AF$289-Inputs!$D180-SUM(AF307:AF$307))</f>
        <v>0</v>
      </c>
      <c r="AG306" s="7">
        <f>(AG$289&gt;Inputs!$D180)*(AG$289-Inputs!$D180-SUM(AG307:AG$307))</f>
        <v>0</v>
      </c>
      <c r="AH306" s="7">
        <f>(AH$289&gt;Inputs!$D180)*(AH$289-Inputs!$D180-SUM(AH307:AH$307))</f>
        <v>0</v>
      </c>
      <c r="AI306" s="7">
        <f>(AI$289&gt;Inputs!$D180)*(AI$289-Inputs!$D180-SUM(AI307:AI$307))</f>
        <v>0</v>
      </c>
      <c r="AJ306" s="7">
        <f>(AJ$289&gt;Inputs!$D180)*(AJ$289-Inputs!$D180-SUM(AJ307:AJ$307))</f>
        <v>0</v>
      </c>
      <c r="AK306" s="7">
        <f>(AK$289&gt;Inputs!$D180)*(AK$289-Inputs!$D180-SUM(AK307:AK$307))</f>
        <v>0</v>
      </c>
      <c r="AL306" s="7">
        <f>(AL$289&gt;Inputs!$D180)*(AL$289-Inputs!$D180-SUM(AL307:AL$307))</f>
        <v>0</v>
      </c>
      <c r="AM306" s="7">
        <f>(AM$289&gt;Inputs!$D180)*(AM$289-Inputs!$D180-SUM(AM307:AM$307))</f>
        <v>0</v>
      </c>
      <c r="AN306" s="7">
        <f>(AN$289&gt;Inputs!$D180)*(AN$289-Inputs!$D180-SUM(AN307:AN$307))</f>
        <v>0</v>
      </c>
      <c r="AO306" s="7">
        <f>(AO$289&gt;Inputs!$D180)*(AO$289-Inputs!$D180-SUM(AO307:AO$307))</f>
        <v>0</v>
      </c>
      <c r="AP306" s="7">
        <f>(AP$289&gt;Inputs!$D180)*(AP$289-Inputs!$D180-SUM(AP307:AP$307))</f>
        <v>0</v>
      </c>
      <c r="AQ306" s="7">
        <f>(AQ$289&gt;Inputs!$D180)*(AQ$289-Inputs!$D180-SUM(AQ307:AQ$307))</f>
        <v>0</v>
      </c>
      <c r="AR306" s="7">
        <f>(AR$289&gt;Inputs!$D180)*(AR$289-Inputs!$D180-SUM(AR307:AR$307))</f>
        <v>0</v>
      </c>
      <c r="AS306" s="7">
        <f>(AS$289&gt;Inputs!$D180)*(AS$289-Inputs!$D180-SUM(AS307:AS$307))</f>
        <v>0</v>
      </c>
      <c r="AT306" s="7">
        <f>(AT$289&gt;Inputs!$D180)*(AT$289-Inputs!$D180-SUM(AT307:AT$307))</f>
        <v>0</v>
      </c>
      <c r="AU306" s="7">
        <f>(AU$289&gt;Inputs!$D180)*(AU$289-Inputs!$D180-SUM(AU307:AU$307))</f>
        <v>0</v>
      </c>
      <c r="AV306" s="7">
        <f>(AV$289&gt;Inputs!$D180)*(AV$289-Inputs!$D180-SUM(AV307:AV$307))</f>
        <v>0</v>
      </c>
      <c r="AW306" s="7">
        <f>(AW$289&gt;Inputs!$D180)*(AW$289-Inputs!$D180-SUM(AW307:AW$307))</f>
        <v>0</v>
      </c>
      <c r="AX306" s="7">
        <f>(AX$289&gt;Inputs!$D180)*(AX$289-Inputs!$D180-SUM(AX307:AX$307))</f>
        <v>0</v>
      </c>
      <c r="AY306" s="7">
        <f>(AY$289&gt;Inputs!$D180)*(AY$289-Inputs!$D180-SUM(AY307:AY$307))</f>
        <v>0</v>
      </c>
      <c r="AZ306" s="7">
        <f>(AZ$289&gt;Inputs!$D180)*(AZ$289-Inputs!$D180-SUM(AZ307:AZ$307))</f>
        <v>0</v>
      </c>
      <c r="BA306" s="7">
        <f>(BA$289&gt;Inputs!$D180)*(BA$289-Inputs!$D180-SUM(BA307:BA$307))</f>
        <v>0</v>
      </c>
      <c r="BB306" s="7">
        <f>(BB$289&gt;Inputs!$D180)*(BB$289-Inputs!$D180-SUM(BB307:BB$307))</f>
        <v>0</v>
      </c>
      <c r="BC306" s="7">
        <f>(BC$289&gt;Inputs!$D180)*(BC$289-Inputs!$D180-SUM(BC307:BC$307))</f>
        <v>0</v>
      </c>
      <c r="BD306" s="7">
        <f>(BD$289&gt;Inputs!$D180)*(BD$289-Inputs!$D180-SUM(BD307:BD$307))</f>
        <v>0</v>
      </c>
    </row>
    <row r="307" spans="1:57" ht="15" customHeight="1">
      <c r="C307" s="21"/>
      <c r="D307" s="150" t="s">
        <v>471</v>
      </c>
      <c r="E307" s="18" t="s">
        <v>30</v>
      </c>
      <c r="G307" s="7">
        <f>IF(G$289&gt;Inputs!$D$181,Model!G$289-Inputs!$D$181,0)</f>
        <v>0</v>
      </c>
      <c r="H307" s="7">
        <f>IF(H$289&gt;Inputs!$D$181,Model!H$289-Inputs!$D$181,0)</f>
        <v>0</v>
      </c>
      <c r="I307" s="7">
        <f>IF(I$289&gt;Inputs!$D$181,Model!I$289-Inputs!$D$181,0)</f>
        <v>0</v>
      </c>
      <c r="J307" s="7">
        <f>IF(J$289&gt;Inputs!$D$181,Model!J$289-Inputs!$D$181,0)</f>
        <v>0</v>
      </c>
      <c r="K307" s="7">
        <f>IF(K$289&gt;Inputs!$D$181,Model!K$289-Inputs!$D$181,0)</f>
        <v>0.4644687500000001</v>
      </c>
      <c r="L307" s="7">
        <f>IF(L$289&gt;Inputs!$D$181,Model!L$289-Inputs!$D$181,0)</f>
        <v>0.47350892857142868</v>
      </c>
      <c r="M307" s="7">
        <f>IF(M$289&gt;Inputs!$D$181,Model!M$289-Inputs!$D$181,0)</f>
        <v>0.47350892857142862</v>
      </c>
      <c r="N307" s="7">
        <f>IF(N$289&gt;Inputs!$D$181,Model!N$289-Inputs!$D$181,0)</f>
        <v>0.47350892857142862</v>
      </c>
      <c r="O307" s="7">
        <f>IF(O$289&gt;Inputs!$D$181,Model!O$289-Inputs!$D$181,0)</f>
        <v>0.47350892857142868</v>
      </c>
      <c r="P307" s="7">
        <f>IF(P$289&gt;Inputs!$D$181,Model!P$289-Inputs!$D$181,0)</f>
        <v>0.47350892857142879</v>
      </c>
      <c r="Q307" s="7">
        <f>IF(Q$289&gt;Inputs!$D$181,Model!Q$289-Inputs!$D$181,0)</f>
        <v>0.47350892857142879</v>
      </c>
      <c r="R307" s="7">
        <f>IF(R$289&gt;Inputs!$D$181,Model!R$289-Inputs!$D$181,0)</f>
        <v>0.47350892857142857</v>
      </c>
      <c r="S307" s="7">
        <f>IF(S$289&gt;Inputs!$D$181,Model!S$289-Inputs!$D$181,0)</f>
        <v>0.47350892857142862</v>
      </c>
      <c r="T307" s="7">
        <f>IF(T$289&gt;Inputs!$D$181,Model!T$289-Inputs!$D$181,0)</f>
        <v>0.47350892857142868</v>
      </c>
      <c r="U307" s="7">
        <f>IF(U$289&gt;Inputs!$D$181,Model!U$289-Inputs!$D$181,0)</f>
        <v>0.47350892857142862</v>
      </c>
      <c r="V307" s="7">
        <f>IF(V$289&gt;Inputs!$D$181,Model!V$289-Inputs!$D$181,0)</f>
        <v>0.47350892857142868</v>
      </c>
      <c r="W307" s="7">
        <f>IF(W$289&gt;Inputs!$D$181,Model!W$289-Inputs!$D$181,0)</f>
        <v>0.47350892857142873</v>
      </c>
      <c r="X307" s="7">
        <f>IF(X$289&gt;Inputs!$D$181,Model!X$289-Inputs!$D$181,0)</f>
        <v>0.47350892857142868</v>
      </c>
      <c r="Y307" s="7">
        <f>IF(Y$289&gt;Inputs!$D$181,Model!Y$289-Inputs!$D$181,0)</f>
        <v>0.47350892857142868</v>
      </c>
      <c r="Z307" s="7">
        <f>IF(Z$289&gt;Inputs!$D$181,Model!Z$289-Inputs!$D$181,0)</f>
        <v>0.47350892857142868</v>
      </c>
      <c r="AA307" s="7">
        <f>IF(AA$289&gt;Inputs!$D$181,Model!AA$289-Inputs!$D$181,0)</f>
        <v>0.47350892857142862</v>
      </c>
      <c r="AB307" s="7">
        <f>IF(AB$289&gt;Inputs!$D$181,Model!AB$289-Inputs!$D$181,0)</f>
        <v>0.47350892857142868</v>
      </c>
      <c r="AC307" s="7">
        <f>IF(AC$289&gt;Inputs!$D$181,Model!AC$289-Inputs!$D$181,0)</f>
        <v>0.47350892857142868</v>
      </c>
      <c r="AD307" s="7">
        <f>IF(AD$289&gt;Inputs!$D$181,Model!AD$289-Inputs!$D$181,0)</f>
        <v>0.46913392857142855</v>
      </c>
      <c r="AE307" s="7">
        <f>IF(AE$289&gt;Inputs!$D$181,Model!AE$289-Inputs!$D$181,0)</f>
        <v>0.46913392857142855</v>
      </c>
      <c r="AF307" s="7">
        <f>IF(AF$289&gt;Inputs!$D$181,Model!AF$289-Inputs!$D$181,0)</f>
        <v>0.46913392857142855</v>
      </c>
      <c r="AG307" s="7">
        <f>IF(AG$289&gt;Inputs!$D$181,Model!AG$289-Inputs!$D$181,0)</f>
        <v>0.47047321428571437</v>
      </c>
      <c r="AH307" s="7">
        <f>IF(AH$289&gt;Inputs!$D$181,Model!AH$289-Inputs!$D$181,0)</f>
        <v>0.47181250000000002</v>
      </c>
      <c r="AI307" s="7">
        <f>IF(AI$289&gt;Inputs!$D$181,Model!AI$289-Inputs!$D$181,0)</f>
        <v>0</v>
      </c>
      <c r="AJ307" s="7">
        <f>IF(AJ$289&gt;Inputs!$D$181,Model!AJ$289-Inputs!$D$181,0)</f>
        <v>0</v>
      </c>
      <c r="AK307" s="7">
        <f>IF(AK$289&gt;Inputs!$D$181,Model!AK$289-Inputs!$D$181,0)</f>
        <v>0</v>
      </c>
      <c r="AL307" s="7">
        <f>IF(AL$289&gt;Inputs!$D$181,Model!AL$289-Inputs!$D$181,0)</f>
        <v>0</v>
      </c>
      <c r="AM307" s="7">
        <f>IF(AM$289&gt;Inputs!$D$181,Model!AM$289-Inputs!$D$181,0)</f>
        <v>0</v>
      </c>
      <c r="AN307" s="7">
        <f>IF(AN$289&gt;Inputs!$D$181,Model!AN$289-Inputs!$D$181,0)</f>
        <v>0</v>
      </c>
      <c r="AO307" s="7">
        <f>IF(AO$289&gt;Inputs!$D$181,Model!AO$289-Inputs!$D$181,0)</f>
        <v>0</v>
      </c>
      <c r="AP307" s="7">
        <f>IF(AP$289&gt;Inputs!$D$181,Model!AP$289-Inputs!$D$181,0)</f>
        <v>0</v>
      </c>
      <c r="AQ307" s="7">
        <f>IF(AQ$289&gt;Inputs!$D$181,Model!AQ$289-Inputs!$D$181,0)</f>
        <v>0</v>
      </c>
      <c r="AR307" s="7">
        <f>IF(AR$289&gt;Inputs!$D$181,Model!AR$289-Inputs!$D$181,0)</f>
        <v>0</v>
      </c>
      <c r="AS307" s="7">
        <f>IF(AS$289&gt;Inputs!$D$181,Model!AS$289-Inputs!$D$181,0)</f>
        <v>0</v>
      </c>
      <c r="AT307" s="7">
        <f>IF(AT$289&gt;Inputs!$D$181,Model!AT$289-Inputs!$D$181,0)</f>
        <v>0</v>
      </c>
      <c r="AU307" s="7">
        <f>IF(AU$289&gt;Inputs!$D$181,Model!AU$289-Inputs!$D$181,0)</f>
        <v>0</v>
      </c>
      <c r="AV307" s="7">
        <f>IF(AV$289&gt;Inputs!$D$181,Model!AV$289-Inputs!$D$181,0)</f>
        <v>0</v>
      </c>
      <c r="AW307" s="7">
        <f>IF(AW$289&gt;Inputs!$D$181,Model!AW$289-Inputs!$D$181,0)</f>
        <v>0</v>
      </c>
      <c r="AX307" s="7">
        <f>IF(AX$289&gt;Inputs!$D$181,Model!AX$289-Inputs!$D$181,0)</f>
        <v>0</v>
      </c>
      <c r="AY307" s="7">
        <f>IF(AY$289&gt;Inputs!$D$181,Model!AY$289-Inputs!$D$181,0)</f>
        <v>0</v>
      </c>
      <c r="AZ307" s="7">
        <f>IF(AZ$289&gt;Inputs!$D$181,Model!AZ$289-Inputs!$D$181,0)</f>
        <v>0</v>
      </c>
      <c r="BA307" s="7">
        <f>IF(BA$289&gt;Inputs!$D$181,Model!BA$289-Inputs!$D$181,0)</f>
        <v>0</v>
      </c>
      <c r="BB307" s="7">
        <f>IF(BB$289&gt;Inputs!$D$181,Model!BB$289-Inputs!$D$181,0)</f>
        <v>0</v>
      </c>
      <c r="BC307" s="7">
        <f>IF(BC$289&gt;Inputs!$D$181,Model!BC$289-Inputs!$D$181,0)</f>
        <v>0</v>
      </c>
      <c r="BD307" s="7">
        <f>IF(BD$289&gt;Inputs!$D$181,Model!BD$289-Inputs!$D$181,0)</f>
        <v>0</v>
      </c>
    </row>
    <row r="308" spans="1:57" ht="15" customHeight="1">
      <c r="C308" s="21"/>
      <c r="D308" s="150"/>
      <c r="E308" s="1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row>
    <row r="309" spans="1:57" ht="15" customHeight="1">
      <c r="C309" s="21"/>
      <c r="D309" s="132" t="s">
        <v>472</v>
      </c>
      <c r="E309" s="18" t="s">
        <v>30</v>
      </c>
      <c r="G309" s="66">
        <f>SUMPRODUCT(G$291:G$307,Inputs!$E$165:$E$181)/IF(G289&gt;0,G289,1)</f>
        <v>0</v>
      </c>
      <c r="H309" s="66">
        <f>SUMPRODUCT(H$291:H$307,Inputs!$E$165:$E$181)/IF(H289&gt;0,H289,1)</f>
        <v>0</v>
      </c>
      <c r="I309" s="66">
        <f>SUMPRODUCT(I$291:I$307,Inputs!$E$165:$E$181)/IF(I289&gt;0,I289,1)</f>
        <v>0</v>
      </c>
      <c r="J309" s="66">
        <f>SUMPRODUCT(J$291:J$307,Inputs!$E$165:$E$181)/IF(J289&gt;0,J289,1)</f>
        <v>0</v>
      </c>
      <c r="K309" s="66">
        <f>SUMPRODUCT(K$291:K$307,Inputs!$E$165:$E$181)/IF(K289&gt;0,K289,1)</f>
        <v>0</v>
      </c>
      <c r="L309" s="66">
        <f>SUMPRODUCT(L$291:L$307,Inputs!$E$165:$E$181)/IF(L289&gt;0,L289,1)</f>
        <v>0</v>
      </c>
      <c r="M309" s="66">
        <f>SUMPRODUCT(M$291:M$307,Inputs!$E$165:$E$181)/IF(M289&gt;0,M289,1)</f>
        <v>0</v>
      </c>
      <c r="N309" s="66">
        <f>SUMPRODUCT(N$291:N$307,Inputs!$E$165:$E$181)/IF(N289&gt;0,N289,1)</f>
        <v>0</v>
      </c>
      <c r="O309" s="66">
        <f>SUMPRODUCT(O$291:O$307,Inputs!$E$165:$E$181)/IF(O289&gt;0,O289,1)</f>
        <v>0</v>
      </c>
      <c r="P309" s="66">
        <f>SUMPRODUCT(P$291:P$307,Inputs!$E$165:$E$181)/IF(P289&gt;0,P289,1)</f>
        <v>0</v>
      </c>
      <c r="Q309" s="66">
        <f>SUMPRODUCT(Q$291:Q$307,Inputs!$E$165:$E$181)/IF(Q289&gt;0,Q289,1)</f>
        <v>0</v>
      </c>
      <c r="R309" s="66">
        <f>SUMPRODUCT(R$291:R$307,Inputs!$E$165:$E$181)/IF(R289&gt;0,R289,1)</f>
        <v>0</v>
      </c>
      <c r="S309" s="66">
        <f>SUMPRODUCT(S$291:S$307,Inputs!$E$165:$E$181)/IF(S289&gt;0,S289,1)</f>
        <v>0</v>
      </c>
      <c r="T309" s="66">
        <f>SUMPRODUCT(T$291:T$307,Inputs!$E$165:$E$181)/IF(T289&gt;0,T289,1)</f>
        <v>0</v>
      </c>
      <c r="U309" s="66">
        <f>SUMPRODUCT(U$291:U$307,Inputs!$E$165:$E$181)/IF(U289&gt;0,U289,1)</f>
        <v>0</v>
      </c>
      <c r="V309" s="66">
        <f>SUMPRODUCT(V$291:V$307,Inputs!$E$165:$E$181)/IF(V289&gt;0,V289,1)</f>
        <v>0</v>
      </c>
      <c r="W309" s="66">
        <f>SUMPRODUCT(W$291:W$307,Inputs!$E$165:$E$181)/IF(W289&gt;0,W289,1)</f>
        <v>0</v>
      </c>
      <c r="X309" s="66">
        <f>SUMPRODUCT(X$291:X$307,Inputs!$E$165:$E$181)/IF(X289&gt;0,X289,1)</f>
        <v>0</v>
      </c>
      <c r="Y309" s="66">
        <f>SUMPRODUCT(Y$291:Y$307,Inputs!$E$165:$E$181)/IF(Y289&gt;0,Y289,1)</f>
        <v>0</v>
      </c>
      <c r="Z309" s="66">
        <f>SUMPRODUCT(Z$291:Z$307,Inputs!$E$165:$E$181)/IF(Z289&gt;0,Z289,1)</f>
        <v>0</v>
      </c>
      <c r="AA309" s="66">
        <f>SUMPRODUCT(AA$291:AA$307,Inputs!$E$165:$E$181)/IF(AA289&gt;0,AA289,1)</f>
        <v>0</v>
      </c>
      <c r="AB309" s="66">
        <f>SUMPRODUCT(AB$291:AB$307,Inputs!$E$165:$E$181)/IF(AB289&gt;0,AB289,1)</f>
        <v>0</v>
      </c>
      <c r="AC309" s="66">
        <f>SUMPRODUCT(AC$291:AC$307,Inputs!$E$165:$E$181)/IF(AC289&gt;0,AC289,1)</f>
        <v>0</v>
      </c>
      <c r="AD309" s="66">
        <f>SUMPRODUCT(AD$291:AD$307,Inputs!$E$165:$E$181)/IF(AD289&gt;0,AD289,1)</f>
        <v>0</v>
      </c>
      <c r="AE309" s="66">
        <f>SUMPRODUCT(AE$291:AE$307,Inputs!$E$165:$E$181)/IF(AE289&gt;0,AE289,1)</f>
        <v>0</v>
      </c>
      <c r="AF309" s="66">
        <f>SUMPRODUCT(AF$291:AF$307,Inputs!$E$165:$E$181)/IF(AF289&gt;0,AF289,1)</f>
        <v>0</v>
      </c>
      <c r="AG309" s="66">
        <f>SUMPRODUCT(AG$291:AG$307,Inputs!$E$165:$E$181)/IF(AG289&gt;0,AG289,1)</f>
        <v>0</v>
      </c>
      <c r="AH309" s="66">
        <f>SUMPRODUCT(AH$291:AH$307,Inputs!$E$165:$E$181)/IF(AH289&gt;0,AH289,1)</f>
        <v>0</v>
      </c>
      <c r="AI309" s="66">
        <f>SUMPRODUCT(AI$291:AI$307,Inputs!$E$165:$E$181)/IF(AI289&gt;0,AI289,1)</f>
        <v>0</v>
      </c>
      <c r="AJ309" s="66">
        <f>SUMPRODUCT(AJ$291:AJ$307,Inputs!$E$165:$E$181)/IF(AJ289&gt;0,AJ289,1)</f>
        <v>0</v>
      </c>
      <c r="AK309" s="66">
        <f>SUMPRODUCT(AK$291:AK$307,Inputs!$E$165:$E$181)/IF(AK289&gt;0,AK289,1)</f>
        <v>0</v>
      </c>
      <c r="AL309" s="66">
        <f>SUMPRODUCT(AL$291:AL$307,Inputs!$E$165:$E$181)/IF(AL289&gt;0,AL289,1)</f>
        <v>0</v>
      </c>
      <c r="AM309" s="66">
        <f>SUMPRODUCT(AM$291:AM$307,Inputs!$E$165:$E$181)/IF(AM289&gt;0,AM289,1)</f>
        <v>0</v>
      </c>
      <c r="AN309" s="66">
        <f>SUMPRODUCT(AN$291:AN$307,Inputs!$E$165:$E$181)/IF(AN289&gt;0,AN289,1)</f>
        <v>0</v>
      </c>
      <c r="AO309" s="66">
        <f>SUMPRODUCT(AO$291:AO$307,Inputs!$E$165:$E$181)/IF(AO289&gt;0,AO289,1)</f>
        <v>0</v>
      </c>
      <c r="AP309" s="66">
        <f>SUMPRODUCT(AP$291:AP$307,Inputs!$E$165:$E$181)/IF(AP289&gt;0,AP289,1)</f>
        <v>0</v>
      </c>
      <c r="AQ309" s="66">
        <f>SUMPRODUCT(AQ$291:AQ$307,Inputs!$E$165:$E$181)/IF(AQ289&gt;0,AQ289,1)</f>
        <v>0</v>
      </c>
      <c r="AR309" s="66">
        <f>SUMPRODUCT(AR$291:AR$307,Inputs!$E$165:$E$181)/IF(AR289&gt;0,AR289,1)</f>
        <v>0</v>
      </c>
      <c r="AS309" s="66">
        <f>SUMPRODUCT(AS$291:AS$307,Inputs!$E$165:$E$181)/IF(AS289&gt;0,AS289,1)</f>
        <v>0</v>
      </c>
      <c r="AT309" s="66">
        <f>SUMPRODUCT(AT$291:AT$307,Inputs!$E$165:$E$181)/IF(AT289&gt;0,AT289,1)</f>
        <v>0</v>
      </c>
      <c r="AU309" s="66">
        <f>SUMPRODUCT(AU$291:AU$307,Inputs!$E$165:$E$181)/IF(AU289&gt;0,AU289,1)</f>
        <v>0</v>
      </c>
      <c r="AV309" s="66">
        <f>SUMPRODUCT(AV$291:AV$307,Inputs!$E$165:$E$181)/IF(AV289&gt;0,AV289,1)</f>
        <v>0</v>
      </c>
      <c r="AW309" s="66">
        <f>SUMPRODUCT(AW$291:AW$307,Inputs!$E$165:$E$181)/IF(AW289&gt;0,AW289,1)</f>
        <v>0</v>
      </c>
      <c r="AX309" s="66">
        <f>SUMPRODUCT(AX$291:AX$307,Inputs!$E$165:$E$181)/IF(AX289&gt;0,AX289,1)</f>
        <v>0</v>
      </c>
      <c r="AY309" s="66">
        <f>SUMPRODUCT(AY$291:AY$307,Inputs!$E$165:$E$181)/IF(AY289&gt;0,AY289,1)</f>
        <v>0</v>
      </c>
      <c r="AZ309" s="66">
        <f>SUMPRODUCT(AZ$291:AZ$307,Inputs!$E$165:$E$181)/IF(AZ289&gt;0,AZ289,1)</f>
        <v>0</v>
      </c>
      <c r="BA309" s="66">
        <f>SUMPRODUCT(BA$291:BA$307,Inputs!$E$165:$E$181)/IF(BA289&gt;0,BA289,1)</f>
        <v>0</v>
      </c>
      <c r="BB309" s="66">
        <f>SUMPRODUCT(BB$291:BB$307,Inputs!$E$165:$E$181)/IF(BB289&gt;0,BB289,1)</f>
        <v>0</v>
      </c>
      <c r="BC309" s="66">
        <f>SUMPRODUCT(BC$291:BC$307,Inputs!$E$165:$E$181)/IF(BC289&gt;0,BC289,1)</f>
        <v>0</v>
      </c>
      <c r="BD309" s="66">
        <f>SUMPRODUCT(BD$291:BD$307,Inputs!$E$165:$E$181)/IF(BD289&gt;0,BD289,1)</f>
        <v>0</v>
      </c>
    </row>
    <row r="310" spans="1:57" ht="15" customHeight="1">
      <c r="C310" s="21">
        <f>SUM(G310:BD310)</f>
        <v>0</v>
      </c>
      <c r="D310" s="132" t="s">
        <v>473</v>
      </c>
      <c r="E310" s="18" t="s">
        <v>333</v>
      </c>
      <c r="G310" s="19">
        <f>G287 * G309</f>
        <v>0</v>
      </c>
      <c r="H310" s="19">
        <f t="shared" ref="H310:BD310" si="142">H287 * H309</f>
        <v>0</v>
      </c>
      <c r="I310" s="19">
        <f t="shared" si="142"/>
        <v>0</v>
      </c>
      <c r="J310" s="19">
        <f t="shared" si="142"/>
        <v>0</v>
      </c>
      <c r="K310" s="19">
        <f t="shared" si="142"/>
        <v>0</v>
      </c>
      <c r="L310" s="19">
        <f t="shared" si="142"/>
        <v>0</v>
      </c>
      <c r="M310" s="19">
        <f t="shared" si="142"/>
        <v>0</v>
      </c>
      <c r="N310" s="19">
        <f t="shared" si="142"/>
        <v>0</v>
      </c>
      <c r="O310" s="19">
        <f t="shared" si="142"/>
        <v>0</v>
      </c>
      <c r="P310" s="19">
        <f t="shared" si="142"/>
        <v>0</v>
      </c>
      <c r="Q310" s="19">
        <f t="shared" si="142"/>
        <v>0</v>
      </c>
      <c r="R310" s="19">
        <f t="shared" si="142"/>
        <v>0</v>
      </c>
      <c r="S310" s="19">
        <f t="shared" si="142"/>
        <v>0</v>
      </c>
      <c r="T310" s="19">
        <f t="shared" si="142"/>
        <v>0</v>
      </c>
      <c r="U310" s="19">
        <f t="shared" si="142"/>
        <v>0</v>
      </c>
      <c r="V310" s="19">
        <f t="shared" si="142"/>
        <v>0</v>
      </c>
      <c r="W310" s="19">
        <f t="shared" si="142"/>
        <v>0</v>
      </c>
      <c r="X310" s="19">
        <f t="shared" si="142"/>
        <v>0</v>
      </c>
      <c r="Y310" s="19">
        <f t="shared" si="142"/>
        <v>0</v>
      </c>
      <c r="Z310" s="19">
        <f t="shared" si="142"/>
        <v>0</v>
      </c>
      <c r="AA310" s="19">
        <f t="shared" si="142"/>
        <v>0</v>
      </c>
      <c r="AB310" s="19">
        <f t="shared" si="142"/>
        <v>0</v>
      </c>
      <c r="AC310" s="19">
        <f t="shared" si="142"/>
        <v>0</v>
      </c>
      <c r="AD310" s="19">
        <f t="shared" si="142"/>
        <v>0</v>
      </c>
      <c r="AE310" s="19">
        <f t="shared" si="142"/>
        <v>0</v>
      </c>
      <c r="AF310" s="19">
        <f t="shared" si="142"/>
        <v>0</v>
      </c>
      <c r="AG310" s="19">
        <f t="shared" si="142"/>
        <v>0</v>
      </c>
      <c r="AH310" s="19">
        <f t="shared" si="142"/>
        <v>0</v>
      </c>
      <c r="AI310" s="19">
        <f t="shared" si="142"/>
        <v>0</v>
      </c>
      <c r="AJ310" s="19">
        <f t="shared" si="142"/>
        <v>0</v>
      </c>
      <c r="AK310" s="19">
        <f t="shared" si="142"/>
        <v>0</v>
      </c>
      <c r="AL310" s="19">
        <f t="shared" si="142"/>
        <v>0</v>
      </c>
      <c r="AM310" s="19">
        <f t="shared" si="142"/>
        <v>0</v>
      </c>
      <c r="AN310" s="19">
        <f t="shared" si="142"/>
        <v>0</v>
      </c>
      <c r="AO310" s="19">
        <f t="shared" si="142"/>
        <v>0</v>
      </c>
      <c r="AP310" s="19">
        <f t="shared" si="142"/>
        <v>0</v>
      </c>
      <c r="AQ310" s="19">
        <f t="shared" si="142"/>
        <v>0</v>
      </c>
      <c r="AR310" s="19">
        <f t="shared" si="142"/>
        <v>0</v>
      </c>
      <c r="AS310" s="19">
        <f t="shared" si="142"/>
        <v>0</v>
      </c>
      <c r="AT310" s="19">
        <f t="shared" si="142"/>
        <v>0</v>
      </c>
      <c r="AU310" s="19">
        <f t="shared" si="142"/>
        <v>0</v>
      </c>
      <c r="AV310" s="19">
        <f t="shared" si="142"/>
        <v>0</v>
      </c>
      <c r="AW310" s="19">
        <f t="shared" si="142"/>
        <v>0</v>
      </c>
      <c r="AX310" s="19">
        <f t="shared" si="142"/>
        <v>0</v>
      </c>
      <c r="AY310" s="19">
        <f t="shared" si="142"/>
        <v>0</v>
      </c>
      <c r="AZ310" s="19">
        <f t="shared" si="142"/>
        <v>0</v>
      </c>
      <c r="BA310" s="19">
        <f t="shared" si="142"/>
        <v>0</v>
      </c>
      <c r="BB310" s="19">
        <f t="shared" si="142"/>
        <v>0</v>
      </c>
      <c r="BC310" s="19">
        <f t="shared" si="142"/>
        <v>0</v>
      </c>
      <c r="BD310" s="19">
        <f t="shared" si="142"/>
        <v>0</v>
      </c>
    </row>
    <row r="311" spans="1:57" s="136" customFormat="1" ht="15" customHeight="1">
      <c r="A311" s="83"/>
      <c r="B311" s="9"/>
      <c r="C311" s="21">
        <f>SUM(G311:BD311)</f>
        <v>0</v>
      </c>
      <c r="D311" s="132" t="s">
        <v>474</v>
      </c>
      <c r="E311" s="18" t="s">
        <v>333</v>
      </c>
      <c r="F311" s="9"/>
      <c r="G311" s="76">
        <f>IF(Inputs!$E$40 = 0, G287 * G309, IF((G287 * G309) &lt; (Inputs!$E$40 * (G110 + G117)), 0, G287 * G309)) * IF($E$285 &lt;&gt; 3, 1, G224)</f>
        <v>0</v>
      </c>
      <c r="H311" s="76">
        <f>IF(Inputs!$E$40 = 0, H287 * H309, IF((H287 * H309) &lt; (Inputs!$E$40 * (H110 + H117)), 0, H287 * H309)) * IF($E$285 &lt;&gt; 3, 1, H224)</f>
        <v>0</v>
      </c>
      <c r="I311" s="76">
        <f>IF(Inputs!$E$40 = 0, I287 * I309, IF((I287 * I309) &lt; (Inputs!$E$40 * (I110 + I117)), 0, I287 * I309)) * IF($E$285 &lt;&gt; 3, 1, I224)</f>
        <v>0</v>
      </c>
      <c r="J311" s="76">
        <f>IF(Inputs!$E$40 = 0, J287 * J309, IF((J287 * J309) &lt; (Inputs!$E$40 * (J110 + J117)), 0, J287 * J309)) * IF($E$285 &lt;&gt; 3, 1, J224)</f>
        <v>0</v>
      </c>
      <c r="K311" s="76">
        <f>IF(Inputs!$E$40 = 0, K287 * K309, IF((K287 * K309) &lt; (Inputs!$E$40 * (K110 + K117)), 0, K287 * K309)) * IF($E$285 &lt;&gt; 3, 1, K224)</f>
        <v>0</v>
      </c>
      <c r="L311" s="76">
        <f>IF(Inputs!$E$40 = 0, L287 * L309, IF((L287 * L309) &lt; (Inputs!$E$40 * (L110 + L117)), 0, L287 * L309)) * IF($E$285 &lt;&gt; 3, 1, L224)</f>
        <v>0</v>
      </c>
      <c r="M311" s="76">
        <f>IF(Inputs!$E$40 = 0, M287 * M309, IF((M287 * M309) &lt; (Inputs!$E$40 * (M110 + M117)), 0, M287 * M309)) * IF($E$285 &lt;&gt; 3, 1, M224)</f>
        <v>0</v>
      </c>
      <c r="N311" s="76">
        <f>IF(Inputs!$E$40 = 0, N287 * N309, IF((N287 * N309) &lt; (Inputs!$E$40 * (N110 + N117)), 0, N287 * N309)) * IF($E$285 &lt;&gt; 3, 1, N224)</f>
        <v>0</v>
      </c>
      <c r="O311" s="76">
        <f>IF(Inputs!$E$40 = 0, O287 * O309, IF((O287 * O309) &lt; (Inputs!$E$40 * (O110 + O117)), 0, O287 * O309)) * IF($E$285 &lt;&gt; 3, 1, O224)</f>
        <v>0</v>
      </c>
      <c r="P311" s="76">
        <f>IF(Inputs!$E$40 = 0, P287 * P309, IF((P287 * P309) &lt; (Inputs!$E$40 * (P110 + P117)), 0, P287 * P309)) * IF($E$285 &lt;&gt; 3, 1, P224)</f>
        <v>0</v>
      </c>
      <c r="Q311" s="76">
        <f>IF(Inputs!$E$40 = 0, Q287 * Q309, IF((Q287 * Q309) &lt; (Inputs!$E$40 * (Q110 + Q117)), 0, Q287 * Q309)) * IF($E$285 &lt;&gt; 3, 1, Q224)</f>
        <v>0</v>
      </c>
      <c r="R311" s="76">
        <f>IF(Inputs!$E$40 = 0, R287 * R309, IF((R287 * R309) &lt; (Inputs!$E$40 * (R110 + R117)), 0, R287 * R309)) * IF($E$285 &lt;&gt; 3, 1, R224)</f>
        <v>0</v>
      </c>
      <c r="S311" s="76">
        <f>IF(Inputs!$E$40 = 0, S287 * S309, IF((S287 * S309) &lt; (Inputs!$E$40 * (S110 + S117)), 0, S287 * S309)) * IF($E$285 &lt;&gt; 3, 1, S224)</f>
        <v>0</v>
      </c>
      <c r="T311" s="76">
        <f>IF(Inputs!$E$40 = 0, T287 * T309, IF((T287 * T309) &lt; (Inputs!$E$40 * (T110 + T117)), 0, T287 * T309)) * IF($E$285 &lt;&gt; 3, 1, T224)</f>
        <v>0</v>
      </c>
      <c r="U311" s="76">
        <f>IF(Inputs!$E$40 = 0, U287 * U309, IF((U287 * U309) &lt; (Inputs!$E$40 * (U110 + U117)), 0, U287 * U309)) * IF($E$285 &lt;&gt; 3, 1, U224)</f>
        <v>0</v>
      </c>
      <c r="V311" s="76">
        <f>IF(Inputs!$E$40 = 0, V287 * V309, IF((V287 * V309) &lt; (Inputs!$E$40 * (V110 + V117)), 0, V287 * V309)) * IF($E$285 &lt;&gt; 3, 1, V224)</f>
        <v>0</v>
      </c>
      <c r="W311" s="76">
        <f>IF(Inputs!$E$40 = 0, W287 * W309, IF((W287 * W309) &lt; (Inputs!$E$40 * (W110 + W117)), 0, W287 * W309)) * IF($E$285 &lt;&gt; 3, 1, W224)</f>
        <v>0</v>
      </c>
      <c r="X311" s="76">
        <f>IF(Inputs!$E$40 = 0, X287 * X309, IF((X287 * X309) &lt; (Inputs!$E$40 * (X110 + X117)), 0, X287 * X309)) * IF($E$285 &lt;&gt; 3, 1, X224)</f>
        <v>0</v>
      </c>
      <c r="Y311" s="76">
        <f>IF(Inputs!$E$40 = 0, Y287 * Y309, IF((Y287 * Y309) &lt; (Inputs!$E$40 * (Y110 + Y117)), 0, Y287 * Y309)) * IF($E$285 &lt;&gt; 3, 1, Y224)</f>
        <v>0</v>
      </c>
      <c r="Z311" s="76">
        <f>IF(Inputs!$E$40 = 0, Z287 * Z309, IF((Z287 * Z309) &lt; (Inputs!$E$40 * (Z110 + Z117)), 0, Z287 * Z309)) * IF($E$285 &lt;&gt; 3, 1, Z224)</f>
        <v>0</v>
      </c>
      <c r="AA311" s="76">
        <f>IF(Inputs!$E$40 = 0, AA287 * AA309, IF((AA287 * AA309) &lt; (Inputs!$E$40 * (AA110 + AA117)), 0, AA287 * AA309)) * IF($E$285 &lt;&gt; 3, 1, AA224)</f>
        <v>0</v>
      </c>
      <c r="AB311" s="76">
        <f>IF(Inputs!$E$40 = 0, AB287 * AB309, IF((AB287 * AB309) &lt; (Inputs!$E$40 * (AB110 + AB117)), 0, AB287 * AB309)) * IF($E$285 &lt;&gt; 3, 1, AB224)</f>
        <v>0</v>
      </c>
      <c r="AC311" s="76">
        <f>IF(Inputs!$E$40 = 0, AC287 * AC309, IF((AC287 * AC309) &lt; (Inputs!$E$40 * (AC110 + AC117)), 0, AC287 * AC309)) * IF($E$285 &lt;&gt; 3, 1, AC224)</f>
        <v>0</v>
      </c>
      <c r="AD311" s="76">
        <f>IF(Inputs!$E$40 = 0, AD287 * AD309, IF((AD287 * AD309) &lt; (Inputs!$E$40 * (AD110 + AD117)), 0, AD287 * AD309)) * IF($E$285 &lt;&gt; 3, 1, AD224)</f>
        <v>0</v>
      </c>
      <c r="AE311" s="76">
        <f>IF(Inputs!$E$40 = 0, AE287 * AE309, IF((AE287 * AE309) &lt; (Inputs!$E$40 * (AE110 + AE117)), 0, AE287 * AE309)) * IF($E$285 &lt;&gt; 3, 1, AE224)</f>
        <v>0</v>
      </c>
      <c r="AF311" s="76">
        <f>IF(Inputs!$E$40 = 0, AF287 * AF309, IF((AF287 * AF309) &lt; (Inputs!$E$40 * (AF110 + AF117)), 0, AF287 * AF309)) * IF($E$285 &lt;&gt; 3, 1, AF224)</f>
        <v>0</v>
      </c>
      <c r="AG311" s="76">
        <f>IF(Inputs!$E$40 = 0, AG287 * AG309, IF((AG287 * AG309) &lt; (Inputs!$E$40 * (AG110 + AG117)), 0, AG287 * AG309)) * IF($E$285 &lt;&gt; 3, 1, AG224)</f>
        <v>0</v>
      </c>
      <c r="AH311" s="76">
        <f>IF(Inputs!$E$40 = 0, AH287 * AH309, IF((AH287 * AH309) &lt; (Inputs!$E$40 * (AH110 + AH117)), 0, AH287 * AH309)) * IF($E$285 &lt;&gt; 3, 1, AH224)</f>
        <v>0</v>
      </c>
      <c r="AI311" s="76">
        <f>IF(Inputs!$E$40 = 0, AI287 * AI309, IF((AI287 * AI309) &lt; (Inputs!$E$40 * (AI110 + AI117)), 0, AI287 * AI309)) * IF($E$285 &lt;&gt; 3, 1, AI224)</f>
        <v>0</v>
      </c>
      <c r="AJ311" s="76">
        <f>IF(Inputs!$E$40 = 0, AJ287 * AJ309, IF((AJ287 * AJ309) &lt; (Inputs!$E$40 * (AJ110 + AJ117)), 0, AJ287 * AJ309)) * IF($E$285 &lt;&gt; 3, 1, AJ224)</f>
        <v>0</v>
      </c>
      <c r="AK311" s="76">
        <f>IF(Inputs!$E$40 = 0, AK287 * AK309, IF((AK287 * AK309) &lt; (Inputs!$E$40 * (AK110 + AK117)), 0, AK287 * AK309)) * IF($E$285 &lt;&gt; 3, 1, AK224)</f>
        <v>0</v>
      </c>
      <c r="AL311" s="76">
        <f>IF(Inputs!$E$40 = 0, AL287 * AL309, IF((AL287 * AL309) &lt; (Inputs!$E$40 * (AL110 + AL117)), 0, AL287 * AL309)) * IF($E$285 &lt;&gt; 3, 1, AL224)</f>
        <v>0</v>
      </c>
      <c r="AM311" s="76">
        <f>IF(Inputs!$E$40 = 0, AM287 * AM309, IF((AM287 * AM309) &lt; (Inputs!$E$40 * (AM110 + AM117)), 0, AM287 * AM309)) * IF($E$285 &lt;&gt; 3, 1, AM224)</f>
        <v>0</v>
      </c>
      <c r="AN311" s="76">
        <f>IF(Inputs!$E$40 = 0, AN287 * AN309, IF((AN287 * AN309) &lt; (Inputs!$E$40 * (AN110 + AN117)), 0, AN287 * AN309)) * IF($E$285 &lt;&gt; 3, 1, AN224)</f>
        <v>0</v>
      </c>
      <c r="AO311" s="76">
        <f>IF(Inputs!$E$40 = 0, AO287 * AO309, IF((AO287 * AO309) &lt; (Inputs!$E$40 * (AO110 + AO117)), 0, AO287 * AO309)) * IF($E$285 &lt;&gt; 3, 1, AO224)</f>
        <v>0</v>
      </c>
      <c r="AP311" s="76">
        <f>IF(Inputs!$E$40 = 0, AP287 * AP309, IF((AP287 * AP309) &lt; (Inputs!$E$40 * (AP110 + AP117)), 0, AP287 * AP309)) * IF($E$285 &lt;&gt; 3, 1, AP224)</f>
        <v>0</v>
      </c>
      <c r="AQ311" s="76">
        <f>IF(Inputs!$E$40 = 0, AQ287 * AQ309, IF((AQ287 * AQ309) &lt; (Inputs!$E$40 * (AQ110 + AQ117)), 0, AQ287 * AQ309)) * IF($E$285 &lt;&gt; 3, 1, AQ224)</f>
        <v>0</v>
      </c>
      <c r="AR311" s="76">
        <f>IF(Inputs!$E$40 = 0, AR287 * AR309, IF((AR287 * AR309) &lt; (Inputs!$E$40 * (AR110 + AR117)), 0, AR287 * AR309)) * IF($E$285 &lt;&gt; 3, 1, AR224)</f>
        <v>0</v>
      </c>
      <c r="AS311" s="76">
        <f>IF(Inputs!$E$40 = 0, AS287 * AS309, IF((AS287 * AS309) &lt; (Inputs!$E$40 * (AS110 + AS117)), 0, AS287 * AS309)) * IF($E$285 &lt;&gt; 3, 1, AS224)</f>
        <v>0</v>
      </c>
      <c r="AT311" s="76">
        <f>IF(Inputs!$E$40 = 0, AT287 * AT309, IF((AT287 * AT309) &lt; (Inputs!$E$40 * (AT110 + AT117)), 0, AT287 * AT309)) * IF($E$285 &lt;&gt; 3, 1, AT224)</f>
        <v>0</v>
      </c>
      <c r="AU311" s="76">
        <f>IF(Inputs!$E$40 = 0, AU287 * AU309, IF((AU287 * AU309) &lt; (Inputs!$E$40 * (AU110 + AU117)), 0, AU287 * AU309)) * IF($E$285 &lt;&gt; 3, 1, AU224)</f>
        <v>0</v>
      </c>
      <c r="AV311" s="76">
        <f>IF(Inputs!$E$40 = 0, AV287 * AV309, IF((AV287 * AV309) &lt; (Inputs!$E$40 * (AV110 + AV117)), 0, AV287 * AV309)) * IF($E$285 &lt;&gt; 3, 1, AV224)</f>
        <v>0</v>
      </c>
      <c r="AW311" s="76">
        <f>IF(Inputs!$E$40 = 0, AW287 * AW309, IF((AW287 * AW309) &lt; (Inputs!$E$40 * (AW110 + AW117)), 0, AW287 * AW309)) * IF($E$285 &lt;&gt; 3, 1, AW224)</f>
        <v>0</v>
      </c>
      <c r="AX311" s="76">
        <f>IF(Inputs!$E$40 = 0, AX287 * AX309, IF((AX287 * AX309) &lt; (Inputs!$E$40 * (AX110 + AX117)), 0, AX287 * AX309)) * IF($E$285 &lt;&gt; 3, 1, AX224)</f>
        <v>0</v>
      </c>
      <c r="AY311" s="76">
        <f>IF(Inputs!$E$40 = 0, AY287 * AY309, IF((AY287 * AY309) &lt; (Inputs!$E$40 * (AY110 + AY117)), 0, AY287 * AY309)) * IF($E$285 &lt;&gt; 3, 1, AY224)</f>
        <v>0</v>
      </c>
      <c r="AZ311" s="76">
        <f>IF(Inputs!$E$40 = 0, AZ287 * AZ309, IF((AZ287 * AZ309) &lt; (Inputs!$E$40 * (AZ110 + AZ117)), 0, AZ287 * AZ309)) * IF($E$285 &lt;&gt; 3, 1, AZ224)</f>
        <v>0</v>
      </c>
      <c r="BA311" s="76">
        <f>IF(Inputs!$E$40 = 0, BA287 * BA309, IF((BA287 * BA309) &lt; (Inputs!$E$40 * (BA110 + BA117)), 0, BA287 * BA309)) * IF($E$285 &lt;&gt; 3, 1, BA224)</f>
        <v>0</v>
      </c>
      <c r="BB311" s="76">
        <f>IF(Inputs!$E$40 = 0, BB287 * BB309, IF((BB287 * BB309) &lt; (Inputs!$E$40 * (BB110 + BB117)), 0, BB287 * BB309)) * IF($E$285 &lt;&gt; 3, 1, BB224)</f>
        <v>0</v>
      </c>
      <c r="BC311" s="76">
        <f>IF(Inputs!$E$40 = 0, BC287 * BC309, IF((BC287 * BC309) &lt; (Inputs!$E$40 * (BC110 + BC117)), 0, BC287 * BC309)) * IF($E$285 &lt;&gt; 3, 1, BC224)</f>
        <v>0</v>
      </c>
      <c r="BD311" s="76">
        <f>IF(Inputs!$E$40 = 0, BD287 * BD309, IF((BD287 * BD309) &lt; (Inputs!$E$40 * (BD110 + BD117)), 0, BD287 * BD309)) * IF($E$285 &lt;&gt; 3, 1, BD224)</f>
        <v>0</v>
      </c>
      <c r="BE311" s="9"/>
    </row>
    <row r="312" spans="1:57" s="136" customFormat="1" ht="15" customHeight="1">
      <c r="A312" s="83"/>
      <c r="B312" s="9"/>
      <c r="C312" s="115"/>
      <c r="D312" s="132"/>
      <c r="E312" s="18"/>
      <c r="F312" s="9"/>
      <c r="G312" s="76"/>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9"/>
    </row>
    <row r="313" spans="1:57" s="136" customFormat="1" ht="15" customHeight="1">
      <c r="A313" s="83"/>
      <c r="B313" s="9"/>
      <c r="C313" s="115">
        <f>SUM(G313:BD313)</f>
        <v>0</v>
      </c>
      <c r="D313" s="132" t="s">
        <v>475</v>
      </c>
      <c r="E313" s="18" t="s">
        <v>333</v>
      </c>
      <c r="F313" s="9"/>
      <c r="G313" s="76">
        <f>IF(Inputs!$E$40 = 0, 0, IF((G287 * G309) &lt; (Inputs!$E$40 * (G110 + G117)), Inputs!$E$40 * (G110 + G117), 0)) * IF($E$285 &lt;&gt; 3, 1, G224)</f>
        <v>0</v>
      </c>
      <c r="H313" s="76">
        <f>IF(Inputs!$E$40 = 0, 0, IF((H287 * H309) &lt; (Inputs!$E$40 * (H110 + H117)), Inputs!$E$40 * (H110 + H117), 0)) * IF($E$285 &lt;&gt; 3, 1, H224)</f>
        <v>0</v>
      </c>
      <c r="I313" s="76">
        <f>IF(Inputs!$E$40 = 0, 0, IF((I287 * I309) &lt; (Inputs!$E$40 * (I110 + I117)), Inputs!$E$40 * (I110 + I117), 0)) * IF($E$285 &lt;&gt; 3, 1, I224)</f>
        <v>0</v>
      </c>
      <c r="J313" s="76">
        <f>IF(Inputs!$E$40 = 0, 0, IF((J287 * J309) &lt; (Inputs!$E$40 * (J110 + J117)), Inputs!$E$40 * (J110 + J117), 0)) * IF($E$285 &lt;&gt; 3, 1, J224)</f>
        <v>0</v>
      </c>
      <c r="K313" s="76">
        <f>IF(Inputs!$E$40 = 0, 0, IF((K287 * K309) &lt; (Inputs!$E$40 * (K110 + K117)), Inputs!$E$40 * (K110 + K117), 0)) * IF($E$285 &lt;&gt; 3, 1, K224)</f>
        <v>0</v>
      </c>
      <c r="L313" s="76">
        <f>IF(Inputs!$E$40 = 0, 0, IF((L287 * L309) &lt; (Inputs!$E$40 * (L110 + L117)), Inputs!$E$40 * (L110 + L117), 0)) * IF($E$285 &lt;&gt; 3, 1, L224)</f>
        <v>0</v>
      </c>
      <c r="M313" s="76">
        <f>IF(Inputs!$E$40 = 0, 0, IF((M287 * M309) &lt; (Inputs!$E$40 * (M110 + M117)), Inputs!$E$40 * (M110 + M117), 0)) * IF($E$285 &lt;&gt; 3, 1, M224)</f>
        <v>0</v>
      </c>
      <c r="N313" s="76">
        <f>IF(Inputs!$E$40 = 0, 0, IF((N287 * N309) &lt; (Inputs!$E$40 * (N110 + N117)), Inputs!$E$40 * (N110 + N117), 0)) * IF($E$285 &lt;&gt; 3, 1, N224)</f>
        <v>0</v>
      </c>
      <c r="O313" s="76">
        <f>IF(Inputs!$E$40 = 0, 0, IF((O287 * O309) &lt; (Inputs!$E$40 * (O110 + O117)), Inputs!$E$40 * (O110 + O117), 0)) * IF($E$285 &lt;&gt; 3, 1, O224)</f>
        <v>0</v>
      </c>
      <c r="P313" s="76">
        <f>IF(Inputs!$E$40 = 0, 0, IF((P287 * P309) &lt; (Inputs!$E$40 * (P110 + P117)), Inputs!$E$40 * (P110 + P117), 0)) * IF($E$285 &lt;&gt; 3, 1, P224)</f>
        <v>0</v>
      </c>
      <c r="Q313" s="76">
        <f>IF(Inputs!$E$40 = 0, 0, IF((Q287 * Q309) &lt; (Inputs!$E$40 * (Q110 + Q117)), Inputs!$E$40 * (Q110 + Q117), 0)) * IF($E$285 &lt;&gt; 3, 1, Q224)</f>
        <v>0</v>
      </c>
      <c r="R313" s="76">
        <f>IF(Inputs!$E$40 = 0, 0, IF((R287 * R309) &lt; (Inputs!$E$40 * (R110 + R117)), Inputs!$E$40 * (R110 + R117), 0)) * IF($E$285 &lt;&gt; 3, 1, R224)</f>
        <v>0</v>
      </c>
      <c r="S313" s="76">
        <f>IF(Inputs!$E$40 = 0, 0, IF((S287 * S309) &lt; (Inputs!$E$40 * (S110 + S117)), Inputs!$E$40 * (S110 + S117), 0)) * IF($E$285 &lt;&gt; 3, 1, S224)</f>
        <v>0</v>
      </c>
      <c r="T313" s="76">
        <f>IF(Inputs!$E$40 = 0, 0, IF((T287 * T309) &lt; (Inputs!$E$40 * (T110 + T117)), Inputs!$E$40 * (T110 + T117), 0)) * IF($E$285 &lt;&gt; 3, 1, T224)</f>
        <v>0</v>
      </c>
      <c r="U313" s="76">
        <f>IF(Inputs!$E$40 = 0, 0, IF((U287 * U309) &lt; (Inputs!$E$40 * (U110 + U117)), Inputs!$E$40 * (U110 + U117), 0)) * IF($E$285 &lt;&gt; 3, 1, U224)</f>
        <v>0</v>
      </c>
      <c r="V313" s="76">
        <f>IF(Inputs!$E$40 = 0, 0, IF((V287 * V309) &lt; (Inputs!$E$40 * (V110 + V117)), Inputs!$E$40 * (V110 + V117), 0)) * IF($E$285 &lt;&gt; 3, 1, V224)</f>
        <v>0</v>
      </c>
      <c r="W313" s="76">
        <f>IF(Inputs!$E$40 = 0, 0, IF((W287 * W309) &lt; (Inputs!$E$40 * (W110 + W117)), Inputs!$E$40 * (W110 + W117), 0)) * IF($E$285 &lt;&gt; 3, 1, W224)</f>
        <v>0</v>
      </c>
      <c r="X313" s="76">
        <f>IF(Inputs!$E$40 = 0, 0, IF((X287 * X309) &lt; (Inputs!$E$40 * (X110 + X117)), Inputs!$E$40 * (X110 + X117), 0)) * IF($E$285 &lt;&gt; 3, 1, X224)</f>
        <v>0</v>
      </c>
      <c r="Y313" s="76">
        <f>IF(Inputs!$E$40 = 0, 0, IF((Y287 * Y309) &lt; (Inputs!$E$40 * (Y110 + Y117)), Inputs!$E$40 * (Y110 + Y117), 0)) * IF($E$285 &lt;&gt; 3, 1, Y224)</f>
        <v>0</v>
      </c>
      <c r="Z313" s="76">
        <f>IF(Inputs!$E$40 = 0, 0, IF((Z287 * Z309) &lt; (Inputs!$E$40 * (Z110 + Z117)), Inputs!$E$40 * (Z110 + Z117), 0)) * IF($E$285 &lt;&gt; 3, 1, Z224)</f>
        <v>0</v>
      </c>
      <c r="AA313" s="76">
        <f>IF(Inputs!$E$40 = 0, 0, IF((AA287 * AA309) &lt; (Inputs!$E$40 * (AA110 + AA117)), Inputs!$E$40 * (AA110 + AA117), 0)) * IF($E$285 &lt;&gt; 3, 1, AA224)</f>
        <v>0</v>
      </c>
      <c r="AB313" s="76">
        <f>IF(Inputs!$E$40 = 0, 0, IF((AB287 * AB309) &lt; (Inputs!$E$40 * (AB110 + AB117)), Inputs!$E$40 * (AB110 + AB117), 0)) * IF($E$285 &lt;&gt; 3, 1, AB224)</f>
        <v>0</v>
      </c>
      <c r="AC313" s="76">
        <f>IF(Inputs!$E$40 = 0, 0, IF((AC287 * AC309) &lt; (Inputs!$E$40 * (AC110 + AC117)), Inputs!$E$40 * (AC110 + AC117), 0)) * IF($E$285 &lt;&gt; 3, 1, AC224)</f>
        <v>0</v>
      </c>
      <c r="AD313" s="76">
        <f>IF(Inputs!$E$40 = 0, 0, IF((AD287 * AD309) &lt; (Inputs!$E$40 * (AD110 + AD117)), Inputs!$E$40 * (AD110 + AD117), 0)) * IF($E$285 &lt;&gt; 3, 1, AD224)</f>
        <v>0</v>
      </c>
      <c r="AE313" s="76">
        <f>IF(Inputs!$E$40 = 0, 0, IF((AE287 * AE309) &lt; (Inputs!$E$40 * (AE110 + AE117)), Inputs!$E$40 * (AE110 + AE117), 0)) * IF($E$285 &lt;&gt; 3, 1, AE224)</f>
        <v>0</v>
      </c>
      <c r="AF313" s="76">
        <f>IF(Inputs!$E$40 = 0, 0, IF((AF287 * AF309) &lt; (Inputs!$E$40 * (AF110 + AF117)), Inputs!$E$40 * (AF110 + AF117), 0)) * IF($E$285 &lt;&gt; 3, 1, AF224)</f>
        <v>0</v>
      </c>
      <c r="AG313" s="76">
        <f>IF(Inputs!$E$40 = 0, 0, IF((AG287 * AG309) &lt; (Inputs!$E$40 * (AG110 + AG117)), Inputs!$E$40 * (AG110 + AG117), 0)) * IF($E$285 &lt;&gt; 3, 1, AG224)</f>
        <v>0</v>
      </c>
      <c r="AH313" s="76">
        <f>IF(Inputs!$E$40 = 0, 0, IF((AH287 * AH309) &lt; (Inputs!$E$40 * (AH110 + AH117)), Inputs!$E$40 * (AH110 + AH117), 0)) * IF($E$285 &lt;&gt; 3, 1, AH224)</f>
        <v>0</v>
      </c>
      <c r="AI313" s="76">
        <f>IF(Inputs!$E$40 = 0, 0, IF((AI287 * AI309) &lt; (Inputs!$E$40 * (AI110 + AI117)), Inputs!$E$40 * (AI110 + AI117), 0)) * IF($E$285 &lt;&gt; 3, 1, AI224)</f>
        <v>0</v>
      </c>
      <c r="AJ313" s="76">
        <f>IF(Inputs!$E$40 = 0, 0, IF((AJ287 * AJ309) &lt; (Inputs!$E$40 * (AJ110 + AJ117)), Inputs!$E$40 * (AJ110 + AJ117), 0)) * IF($E$285 &lt;&gt; 3, 1, AJ224)</f>
        <v>0</v>
      </c>
      <c r="AK313" s="76">
        <f>IF(Inputs!$E$40 = 0, 0, IF((AK287 * AK309) &lt; (Inputs!$E$40 * (AK110 + AK117)), Inputs!$E$40 * (AK110 + AK117), 0)) * IF($E$285 &lt;&gt; 3, 1, AK224)</f>
        <v>0</v>
      </c>
      <c r="AL313" s="76">
        <f>IF(Inputs!$E$40 = 0, 0, IF((AL287 * AL309) &lt; (Inputs!$E$40 * (AL110 + AL117)), Inputs!$E$40 * (AL110 + AL117), 0)) * IF($E$285 &lt;&gt; 3, 1, AL224)</f>
        <v>0</v>
      </c>
      <c r="AM313" s="76">
        <f>IF(Inputs!$E$40 = 0, 0, IF((AM287 * AM309) &lt; (Inputs!$E$40 * (AM110 + AM117)), Inputs!$E$40 * (AM110 + AM117), 0)) * IF($E$285 &lt;&gt; 3, 1, AM224)</f>
        <v>0</v>
      </c>
      <c r="AN313" s="76">
        <f>IF(Inputs!$E$40 = 0, 0, IF((AN287 * AN309) &lt; (Inputs!$E$40 * (AN110 + AN117)), Inputs!$E$40 * (AN110 + AN117), 0)) * IF($E$285 &lt;&gt; 3, 1, AN224)</f>
        <v>0</v>
      </c>
      <c r="AO313" s="76">
        <f>IF(Inputs!$E$40 = 0, 0, IF((AO287 * AO309) &lt; (Inputs!$E$40 * (AO110 + AO117)), Inputs!$E$40 * (AO110 + AO117), 0)) * IF($E$285 &lt;&gt; 3, 1, AO224)</f>
        <v>0</v>
      </c>
      <c r="AP313" s="76">
        <f>IF(Inputs!$E$40 = 0, 0, IF((AP287 * AP309) &lt; (Inputs!$E$40 * (AP110 + AP117)), Inputs!$E$40 * (AP110 + AP117), 0)) * IF($E$285 &lt;&gt; 3, 1, AP224)</f>
        <v>0</v>
      </c>
      <c r="AQ313" s="76">
        <f>IF(Inputs!$E$40 = 0, 0, IF((AQ287 * AQ309) &lt; (Inputs!$E$40 * (AQ110 + AQ117)), Inputs!$E$40 * (AQ110 + AQ117), 0)) * IF($E$285 &lt;&gt; 3, 1, AQ224)</f>
        <v>0</v>
      </c>
      <c r="AR313" s="76">
        <f>IF(Inputs!$E$40 = 0, 0, IF((AR287 * AR309) &lt; (Inputs!$E$40 * (AR110 + AR117)), Inputs!$E$40 * (AR110 + AR117), 0)) * IF($E$285 &lt;&gt; 3, 1, AR224)</f>
        <v>0</v>
      </c>
      <c r="AS313" s="76">
        <f>IF(Inputs!$E$40 = 0, 0, IF((AS287 * AS309) &lt; (Inputs!$E$40 * (AS110 + AS117)), Inputs!$E$40 * (AS110 + AS117), 0)) * IF($E$285 &lt;&gt; 3, 1, AS224)</f>
        <v>0</v>
      </c>
      <c r="AT313" s="76">
        <f>IF(Inputs!$E$40 = 0, 0, IF((AT287 * AT309) &lt; (Inputs!$E$40 * (AT110 + AT117)), Inputs!$E$40 * (AT110 + AT117), 0)) * IF($E$285 &lt;&gt; 3, 1, AT224)</f>
        <v>0</v>
      </c>
      <c r="AU313" s="76">
        <f>IF(Inputs!$E$40 = 0, 0, IF((AU287 * AU309) &lt; (Inputs!$E$40 * (AU110 + AU117)), Inputs!$E$40 * (AU110 + AU117), 0)) * IF($E$285 &lt;&gt; 3, 1, AU224)</f>
        <v>0</v>
      </c>
      <c r="AV313" s="76">
        <f>IF(Inputs!$E$40 = 0, 0, IF((AV287 * AV309) &lt; (Inputs!$E$40 * (AV110 + AV117)), Inputs!$E$40 * (AV110 + AV117), 0)) * IF($E$285 &lt;&gt; 3, 1, AV224)</f>
        <v>0</v>
      </c>
      <c r="AW313" s="76">
        <f>IF(Inputs!$E$40 = 0, 0, IF((AW287 * AW309) &lt; (Inputs!$E$40 * (AW110 + AW117)), Inputs!$E$40 * (AW110 + AW117), 0)) * IF($E$285 &lt;&gt; 3, 1, AW224)</f>
        <v>0</v>
      </c>
      <c r="AX313" s="76">
        <f>IF(Inputs!$E$40 = 0, 0, IF((AX287 * AX309) &lt; (Inputs!$E$40 * (AX110 + AX117)), Inputs!$E$40 * (AX110 + AX117), 0)) * IF($E$285 &lt;&gt; 3, 1, AX224)</f>
        <v>0</v>
      </c>
      <c r="AY313" s="76">
        <f>IF(Inputs!$E$40 = 0, 0, IF((AY287 * AY309) &lt; (Inputs!$E$40 * (AY110 + AY117)), Inputs!$E$40 * (AY110 + AY117), 0)) * IF($E$285 &lt;&gt; 3, 1, AY224)</f>
        <v>0</v>
      </c>
      <c r="AZ313" s="76">
        <f>IF(Inputs!$E$40 = 0, 0, IF((AZ287 * AZ309) &lt; (Inputs!$E$40 * (AZ110 + AZ117)), Inputs!$E$40 * (AZ110 + AZ117), 0)) * IF($E$285 &lt;&gt; 3, 1, AZ224)</f>
        <v>0</v>
      </c>
      <c r="BA313" s="76">
        <f>IF(Inputs!$E$40 = 0, 0, IF((BA287 * BA309) &lt; (Inputs!$E$40 * (BA110 + BA117)), Inputs!$E$40 * (BA110 + BA117), 0)) * IF($E$285 &lt;&gt; 3, 1, BA224)</f>
        <v>0</v>
      </c>
      <c r="BB313" s="76">
        <f>IF(Inputs!$E$40 = 0, 0, IF((BB287 * BB309) &lt; (Inputs!$E$40 * (BB110 + BB117)), Inputs!$E$40 * (BB110 + BB117), 0)) * IF($E$285 &lt;&gt; 3, 1, BB224)</f>
        <v>0</v>
      </c>
      <c r="BC313" s="76">
        <f>IF(Inputs!$E$40 = 0, 0, IF((BC287 * BC309) &lt; (Inputs!$E$40 * (BC110 + BC117)), Inputs!$E$40 * (BC110 + BC117), 0)) * IF($E$285 &lt;&gt; 3, 1, BC224)</f>
        <v>0</v>
      </c>
      <c r="BD313" s="76">
        <f>IF(Inputs!$E$40 = 0, 0, IF((BD287 * BD309) &lt; (Inputs!$E$40 * (BD110 + BD117)), Inputs!$E$40 * (BD110 + BD117), 0)) * IF($E$285 &lt;&gt; 3, 1, BD224)</f>
        <v>0</v>
      </c>
      <c r="BE313" s="9"/>
    </row>
    <row r="314" spans="1:57" s="136" customFormat="1" ht="15" customHeight="1">
      <c r="A314" s="83"/>
      <c r="B314" s="9"/>
      <c r="C314" s="115"/>
      <c r="E314" s="286"/>
      <c r="F314" s="9"/>
      <c r="G314" s="76"/>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9"/>
    </row>
    <row r="315" spans="1:57" s="136" customFormat="1" ht="15" customHeight="1">
      <c r="A315" s="83"/>
      <c r="B315" s="9"/>
      <c r="C315" s="115"/>
      <c r="D315" s="136" t="s">
        <v>476</v>
      </c>
      <c r="E315" s="286"/>
      <c r="F315" s="9"/>
      <c r="G315" s="76"/>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9"/>
    </row>
    <row r="316" spans="1:57" ht="15" customHeight="1">
      <c r="C316" s="21"/>
      <c r="D316" s="132" t="s">
        <v>477</v>
      </c>
      <c r="E316" s="18" t="s">
        <v>30</v>
      </c>
      <c r="G316" s="7">
        <f>IF(Inputs!$E$207 = 2, Inputs!F210, Inputs!F211) / Inputs!$E$213 - 1</f>
        <v>0.23076923076923084</v>
      </c>
      <c r="H316" s="7">
        <f>IF(Inputs!$E$207 = 2, Inputs!G210, Inputs!G211) / Inputs!$E$213 - 1</f>
        <v>0.23076923076923084</v>
      </c>
      <c r="I316" s="7">
        <f>IF(Inputs!$E$207 = 2, Inputs!H210, Inputs!H211) / Inputs!$E$213 - 1</f>
        <v>0.23076923076923084</v>
      </c>
      <c r="J316" s="7">
        <f>IF(Inputs!$E$207 = 2, Inputs!I210, Inputs!I211) / Inputs!$E$213 - 1</f>
        <v>0.23076923076923084</v>
      </c>
      <c r="K316" s="7">
        <f>IF(Inputs!$E$207 = 2, Inputs!J210, Inputs!J211) / Inputs!$E$213 - 1</f>
        <v>0.23076923076923084</v>
      </c>
      <c r="L316" s="7">
        <f>IF(Inputs!$E$207 = 2, Inputs!K210, Inputs!K211) / Inputs!$E$213 - 1</f>
        <v>0.23076923076923084</v>
      </c>
      <c r="M316" s="7">
        <f>IF(Inputs!$E$207 = 2, Inputs!L210, Inputs!L211) / Inputs!$E$213 - 1</f>
        <v>0.23076923076923084</v>
      </c>
      <c r="N316" s="7">
        <f>IF(Inputs!$E$207 = 2, Inputs!M210, Inputs!M211) / Inputs!$E$213 - 1</f>
        <v>0.23076923076923084</v>
      </c>
      <c r="O316" s="7">
        <f>IF(Inputs!$E$207 = 2, Inputs!N210, Inputs!N211) / Inputs!$E$213 - 1</f>
        <v>0.23076923076923084</v>
      </c>
      <c r="P316" s="7">
        <f>IF(Inputs!$E$207 = 2, Inputs!O210, Inputs!O211) / Inputs!$E$213 - 1</f>
        <v>0.23076923076923084</v>
      </c>
      <c r="Q316" s="7">
        <f>IF(Inputs!$E$207 = 2, Inputs!P210, Inputs!P211) / Inputs!$E$213 - 1</f>
        <v>0.23076923076923084</v>
      </c>
      <c r="R316" s="7">
        <f>IF(Inputs!$E$207 = 2, Inputs!Q210, Inputs!Q211) / Inputs!$E$213 - 1</f>
        <v>0.23076923076923084</v>
      </c>
      <c r="S316" s="7">
        <f>IF(Inputs!$E$207 = 2, Inputs!R210, Inputs!R211) / Inputs!$E$213 - 1</f>
        <v>0.23076923076923084</v>
      </c>
      <c r="T316" s="7">
        <f>IF(Inputs!$E$207 = 2, Inputs!S210, Inputs!S211) / Inputs!$E$213 - 1</f>
        <v>0.23076923076923084</v>
      </c>
      <c r="U316" s="7">
        <f>IF(Inputs!$E$207 = 2, Inputs!T210, Inputs!T211) / Inputs!$E$213 - 1</f>
        <v>0.23076923076923084</v>
      </c>
      <c r="V316" s="7">
        <f>IF(Inputs!$E$207 = 2, Inputs!U210, Inputs!U211) / Inputs!$E$213 - 1</f>
        <v>0.23076923076923084</v>
      </c>
      <c r="W316" s="7">
        <f>IF(Inputs!$E$207 = 2, Inputs!V210, Inputs!V211) / Inputs!$E$213 - 1</f>
        <v>0.23076923076923084</v>
      </c>
      <c r="X316" s="7">
        <f>IF(Inputs!$E$207 = 2, Inputs!W210, Inputs!W211) / Inputs!$E$213 - 1</f>
        <v>0.23076923076923084</v>
      </c>
      <c r="Y316" s="7">
        <f>IF(Inputs!$E$207 = 2, Inputs!X210, Inputs!X211) / Inputs!$E$213 - 1</f>
        <v>0.23076923076923084</v>
      </c>
      <c r="Z316" s="7">
        <f>IF(Inputs!$E$207 = 2, Inputs!Y210, Inputs!Y211) / Inputs!$E$213 - 1</f>
        <v>0.23076923076923084</v>
      </c>
      <c r="AA316" s="7">
        <f>IF(Inputs!$E$207 = 2, Inputs!Z210, Inputs!Z211) / Inputs!$E$213 - 1</f>
        <v>0.23076923076923084</v>
      </c>
      <c r="AB316" s="7">
        <f>IF(Inputs!$E$207 = 2, Inputs!AA210, Inputs!AA211) / Inputs!$E$213 - 1</f>
        <v>0.23076923076923084</v>
      </c>
      <c r="AC316" s="7">
        <f>IF(Inputs!$E$207 = 2, Inputs!AB210, Inputs!AB211) / Inputs!$E$213 - 1</f>
        <v>0.23076923076923084</v>
      </c>
      <c r="AD316" s="7">
        <f>IF(Inputs!$E$207 = 2, Inputs!AC210, Inputs!AC211) / Inputs!$E$213 - 1</f>
        <v>0.23076923076923084</v>
      </c>
      <c r="AE316" s="7">
        <f>IF(Inputs!$E$207 = 2, Inputs!AD210, Inputs!AD211) / Inputs!$E$213 - 1</f>
        <v>0.23076923076923084</v>
      </c>
      <c r="AF316" s="7">
        <f>IF(Inputs!$E$207 = 2, Inputs!AE210, Inputs!AE211) / Inputs!$E$213 - 1</f>
        <v>0.23076923076923084</v>
      </c>
      <c r="AG316" s="7">
        <f>IF(Inputs!$E$207 = 2, Inputs!AF210, Inputs!AF211) / Inputs!$E$213 - 1</f>
        <v>0.23076923076923084</v>
      </c>
      <c r="AH316" s="7">
        <f>IF(Inputs!$E$207 = 2, Inputs!AG210, Inputs!AG211) / Inputs!$E$213 - 1</f>
        <v>0.23076923076923084</v>
      </c>
      <c r="AI316" s="7">
        <f>IF(Inputs!$E$207 = 2, Inputs!AH210, Inputs!AH211) / Inputs!$E$213 - 1</f>
        <v>0.23076923076923084</v>
      </c>
      <c r="AJ316" s="7">
        <f>IF(Inputs!$E$207 = 2, Inputs!AI210, Inputs!AI211) / Inputs!$E$213 - 1</f>
        <v>0.23076923076923084</v>
      </c>
      <c r="AK316" s="7">
        <f>IF(Inputs!$E$207 = 2, Inputs!AJ210, Inputs!AJ211) / Inputs!$E$213 - 1</f>
        <v>0.23076923076923084</v>
      </c>
      <c r="AL316" s="7">
        <f>IF(Inputs!$E$207 = 2, Inputs!AK210, Inputs!AK211) / Inputs!$E$213 - 1</f>
        <v>0.23076923076923084</v>
      </c>
      <c r="AM316" s="7">
        <f>IF(Inputs!$E$207 = 2, Inputs!AL210, Inputs!AL211) / Inputs!$E$213 - 1</f>
        <v>0.23076923076923084</v>
      </c>
      <c r="AN316" s="7">
        <f>IF(Inputs!$E$207 = 2, Inputs!AM210, Inputs!AM211) / Inputs!$E$213 - 1</f>
        <v>0.23076923076923084</v>
      </c>
      <c r="AO316" s="7">
        <f>IF(Inputs!$E$207 = 2, Inputs!AN210, Inputs!AN211) / Inputs!$E$213 - 1</f>
        <v>0.23076923076923084</v>
      </c>
      <c r="AP316" s="7">
        <f>IF(Inputs!$E$207 = 2, Inputs!AO210, Inputs!AO211) / Inputs!$E$213 - 1</f>
        <v>0.23076923076923084</v>
      </c>
      <c r="AQ316" s="7">
        <f>IF(Inputs!$E$207 = 2, Inputs!AP210, Inputs!AP211) / Inputs!$E$213 - 1</f>
        <v>0.23076923076923084</v>
      </c>
      <c r="AR316" s="7">
        <f>IF(Inputs!$E$207 = 2, Inputs!AQ210, Inputs!AQ211) / Inputs!$E$213 - 1</f>
        <v>0.23076923076923084</v>
      </c>
      <c r="AS316" s="7">
        <f>IF(Inputs!$E$207 = 2, Inputs!AR210, Inputs!AR211) / Inputs!$E$213 - 1</f>
        <v>0.23076923076923084</v>
      </c>
      <c r="AT316" s="7">
        <f>IF(Inputs!$E$207 = 2, Inputs!AS210, Inputs!AS211) / Inputs!$E$213 - 1</f>
        <v>0.23076923076923084</v>
      </c>
      <c r="AU316" s="7">
        <f>IF(Inputs!$E$207 = 2, Inputs!AT210, Inputs!AT211) / Inputs!$E$213 - 1</f>
        <v>0.23076923076923084</v>
      </c>
      <c r="AV316" s="7">
        <f>IF(Inputs!$E$207 = 2, Inputs!AU210, Inputs!AU211) / Inputs!$E$213 - 1</f>
        <v>0.23076923076923084</v>
      </c>
      <c r="AW316" s="7">
        <f>IF(Inputs!$E$207 = 2, Inputs!AV210, Inputs!AV211) / Inputs!$E$213 - 1</f>
        <v>0.23076923076923084</v>
      </c>
      <c r="AX316" s="7">
        <f>IF(Inputs!$E$207 = 2, Inputs!AW210, Inputs!AW211) / Inputs!$E$213 - 1</f>
        <v>0.23076923076923084</v>
      </c>
      <c r="AY316" s="7">
        <f>IF(Inputs!$E$207 = 2, Inputs!AX210, Inputs!AX211) / Inputs!$E$213 - 1</f>
        <v>0.23076923076923084</v>
      </c>
      <c r="AZ316" s="7">
        <f>IF(Inputs!$E$207 = 2, Inputs!AY210, Inputs!AY211) / Inputs!$E$213 - 1</f>
        <v>0.23076923076923084</v>
      </c>
      <c r="BA316" s="7">
        <f>IF(Inputs!$E$207 = 2, Inputs!AZ210, Inputs!AZ211) / Inputs!$E$213 - 1</f>
        <v>0.23076923076923084</v>
      </c>
      <c r="BB316" s="7">
        <f>IF(Inputs!$E$207 = 2, Inputs!BA210, Inputs!BA211) / Inputs!$E$213 - 1</f>
        <v>0.23076923076923084</v>
      </c>
      <c r="BC316" s="7">
        <f>IF(Inputs!$E$207 = 2, Inputs!BB210, Inputs!BB211) / Inputs!$E$213 - 1</f>
        <v>0.23076923076923084</v>
      </c>
      <c r="BD316" s="7">
        <f>IF(Inputs!$E$207 = 2, Inputs!BC210, Inputs!BC211) / Inputs!$E$213 - 1</f>
        <v>0.23076923076923084</v>
      </c>
    </row>
    <row r="317" spans="1:57" ht="15" customHeight="1">
      <c r="C317" s="21">
        <f>SUM(G317:BD317)</f>
        <v>5036.9249754523198</v>
      </c>
      <c r="D317" s="132" t="s">
        <v>478</v>
      </c>
      <c r="E317" s="18" t="s">
        <v>333</v>
      </c>
      <c r="G317" s="287">
        <f>((G12 / 1000000) * (Inputs!$E$213 * G44)) -G254 - ((G56 + G236 + G240 + G244 + G210) * $E$275)</f>
        <v>0</v>
      </c>
      <c r="H317" s="287">
        <f>((H12 / 1000000) * (Inputs!$E$213 * H44)) -H254 - ((H56 + H236 + H240 + H244 + H210) * $E$275)</f>
        <v>0</v>
      </c>
      <c r="I317" s="287">
        <f>((I12 / 1000000) * (Inputs!$E$213 * I44)) -I254 - ((I56 + I236 + I240 + I244 + I210) * $E$275)</f>
        <v>-2.9261250000000003</v>
      </c>
      <c r="J317" s="287">
        <f>((J12 / 1000000) * (Inputs!$E$213 * J44)) -J254 - ((J56 + J236 + J240 + J244 + J210) * $E$275)</f>
        <v>-11.93859</v>
      </c>
      <c r="K317" s="287">
        <f>((K12 / 1000000) * (Inputs!$E$213 * K44)) -K254 - ((K56 + K236 + K240 + K244 + K210) * $E$275)</f>
        <v>72.439066227599994</v>
      </c>
      <c r="L317" s="287">
        <f>((L12 / 1000000) * (Inputs!$E$213 * L44)) -L254 - ((L56 + L236 + L240 + L244 + L210) * $E$275)</f>
        <v>177.99438668788798</v>
      </c>
      <c r="M317" s="287">
        <f>((M12 / 1000000) * (Inputs!$E$213 * M44)) -M254 - ((M56 + M236 + M240 + M244 + M210) * $E$275)</f>
        <v>181.55427442164569</v>
      </c>
      <c r="N317" s="287">
        <f>((N12 / 1000000) * (Inputs!$E$213 * N44)) -N254 - ((N56 + N236 + N240 + N244 + N210) * $E$275)</f>
        <v>185.1853599100786</v>
      </c>
      <c r="O317" s="287">
        <f>((O12 / 1000000) * (Inputs!$E$213 * O44)) -O254 - ((O56 + O236 + O240 + O244 + O210) * $E$275)</f>
        <v>188.88906710828024</v>
      </c>
      <c r="P317" s="287">
        <f>((P12 / 1000000) * (Inputs!$E$213 * P44)) -P254 - ((P56 + P236 + P240 + P244 + P210) * $E$275)</f>
        <v>192.66684845044585</v>
      </c>
      <c r="Q317" s="287">
        <f>((Q12 / 1000000) * (Inputs!$E$213 * Q44)) -Q254 - ((Q56 + Q236 + Q240 + Q244 + Q210) * $E$275)</f>
        <v>196.52018541945472</v>
      </c>
      <c r="R317" s="287">
        <f>((R12 / 1000000) * (Inputs!$E$213 * R44)) -R254 - ((R56 + R236 + R240 + R244 + R210) * $E$275)</f>
        <v>200.45058912784384</v>
      </c>
      <c r="S317" s="287">
        <f>((S12 / 1000000) * (Inputs!$E$213 * S44)) -S254 - ((S56 + S236 + S240 + S244 + S210) * $E$275)</f>
        <v>204.4596009104007</v>
      </c>
      <c r="T317" s="287">
        <f>((T12 / 1000000) * (Inputs!$E$213 * T44)) -T254 - ((T56 + T236 + T240 + T244 + T210) * $E$275)</f>
        <v>208.54879292860869</v>
      </c>
      <c r="U317" s="287">
        <f>((U12 / 1000000) * (Inputs!$E$213 * U44)) -U254 - ((U56 + U236 + U240 + U244 + U210) * $E$275)</f>
        <v>212.71976878718084</v>
      </c>
      <c r="V317" s="287">
        <f>((V12 / 1000000) * (Inputs!$E$213 * V44)) -V254 - ((V56 + V236 + V240 + V244 + V210) * $E$275)</f>
        <v>216.97416416292452</v>
      </c>
      <c r="W317" s="287">
        <f>((W12 / 1000000) * (Inputs!$E$213 * W44)) -W254 - ((W56 + W236 + W240 + W244 + W210) * $E$275)</f>
        <v>221.31364744618293</v>
      </c>
      <c r="X317" s="287">
        <f>((X12 / 1000000) * (Inputs!$E$213 * X44)) -X254 - ((X56 + X236 + X240 + X244 + X210) * $E$275)</f>
        <v>225.73992039510659</v>
      </c>
      <c r="Y317" s="287">
        <f>((Y12 / 1000000) * (Inputs!$E$213 * Y44)) -Y254 - ((Y56 + Y236 + Y240 + Y244 + Y210) * $E$275)</f>
        <v>230.25471880300876</v>
      </c>
      <c r="Z317" s="287">
        <f>((Z12 / 1000000) * (Inputs!$E$213 * Z44)) -Z254 - ((Z56 + Z236 + Z240 + Z244 + Z210) * $E$275)</f>
        <v>234.85981317906896</v>
      </c>
      <c r="AA317" s="287">
        <f>((AA12 / 1000000) * (Inputs!$E$213 * AA44)) -AA254 - ((AA56 + AA236 + AA240 + AA244 + AA210) * $E$275)</f>
        <v>239.55700944265038</v>
      </c>
      <c r="AB317" s="287">
        <f>((AB12 / 1000000) * (Inputs!$E$213 * AB44)) -AB254 - ((AB56 + AB236 + AB240 + AB244 + AB210) * $E$275)</f>
        <v>244.34814963150336</v>
      </c>
      <c r="AC317" s="287">
        <f>((AC12 / 1000000) * (Inputs!$E$213 * AC44)) -AC254 - ((AC56 + AC236 + AC240 + AC244 + AC210) * $E$275)</f>
        <v>249.23511262413342</v>
      </c>
      <c r="AD317" s="287">
        <f>((AD12 / 1000000) * (Inputs!$E$213 * AD44)) -AD254 - ((AD56 + AD236 + AD240 + AD244 + AD210) * $E$275)</f>
        <v>254.21981487661606</v>
      </c>
      <c r="AE317" s="287">
        <f>((AE12 / 1000000) * (Inputs!$E$213 * AE44)) -AE254 - ((AE56 + AE236 + AE240 + AE244 + AE210) * $E$275)</f>
        <v>259.30421117414841</v>
      </c>
      <c r="AF317" s="287">
        <f>((AF12 / 1000000) * (Inputs!$E$213 * AF44)) -AF254 - ((AF56 + AF236 + AF240 + AF244 + AF210) * $E$275)</f>
        <v>264.49029539763137</v>
      </c>
      <c r="AG317" s="287">
        <f>((AG12 / 1000000) * (Inputs!$E$213 * AG44)) -AG254 - ((AG56 + AG236 + AG240 + AG244 + AG210) * $E$275)</f>
        <v>271.0351648913495</v>
      </c>
      <c r="AH317" s="287">
        <f>((AH12 / 1000000) * (Inputs!$E$213 * AH44)) -AH254 - ((AH56 + AH236 + AH240 + AH244 + AH210) * $E$275)</f>
        <v>119.02972844856745</v>
      </c>
      <c r="AI317" s="287">
        <f>((AI12 / 1000000) * (Inputs!$E$213 * AI44)) -AI254 - ((AI56 + AI236 + AI240 + AI244 + AI210) * $E$275)</f>
        <v>0</v>
      </c>
      <c r="AJ317" s="287">
        <f>((AJ12 / 1000000) * (Inputs!$E$213 * AJ44)) -AJ254 - ((AJ56 + AJ236 + AJ240 + AJ244 + AJ210) * $E$275)</f>
        <v>0</v>
      </c>
      <c r="AK317" s="287">
        <f>((AK12 / 1000000) * (Inputs!$E$213 * AK44)) -AK254 - ((AK56 + AK236 + AK240 + AK244 + AK210) * $E$275)</f>
        <v>0</v>
      </c>
      <c r="AL317" s="287">
        <f>((AL12 / 1000000) * (Inputs!$E$213 * AL44)) -AL254 - ((AL56 + AL236 + AL240 + AL244 + AL210) * $E$275)</f>
        <v>0</v>
      </c>
      <c r="AM317" s="287">
        <f>((AM12 / 1000000) * (Inputs!$E$213 * AM44)) -AM254 - ((AM56 + AM236 + AM240 + AM244 + AM210) * $E$275)</f>
        <v>0</v>
      </c>
      <c r="AN317" s="287">
        <f>((AN12 / 1000000) * (Inputs!$E$213 * AN44)) -AN254 - ((AN56 + AN236 + AN240 + AN244 + AN210) * $E$275)</f>
        <v>0</v>
      </c>
      <c r="AO317" s="287">
        <f>((AO12 / 1000000) * (Inputs!$E$213 * AO44)) -AO254 - ((AO56 + AO236 + AO240 + AO244 + AO210) * $E$275)</f>
        <v>0</v>
      </c>
      <c r="AP317" s="287">
        <f>((AP12 / 1000000) * (Inputs!$E$213 * AP44)) -AP254 - ((AP56 + AP236 + AP240 + AP244 + AP210) * $E$275)</f>
        <v>0</v>
      </c>
      <c r="AQ317" s="287">
        <f>((AQ12 / 1000000) * (Inputs!$E$213 * AQ44)) -AQ254 - ((AQ56 + AQ236 + AQ240 + AQ244 + AQ210) * $E$275)</f>
        <v>0</v>
      </c>
      <c r="AR317" s="287">
        <f>((AR12 / 1000000) * (Inputs!$E$213 * AR44)) -AR254 - ((AR56 + AR236 + AR240 + AR244 + AR210) * $E$275)</f>
        <v>0</v>
      </c>
      <c r="AS317" s="287">
        <f>((AS12 / 1000000) * (Inputs!$E$213 * AS44)) -AS254 - ((AS56 + AS236 + AS240 + AS244 + AS210) * $E$275)</f>
        <v>0</v>
      </c>
      <c r="AT317" s="287">
        <f>((AT12 / 1000000) * (Inputs!$E$213 * AT44)) -AT254 - ((AT56 + AT236 + AT240 + AT244 + AT210) * $E$275)</f>
        <v>0</v>
      </c>
      <c r="AU317" s="287">
        <f>((AU12 / 1000000) * (Inputs!$E$213 * AU44)) -AU254 - ((AU56 + AU236 + AU240 + AU244 + AU210) * $E$275)</f>
        <v>0</v>
      </c>
      <c r="AV317" s="287">
        <f>((AV12 / 1000000) * (Inputs!$E$213 * AV44)) -AV254 - ((AV56 + AV236 + AV240 + AV244 + AV210) * $E$275)</f>
        <v>0</v>
      </c>
      <c r="AW317" s="287">
        <f>((AW12 / 1000000) * (Inputs!$E$213 * AW44)) -AW254 - ((AW56 + AW236 + AW240 + AW244 + AW210) * $E$275)</f>
        <v>0</v>
      </c>
      <c r="AX317" s="287">
        <f>((AX12 / 1000000) * (Inputs!$E$213 * AX44)) -AX254 - ((AX56 + AX236 + AX240 + AX244 + AX210) * $E$275)</f>
        <v>0</v>
      </c>
      <c r="AY317" s="287">
        <f>((AY12 / 1000000) * (Inputs!$E$213 * AY44)) -AY254 - ((AY56 + AY236 + AY240 + AY244 + AY210) * $E$275)</f>
        <v>0</v>
      </c>
      <c r="AZ317" s="287">
        <f>((AZ12 / 1000000) * (Inputs!$E$213 * AZ44)) -AZ254 - ((AZ56 + AZ236 + AZ240 + AZ244 + AZ210) * $E$275)</f>
        <v>0</v>
      </c>
      <c r="BA317" s="287">
        <f>((BA12 / 1000000) * (Inputs!$E$213 * BA44)) -BA254 - ((BA56 + BA236 + BA240 + BA244 + BA210) * $E$275)</f>
        <v>0</v>
      </c>
      <c r="BB317" s="287">
        <f>((BB12 / 1000000) * (Inputs!$E$213 * BB44)) -BB254 - ((BB56 + BB236 + BB240 + BB244 + BB210) * $E$275)</f>
        <v>0</v>
      </c>
      <c r="BC317" s="287">
        <f>((BC12 / 1000000) * (Inputs!$E$213 * BC44)) -BC254 - ((BC56 + BC236 + BC240 + BC244 + BC210) * $E$275)</f>
        <v>0</v>
      </c>
      <c r="BD317" s="287">
        <f>((BD12 / 1000000) * (Inputs!$E$213 * BD44)) -BD254 - ((BD56 + BD236 + BD240 + BD244 + BD210) * $E$275)</f>
        <v>0</v>
      </c>
    </row>
    <row r="318" spans="1:57" ht="15" customHeight="1">
      <c r="C318" s="21">
        <f>SUM(G318:BD318)</f>
        <v>3239.630968646944</v>
      </c>
      <c r="D318" s="132" t="s">
        <v>479</v>
      </c>
      <c r="E318" s="18" t="s">
        <v>333</v>
      </c>
      <c r="G318" s="19">
        <f>IF(G277&lt;0,0,G277-(G317*(1+Inputs!$E$42)))</f>
        <v>0</v>
      </c>
      <c r="H318" s="19">
        <f>IF(H277&lt;0,0,H277-(H317*(1+Inputs!$E$42)))</f>
        <v>0</v>
      </c>
      <c r="I318" s="19">
        <f>IF(I277&lt;0,0,I277-(I317*(1+Inputs!$E$42)))</f>
        <v>0</v>
      </c>
      <c r="J318" s="19">
        <f>IF(J277&lt;0,0,J277-(J317*(1+Inputs!$E$42)))</f>
        <v>0</v>
      </c>
      <c r="K318" s="19">
        <f>IF(K277&lt;0,0,K277-(K317*(1+Inputs!$E$42)))</f>
        <v>48.222352728000033</v>
      </c>
      <c r="L318" s="19">
        <f>IF(L277&lt;0,0,L277-(L317*(1+Inputs!$E$42)))</f>
        <v>114.7691994926401</v>
      </c>
      <c r="M318" s="19">
        <f>IF(M277&lt;0,0,M277-(M317*(1+Inputs!$E$42)))</f>
        <v>117.06458348249294</v>
      </c>
      <c r="N318" s="19">
        <f>IF(N277&lt;0,0,N277-(N317*(1+Inputs!$E$42)))</f>
        <v>119.4058751521427</v>
      </c>
      <c r="O318" s="19">
        <f>IF(O277&lt;0,0,O277-(O317*(1+Inputs!$E$42)))</f>
        <v>121.79399265518555</v>
      </c>
      <c r="P318" s="19">
        <f>IF(P277&lt;0,0,P277-(P317*(1+Inputs!$E$42)))</f>
        <v>124.2298725082893</v>
      </c>
      <c r="Q318" s="19">
        <f>IF(Q277&lt;0,0,Q277-(Q317*(1+Inputs!$E$42)))</f>
        <v>126.7144699584552</v>
      </c>
      <c r="R318" s="19">
        <f>IF(R277&lt;0,0,R277-(R317*(1+Inputs!$E$42)))</f>
        <v>129.24875935762407</v>
      </c>
      <c r="S318" s="19">
        <f>IF(S277&lt;0,0,S277-(S317*(1+Inputs!$E$42)))</f>
        <v>131.83373454477669</v>
      </c>
      <c r="T318" s="19">
        <f>IF(T277&lt;0,0,T277-(T317*(1+Inputs!$E$42)))</f>
        <v>134.47040923567226</v>
      </c>
      <c r="U318" s="19">
        <f>IF(U277&lt;0,0,U277-(U317*(1+Inputs!$E$42)))</f>
        <v>137.15981742038571</v>
      </c>
      <c r="V318" s="19">
        <f>IF(V277&lt;0,0,V277-(V317*(1+Inputs!$E$42)))</f>
        <v>139.90301376879324</v>
      </c>
      <c r="W318" s="19">
        <f>IF(W277&lt;0,0,W277-(W317*(1+Inputs!$E$42)))</f>
        <v>142.70107404416933</v>
      </c>
      <c r="X318" s="19">
        <f>IF(X277&lt;0,0,X277-(X317*(1+Inputs!$E$42)))</f>
        <v>145.55509552505271</v>
      </c>
      <c r="Y318" s="19">
        <f>IF(Y277&lt;0,0,Y277-(Y317*(1+Inputs!$E$42)))</f>
        <v>148.46619743555368</v>
      </c>
      <c r="Z318" s="19">
        <f>IF(Z277&lt;0,0,Z277-(Z317*(1+Inputs!$E$42)))</f>
        <v>151.43552138426469</v>
      </c>
      <c r="AA318" s="19">
        <f>IF(AA277&lt;0,0,AA277-(AA317*(1+Inputs!$E$42)))</f>
        <v>154.46423181194996</v>
      </c>
      <c r="AB318" s="19">
        <f>IF(AB277&lt;0,0,AB277-(AB317*(1+Inputs!$E$42)))</f>
        <v>157.55351644818904</v>
      </c>
      <c r="AC318" s="19">
        <f>IF(AC277&lt;0,0,AC277-(AC317*(1+Inputs!$E$42)))</f>
        <v>160.70458677715283</v>
      </c>
      <c r="AD318" s="19">
        <f>IF(AD277&lt;0,0,AD277-(AD317*(1+Inputs!$E$42)))</f>
        <v>160.0552753154268</v>
      </c>
      <c r="AE318" s="19">
        <f>IF(AE277&lt;0,0,AE277-(AE317*(1+Inputs!$E$42)))</f>
        <v>163.25638082173532</v>
      </c>
      <c r="AF318" s="19">
        <f>IF(AF277&lt;0,0,AF277-(AF317*(1+Inputs!$E$42)))</f>
        <v>166.52150843817003</v>
      </c>
      <c r="AG318" s="19">
        <f>IF(AG277&lt;0,0,AG277-(AG317*(1+Inputs!$E$42)))</f>
        <v>169.85193860693357</v>
      </c>
      <c r="AH318" s="19">
        <f>IF(AH277&lt;0,0,AH277-(AH317*(1+Inputs!$E$42)))</f>
        <v>74.249561733888015</v>
      </c>
      <c r="AI318" s="19">
        <f>IF(AI277&lt;0,0,AI277-(AI317*(1+Inputs!$E$42)))</f>
        <v>0</v>
      </c>
      <c r="AJ318" s="19">
        <f>IF(AJ277&lt;0,0,AJ277-(AJ317*(1+Inputs!$E$42)))</f>
        <v>0</v>
      </c>
      <c r="AK318" s="19">
        <f>IF(AK277&lt;0,0,AK277-(AK317*(1+Inputs!$E$42)))</f>
        <v>0</v>
      </c>
      <c r="AL318" s="19">
        <f>IF(AL277&lt;0,0,AL277-(AL317*(1+Inputs!$E$42)))</f>
        <v>0</v>
      </c>
      <c r="AM318" s="19">
        <f>IF(AM277&lt;0,0,AM277-(AM317*(1+Inputs!$E$42)))</f>
        <v>0</v>
      </c>
      <c r="AN318" s="19">
        <f>IF(AN277&lt;0,0,AN277-(AN317*(1+Inputs!$E$42)))</f>
        <v>0</v>
      </c>
      <c r="AO318" s="19">
        <f>IF(AO277&lt;0,0,AO277-(AO317*(1+Inputs!$E$42)))</f>
        <v>0</v>
      </c>
      <c r="AP318" s="19">
        <f>IF(AP277&lt;0,0,AP277-(AP317*(1+Inputs!$E$42)))</f>
        <v>0</v>
      </c>
      <c r="AQ318" s="19">
        <f>IF(AQ277&lt;0,0,AQ277-(AQ317*(1+Inputs!$E$42)))</f>
        <v>0</v>
      </c>
      <c r="AR318" s="19">
        <f>IF(AR277&lt;0,0,AR277-(AR317*(1+Inputs!$E$42)))</f>
        <v>0</v>
      </c>
      <c r="AS318" s="19">
        <f>IF(AS277&lt;0,0,AS277-(AS317*(1+Inputs!$E$42)))</f>
        <v>0</v>
      </c>
      <c r="AT318" s="19">
        <f>IF(AT277&lt;0,0,AT277-(AT317*(1+Inputs!$E$42)))</f>
        <v>0</v>
      </c>
      <c r="AU318" s="19">
        <f>IF(AU277&lt;0,0,AU277-(AU317*(1+Inputs!$E$42)))</f>
        <v>0</v>
      </c>
      <c r="AV318" s="19">
        <f>IF(AV277&lt;0,0,AV277-(AV317*(1+Inputs!$E$42)))</f>
        <v>0</v>
      </c>
      <c r="AW318" s="19">
        <f>IF(AW277&lt;0,0,AW277-(AW317*(1+Inputs!$E$42)))</f>
        <v>0</v>
      </c>
      <c r="AX318" s="19">
        <f>IF(AX277&lt;0,0,AX277-(AX317*(1+Inputs!$E$42)))</f>
        <v>0</v>
      </c>
      <c r="AY318" s="19">
        <f>IF(AY277&lt;0,0,AY277-(AY317*(1+Inputs!$E$42)))</f>
        <v>0</v>
      </c>
      <c r="AZ318" s="19">
        <f>IF(AZ277&lt;0,0,AZ277-(AZ317*(1+Inputs!$E$42)))</f>
        <v>0</v>
      </c>
      <c r="BA318" s="19">
        <f>IF(BA277&lt;0,0,BA277-(BA317*(1+Inputs!$E$42)))</f>
        <v>0</v>
      </c>
      <c r="BB318" s="19">
        <f>IF(BB277&lt;0,0,BB277-(BB317*(1+Inputs!$E$42)))</f>
        <v>0</v>
      </c>
      <c r="BC318" s="19">
        <f>IF(BC277&lt;0,0,BC277-(BC317*(1+Inputs!$E$42)))</f>
        <v>0</v>
      </c>
      <c r="BD318" s="19">
        <f>IF(BD277&lt;0,0,BD277-(BD317*(1+Inputs!$E$42)))</f>
        <v>0</v>
      </c>
    </row>
    <row r="319" spans="1:57" ht="15" customHeight="1">
      <c r="C319" s="115">
        <f>SUM(G319:BD319)</f>
        <v>0</v>
      </c>
      <c r="D319" s="132" t="s">
        <v>480</v>
      </c>
      <c r="E319" s="18" t="s">
        <v>333</v>
      </c>
      <c r="G319" s="19">
        <f>IF(G316&gt;=Inputs!$E$42,MAX(G318*Inputs!$E$41,0),0)</f>
        <v>0</v>
      </c>
      <c r="H319" s="19">
        <f>IF(H316&gt;=Inputs!$E$42,MAX(H318*Inputs!$E$41,0),0)</f>
        <v>0</v>
      </c>
      <c r="I319" s="19">
        <f>IF(I316&gt;=Inputs!$E$42,MAX(I318*Inputs!$E$41,0),0)</f>
        <v>0</v>
      </c>
      <c r="J319" s="19">
        <f>IF(J316&gt;=Inputs!$E$42,MAX(J318*Inputs!$E$41,0),0)</f>
        <v>0</v>
      </c>
      <c r="K319" s="19">
        <f>IF(K316&gt;=Inputs!$E$42,MAX(K318*Inputs!$E$41,0),0)</f>
        <v>0</v>
      </c>
      <c r="L319" s="19">
        <f>IF(L316&gt;=Inputs!$E$42,MAX(L318*Inputs!$E$41,0),0)</f>
        <v>0</v>
      </c>
      <c r="M319" s="19">
        <f>IF(M316&gt;=Inputs!$E$42,MAX(M318*Inputs!$E$41,0),0)</f>
        <v>0</v>
      </c>
      <c r="N319" s="19">
        <f>IF(N316&gt;=Inputs!$E$42,MAX(N318*Inputs!$E$41,0),0)</f>
        <v>0</v>
      </c>
      <c r="O319" s="19">
        <f>IF(O316&gt;=Inputs!$E$42,MAX(O318*Inputs!$E$41,0),0)</f>
        <v>0</v>
      </c>
      <c r="P319" s="19">
        <f>IF(P316&gt;=Inputs!$E$42,MAX(P318*Inputs!$E$41,0),0)</f>
        <v>0</v>
      </c>
      <c r="Q319" s="19">
        <f>IF(Q316&gt;=Inputs!$E$42,MAX(Q318*Inputs!$E$41,0),0)</f>
        <v>0</v>
      </c>
      <c r="R319" s="19">
        <f>IF(R316&gt;=Inputs!$E$42,MAX(R318*Inputs!$E$41,0),0)</f>
        <v>0</v>
      </c>
      <c r="S319" s="19">
        <f>IF(S316&gt;=Inputs!$E$42,MAX(S318*Inputs!$E$41,0),0)</f>
        <v>0</v>
      </c>
      <c r="T319" s="19">
        <f>IF(T316&gt;=Inputs!$E$42,MAX(T318*Inputs!$E$41,0),0)</f>
        <v>0</v>
      </c>
      <c r="U319" s="19">
        <f>IF(U316&gt;=Inputs!$E$42,MAX(U318*Inputs!$E$41,0),0)</f>
        <v>0</v>
      </c>
      <c r="V319" s="19">
        <f>IF(V316&gt;=Inputs!$E$42,MAX(V318*Inputs!$E$41,0),0)</f>
        <v>0</v>
      </c>
      <c r="W319" s="19">
        <f>IF(W316&gt;=Inputs!$E$42,MAX(W318*Inputs!$E$41,0),0)</f>
        <v>0</v>
      </c>
      <c r="X319" s="19">
        <f>IF(X316&gt;=Inputs!$E$42,MAX(X318*Inputs!$E$41,0),0)</f>
        <v>0</v>
      </c>
      <c r="Y319" s="19">
        <f>IF(Y316&gt;=Inputs!$E$42,MAX(Y318*Inputs!$E$41,0),0)</f>
        <v>0</v>
      </c>
      <c r="Z319" s="19">
        <f>IF(Z316&gt;=Inputs!$E$42,MAX(Z318*Inputs!$E$41,0),0)</f>
        <v>0</v>
      </c>
      <c r="AA319" s="19">
        <f>IF(AA316&gt;=Inputs!$E$42,MAX(AA318*Inputs!$E$41,0),0)</f>
        <v>0</v>
      </c>
      <c r="AB319" s="19">
        <f>IF(AB316&gt;=Inputs!$E$42,MAX(AB318*Inputs!$E$41,0),0)</f>
        <v>0</v>
      </c>
      <c r="AC319" s="19">
        <f>IF(AC316&gt;=Inputs!$E$42,MAX(AC318*Inputs!$E$41,0),0)</f>
        <v>0</v>
      </c>
      <c r="AD319" s="19">
        <f>IF(AD316&gt;=Inputs!$E$42,MAX(AD318*Inputs!$E$41,0),0)</f>
        <v>0</v>
      </c>
      <c r="AE319" s="19">
        <f>IF(AE316&gt;=Inputs!$E$42,MAX(AE318*Inputs!$E$41,0),0)</f>
        <v>0</v>
      </c>
      <c r="AF319" s="19">
        <f>IF(AF316&gt;=Inputs!$E$42,MAX(AF318*Inputs!$E$41,0),0)</f>
        <v>0</v>
      </c>
      <c r="AG319" s="19">
        <f>IF(AG316&gt;=Inputs!$E$42,MAX(AG318*Inputs!$E$41,0),0)</f>
        <v>0</v>
      </c>
      <c r="AH319" s="19">
        <f>IF(AH316&gt;=Inputs!$E$42,MAX(AH318*Inputs!$E$41,0),0)</f>
        <v>0</v>
      </c>
      <c r="AI319" s="19">
        <f>IF(AI316&gt;=Inputs!$E$42,MAX(AI318*Inputs!$E$41,0),0)</f>
        <v>0</v>
      </c>
      <c r="AJ319" s="19">
        <f>IF(AJ316&gt;=Inputs!$E$42,MAX(AJ318*Inputs!$E$41,0),0)</f>
        <v>0</v>
      </c>
      <c r="AK319" s="19">
        <f>IF(AK316&gt;=Inputs!$E$42,MAX(AK318*Inputs!$E$41,0),0)</f>
        <v>0</v>
      </c>
      <c r="AL319" s="19">
        <f>IF(AL316&gt;=Inputs!$E$42,MAX(AL318*Inputs!$E$41,0),0)</f>
        <v>0</v>
      </c>
      <c r="AM319" s="19">
        <f>IF(AM316&gt;=Inputs!$E$42,MAX(AM318*Inputs!$E$41,0),0)</f>
        <v>0</v>
      </c>
      <c r="AN319" s="19">
        <f>IF(AN316&gt;=Inputs!$E$42,MAX(AN318*Inputs!$E$41,0),0)</f>
        <v>0</v>
      </c>
      <c r="AO319" s="19">
        <f>IF(AO316&gt;=Inputs!$E$42,MAX(AO318*Inputs!$E$41,0),0)</f>
        <v>0</v>
      </c>
      <c r="AP319" s="19">
        <f>IF(AP316&gt;=Inputs!$E$42,MAX(AP318*Inputs!$E$41,0),0)</f>
        <v>0</v>
      </c>
      <c r="AQ319" s="19">
        <f>IF(AQ316&gt;=Inputs!$E$42,MAX(AQ318*Inputs!$E$41,0),0)</f>
        <v>0</v>
      </c>
      <c r="AR319" s="19">
        <f>IF(AR316&gt;=Inputs!$E$42,MAX(AR318*Inputs!$E$41,0),0)</f>
        <v>0</v>
      </c>
      <c r="AS319" s="19">
        <f>IF(AS316&gt;=Inputs!$E$42,MAX(AS318*Inputs!$E$41,0),0)</f>
        <v>0</v>
      </c>
      <c r="AT319" s="19">
        <f>IF(AT316&gt;=Inputs!$E$42,MAX(AT318*Inputs!$E$41,0),0)</f>
        <v>0</v>
      </c>
      <c r="AU319" s="19">
        <f>IF(AU316&gt;=Inputs!$E$42,MAX(AU318*Inputs!$E$41,0),0)</f>
        <v>0</v>
      </c>
      <c r="AV319" s="19">
        <f>IF(AV316&gt;=Inputs!$E$42,MAX(AV318*Inputs!$E$41,0),0)</f>
        <v>0</v>
      </c>
      <c r="AW319" s="19">
        <f>IF(AW316&gt;=Inputs!$E$42,MAX(AW318*Inputs!$E$41,0),0)</f>
        <v>0</v>
      </c>
      <c r="AX319" s="19">
        <f>IF(AX316&gt;=Inputs!$E$42,MAX(AX318*Inputs!$E$41,0),0)</f>
        <v>0</v>
      </c>
      <c r="AY319" s="19">
        <f>IF(AY316&gt;=Inputs!$E$42,MAX(AY318*Inputs!$E$41,0),0)</f>
        <v>0</v>
      </c>
      <c r="AZ319" s="19">
        <f>IF(AZ316&gt;=Inputs!$E$42,MAX(AZ318*Inputs!$E$41,0),0)</f>
        <v>0</v>
      </c>
      <c r="BA319" s="19">
        <f>IF(BA316&gt;=Inputs!$E$42,MAX(BA318*Inputs!$E$41,0),0)</f>
        <v>0</v>
      </c>
      <c r="BB319" s="19">
        <f>IF(BB316&gt;=Inputs!$E$42,MAX(BB318*Inputs!$E$41,0),0)</f>
        <v>0</v>
      </c>
      <c r="BC319" s="19">
        <f>IF(BC316&gt;=Inputs!$E$42,MAX(BC318*Inputs!$E$41,0),0)</f>
        <v>0</v>
      </c>
      <c r="BD319" s="19">
        <f>IF(BD316&gt;=Inputs!$E$42,MAX(BD318*Inputs!$E$41,0),0)</f>
        <v>0</v>
      </c>
      <c r="BE319" s="19"/>
    </row>
    <row r="320" spans="1:57" ht="15" customHeight="1">
      <c r="D320" s="213"/>
    </row>
    <row r="321" spans="2:56" ht="15" customHeight="1">
      <c r="C321" s="299"/>
      <c r="D321" s="166"/>
      <c r="E321" s="238"/>
      <c r="F321" s="166"/>
      <c r="G321" s="298"/>
      <c r="H321" s="298"/>
      <c r="I321" s="298"/>
      <c r="J321" s="298"/>
      <c r="K321" s="298"/>
      <c r="L321" s="298"/>
      <c r="M321" s="298"/>
      <c r="N321" s="298"/>
      <c r="O321" s="298"/>
      <c r="P321" s="298"/>
      <c r="Q321" s="298"/>
      <c r="R321" s="298"/>
      <c r="S321" s="298"/>
      <c r="T321" s="298"/>
      <c r="U321" s="298"/>
      <c r="V321" s="298"/>
      <c r="W321" s="298"/>
      <c r="X321" s="298"/>
      <c r="Y321" s="298"/>
      <c r="Z321" s="298"/>
      <c r="AA321" s="298"/>
      <c r="AB321" s="298"/>
      <c r="AC321" s="298"/>
      <c r="AD321" s="298"/>
      <c r="AE321" s="298"/>
      <c r="AF321" s="298"/>
      <c r="AG321" s="298"/>
      <c r="AH321" s="298"/>
      <c r="AI321" s="298"/>
      <c r="AJ321" s="298"/>
      <c r="AK321" s="298"/>
      <c r="AL321" s="298"/>
      <c r="AM321" s="298"/>
      <c r="AN321" s="298"/>
      <c r="AO321" s="298"/>
      <c r="AP321" s="298"/>
      <c r="AQ321" s="298"/>
      <c r="AR321" s="298"/>
      <c r="AS321" s="298"/>
      <c r="AT321" s="298"/>
      <c r="AU321" s="298"/>
      <c r="AV321" s="298"/>
      <c r="AW321" s="298"/>
      <c r="AX321" s="298"/>
      <c r="AY321" s="298"/>
      <c r="AZ321" s="298"/>
      <c r="BA321" s="298"/>
      <c r="BB321" s="298"/>
      <c r="BC321" s="298"/>
      <c r="BD321" s="298"/>
    </row>
    <row r="322" spans="2:56" ht="15" customHeight="1">
      <c r="D322" s="213" t="s">
        <v>481</v>
      </c>
    </row>
    <row r="323" spans="2:56" ht="15" customHeight="1">
      <c r="D323" s="213"/>
    </row>
    <row r="324" spans="2:56" ht="15" customHeight="1">
      <c r="D324" s="11" t="s">
        <v>482</v>
      </c>
      <c r="E324" s="307">
        <f>IF(Inputs!E89 = 1, 1, 2)</f>
        <v>2</v>
      </c>
    </row>
    <row r="325" spans="2:56" ht="15" customHeight="1">
      <c r="D325" s="213"/>
    </row>
    <row r="326" spans="2:56" ht="15" customHeight="1">
      <c r="B326" s="94"/>
      <c r="C326" s="21">
        <f>SUM(G326:BD326)</f>
        <v>40.4</v>
      </c>
      <c r="D326" s="11" t="s">
        <v>483</v>
      </c>
      <c r="E326" s="18" t="s">
        <v>333</v>
      </c>
      <c r="G326" s="19">
        <f>IF($E$324 = 2, G52, IF(SUM($G$33:G33) = 0, 0, G52))</f>
        <v>20</v>
      </c>
      <c r="H326" s="19">
        <f>IF($E$324 = 2, H52, IF(SUM($G$33:H33) = 0, 0, H52))</f>
        <v>20.399999999999999</v>
      </c>
      <c r="I326" s="19">
        <f>IF($E$324 = 2, I52, IF(SUM($G$33:I33) = 0, 0, I52))</f>
        <v>0</v>
      </c>
      <c r="J326" s="19">
        <f>IF($E$324 = 2, J52, IF(SUM($G$33:J33) = 0, 0, J52))</f>
        <v>0</v>
      </c>
      <c r="K326" s="19">
        <f>IF($E$324 = 2, K52, IF(SUM($G$33:K33) = 0, 0, K52))</f>
        <v>0</v>
      </c>
      <c r="L326" s="19">
        <f>IF($E$324 = 2, L52, IF(SUM($G$33:L33) = 0, 0, L52))</f>
        <v>0</v>
      </c>
      <c r="M326" s="19">
        <f>IF($E$324 = 2, M52, IF(SUM($G$33:M33) = 0, 0, M52))</f>
        <v>0</v>
      </c>
      <c r="N326" s="19">
        <f>IF($E$324 = 2, N52, IF(SUM($G$33:N33) = 0, 0, N52))</f>
        <v>0</v>
      </c>
      <c r="O326" s="19">
        <f>IF($E$324 = 2, O52, IF(SUM($G$33:O33) = 0, 0, O52))</f>
        <v>0</v>
      </c>
      <c r="P326" s="19">
        <f>IF($E$324 = 2, P52, IF(SUM($G$33:P33) = 0, 0, P52))</f>
        <v>0</v>
      </c>
      <c r="Q326" s="19">
        <f>IF($E$324 = 2, Q52, IF(SUM($G$33:Q33) = 0, 0, Q52))</f>
        <v>0</v>
      </c>
      <c r="R326" s="19">
        <f>IF($E$324 = 2, R52, IF(SUM($G$33:R33) = 0, 0, R52))</f>
        <v>0</v>
      </c>
      <c r="S326" s="19">
        <f>IF($E$324 = 2, S52, IF(SUM($G$33:S33) = 0, 0, S52))</f>
        <v>0</v>
      </c>
      <c r="T326" s="19">
        <f>IF($E$324 = 2, T52, IF(SUM($G$33:T33) = 0, 0, T52))</f>
        <v>0</v>
      </c>
      <c r="U326" s="19">
        <f>IF($E$324 = 2, U52, IF(SUM($G$33:U33) = 0, 0, U52))</f>
        <v>0</v>
      </c>
      <c r="V326" s="19">
        <f>IF($E$324 = 2, V52, IF(SUM($G$33:V33) = 0, 0, V52))</f>
        <v>0</v>
      </c>
      <c r="W326" s="19">
        <f>IF($E$324 = 2, W52, IF(SUM($G$33:W33) = 0, 0, W52))</f>
        <v>0</v>
      </c>
      <c r="X326" s="19">
        <f>IF($E$324 = 2, X52, IF(SUM($G$33:X33) = 0, 0, X52))</f>
        <v>0</v>
      </c>
      <c r="Y326" s="19">
        <f>IF($E$324 = 2, Y52, IF(SUM($G$33:Y33) = 0, 0, Y52))</f>
        <v>0</v>
      </c>
      <c r="Z326" s="19">
        <f>IF($E$324 = 2, Z52, IF(SUM($G$33:Z33) = 0, 0, Z52))</f>
        <v>0</v>
      </c>
      <c r="AA326" s="19">
        <f>IF($E$324 = 2, AA52, IF(SUM($G$33:AA33) = 0, 0, AA52))</f>
        <v>0</v>
      </c>
      <c r="AB326" s="19">
        <f>IF($E$324 = 2, AB52, IF(SUM($G$33:AB33) = 0, 0, AB52))</f>
        <v>0</v>
      </c>
      <c r="AC326" s="19">
        <f>IF($E$324 = 2, AC52, IF(SUM($G$33:AC33) = 0, 0, AC52))</f>
        <v>0</v>
      </c>
      <c r="AD326" s="19">
        <f>IF($E$324 = 2, AD52, IF(SUM($G$33:AD33) = 0, 0, AD52))</f>
        <v>0</v>
      </c>
      <c r="AE326" s="19">
        <f>IF($E$324 = 2, AE52, IF(SUM($G$33:AE33) = 0, 0, AE52))</f>
        <v>0</v>
      </c>
      <c r="AF326" s="19">
        <f>IF($E$324 = 2, AF52, IF(SUM($G$33:AF33) = 0, 0, AF52))</f>
        <v>0</v>
      </c>
      <c r="AG326" s="19">
        <f>IF($E$324 = 2, AG52, IF(SUM($G$33:AG33) = 0, 0, AG52))</f>
        <v>0</v>
      </c>
      <c r="AH326" s="19">
        <f>IF($E$324 = 2, AH52, IF(SUM($G$33:AH33) = 0, 0, AH52))</f>
        <v>0</v>
      </c>
      <c r="AI326" s="19">
        <f>IF($E$324 = 2, AI52, IF(SUM($G$33:AI33) = 0, 0, AI52))</f>
        <v>0</v>
      </c>
      <c r="AJ326" s="19">
        <f>IF($E$324 = 2, AJ52, IF(SUM($G$33:AJ33) = 0, 0, AJ52))</f>
        <v>0</v>
      </c>
      <c r="AK326" s="19">
        <f>IF($E$324 = 2, AK52, IF(SUM($G$33:AK33) = 0, 0, AK52))</f>
        <v>0</v>
      </c>
      <c r="AL326" s="19">
        <f>IF($E$324 = 2, AL52, IF(SUM($G$33:AL33) = 0, 0, AL52))</f>
        <v>0</v>
      </c>
      <c r="AM326" s="19">
        <f>IF($E$324 = 2, AM52, IF(SUM($G$33:AM33) = 0, 0, AM52))</f>
        <v>0</v>
      </c>
      <c r="AN326" s="19">
        <f>IF($E$324 = 2, AN52, IF(SUM($G$33:AN33) = 0, 0, AN52))</f>
        <v>0</v>
      </c>
      <c r="AO326" s="19">
        <f>IF($E$324 = 2, AO52, IF(SUM($G$33:AO33) = 0, 0, AO52))</f>
        <v>0</v>
      </c>
      <c r="AP326" s="19">
        <f>IF($E$324 = 2, AP52, IF(SUM($G$33:AP33) = 0, 0, AP52))</f>
        <v>0</v>
      </c>
      <c r="AQ326" s="19">
        <f>IF($E$324 = 2, AQ52, IF(SUM($G$33:AQ33) = 0, 0, AQ52))</f>
        <v>0</v>
      </c>
      <c r="AR326" s="19">
        <f>IF($E$324 = 2, AR52, IF(SUM($G$33:AR33) = 0, 0, AR52))</f>
        <v>0</v>
      </c>
      <c r="AS326" s="19">
        <f>IF($E$324 = 2, AS52, IF(SUM($G$33:AS33) = 0, 0, AS52))</f>
        <v>0</v>
      </c>
      <c r="AT326" s="19">
        <f>IF($E$324 = 2, AT52, IF(SUM($G$33:AT33) = 0, 0, AT52))</f>
        <v>0</v>
      </c>
      <c r="AU326" s="19">
        <f>IF($E$324 = 2, AU52, IF(SUM($G$33:AU33) = 0, 0, AU52))</f>
        <v>0</v>
      </c>
      <c r="AV326" s="19">
        <f>IF($E$324 = 2, AV52, IF(SUM($G$33:AV33) = 0, 0, AV52))</f>
        <v>0</v>
      </c>
      <c r="AW326" s="19">
        <f>IF($E$324 = 2, AW52, IF(SUM($G$33:AW33) = 0, 0, AW52))</f>
        <v>0</v>
      </c>
      <c r="AX326" s="19">
        <f>IF($E$324 = 2, AX52, IF(SUM($G$33:AX33) = 0, 0, AX52))</f>
        <v>0</v>
      </c>
      <c r="AY326" s="19">
        <f>IF($E$324 = 2, AY52, IF(SUM($G$33:AY33) = 0, 0, AY52))</f>
        <v>0</v>
      </c>
      <c r="AZ326" s="19">
        <f>IF($E$324 = 2, AZ52, IF(SUM($G$33:AZ33) = 0, 0, AZ52))</f>
        <v>0</v>
      </c>
      <c r="BA326" s="19">
        <f>IF($E$324 = 2, BA52, IF(SUM($G$33:BA33) = 0, 0, BA52))</f>
        <v>0</v>
      </c>
      <c r="BB326" s="19">
        <f>IF($E$324 = 2, BB52, IF(SUM($G$33:BB33) = 0, 0, BB52))</f>
        <v>0</v>
      </c>
      <c r="BC326" s="19">
        <f>IF($E$324 = 2, BC52, IF(SUM($G$33:BC33) = 0, 0, BC52))</f>
        <v>0</v>
      </c>
      <c r="BD326" s="19">
        <f>IF($E$324 = 2, BD52, IF(SUM($G$33:BD33) = 0, 0, BD52))</f>
        <v>0</v>
      </c>
    </row>
    <row r="327" spans="2:56" ht="15" customHeight="1">
      <c r="B327" s="94"/>
      <c r="C327" s="21">
        <f>SUM(G327:BD327)</f>
        <v>40.4</v>
      </c>
      <c r="D327" s="11" t="str">
        <f>"Expensed exploration costs ("&amp;Inputs!$E$47&amp;")"</f>
        <v>Expensed exploration costs (deferred)</v>
      </c>
      <c r="E327" s="18" t="s">
        <v>333</v>
      </c>
      <c r="G327" s="19">
        <f>IF(Inputs!$E$47="immediate",G326,IF(G33=0,0,IF(G33=1,SUM($G$326:G326),G326)))</f>
        <v>0</v>
      </c>
      <c r="H327" s="19">
        <f>IF(Inputs!$E$47="immediate",H326,IF(H33=0,0,IF(H33=1,SUM($G$326:H326),H326)))</f>
        <v>0</v>
      </c>
      <c r="I327" s="19">
        <f>IF(Inputs!$E$47="immediate",I326,IF(I33=0,0,IF(I33=1,SUM($G$326:I326),I326)))</f>
        <v>0</v>
      </c>
      <c r="J327" s="19">
        <f>IF(Inputs!$E$47="immediate",J326,IF(J33=0,0,IF(J33=1,SUM($G$326:J326),J326)))</f>
        <v>0</v>
      </c>
      <c r="K327" s="19">
        <f>IF(Inputs!$E$47="immediate",K326,IF(K33=0,0,IF(K33=1,SUM($G$326:K326),K326)))</f>
        <v>40.4</v>
      </c>
      <c r="L327" s="19">
        <f>IF(Inputs!$E$47="immediate",L326,IF(L33=0,0,IF(L33=1,SUM($G$326:L326),L326)))</f>
        <v>0</v>
      </c>
      <c r="M327" s="19">
        <f>IF(Inputs!$E$47="immediate",M326,IF(M33=0,0,IF(M33=1,SUM($G$326:M326),M326)))</f>
        <v>0</v>
      </c>
      <c r="N327" s="19">
        <f>IF(Inputs!$E$47="immediate",N326,IF(N33=0,0,IF(N33=1,SUM($G$326:N326),N326)))</f>
        <v>0</v>
      </c>
      <c r="O327" s="19">
        <f>IF(Inputs!$E$47="immediate",O326,IF(O33=0,0,IF(O33=1,SUM($G$326:O326),O326)))</f>
        <v>0</v>
      </c>
      <c r="P327" s="19">
        <f>IF(Inputs!$E$47="immediate",P326,IF(P33=0,0,IF(P33=1,SUM($G$326:P326),P326)))</f>
        <v>0</v>
      </c>
      <c r="Q327" s="19">
        <f>IF(Inputs!$E$47="immediate",Q326,IF(Q33=0,0,IF(Q33=1,SUM($G$326:Q326),Q326)))</f>
        <v>0</v>
      </c>
      <c r="R327" s="19">
        <f>IF(Inputs!$E$47="immediate",R326,IF(R33=0,0,IF(R33=1,SUM($G$326:R326),R326)))</f>
        <v>0</v>
      </c>
      <c r="S327" s="19">
        <f>IF(Inputs!$E$47="immediate",S326,IF(S33=0,0,IF(S33=1,SUM($G$326:S326),S326)))</f>
        <v>0</v>
      </c>
      <c r="T327" s="19">
        <f>IF(Inputs!$E$47="immediate",T326,IF(T33=0,0,IF(T33=1,SUM($G$326:T326),T326)))</f>
        <v>0</v>
      </c>
      <c r="U327" s="19">
        <f>IF(Inputs!$E$47="immediate",U326,IF(U33=0,0,IF(U33=1,SUM($G$326:U326),U326)))</f>
        <v>0</v>
      </c>
      <c r="V327" s="19">
        <f>IF(Inputs!$E$47="immediate",V326,IF(V33=0,0,IF(V33=1,SUM($G$326:V326),V326)))</f>
        <v>0</v>
      </c>
      <c r="W327" s="19">
        <f>IF(Inputs!$E$47="immediate",W326,IF(W33=0,0,IF(W33=1,SUM($G$326:W326),W326)))</f>
        <v>0</v>
      </c>
      <c r="X327" s="19">
        <f>IF(Inputs!$E$47="immediate",X326,IF(X33=0,0,IF(X33=1,SUM($G$326:X326),X326)))</f>
        <v>0</v>
      </c>
      <c r="Y327" s="19">
        <f>IF(Inputs!$E$47="immediate",Y326,IF(Y33=0,0,IF(Y33=1,SUM($G$326:Y326),Y326)))</f>
        <v>0</v>
      </c>
      <c r="Z327" s="19">
        <f>IF(Inputs!$E$47="immediate",Z326,IF(Z33=0,0,IF(Z33=1,SUM($G$326:Z326),Z326)))</f>
        <v>0</v>
      </c>
      <c r="AA327" s="19">
        <f>IF(Inputs!$E$47="immediate",AA326,IF(AA33=0,0,IF(AA33=1,SUM($G$326:AA326),AA326)))</f>
        <v>0</v>
      </c>
      <c r="AB327" s="19">
        <f>IF(Inputs!$E$47="immediate",AB326,IF(AB33=0,0,IF(AB33=1,SUM($G$326:AB326),AB326)))</f>
        <v>0</v>
      </c>
      <c r="AC327" s="19">
        <f>IF(Inputs!$E$47="immediate",AC326,IF(AC33=0,0,IF(AC33=1,SUM($G$326:AC326),AC326)))</f>
        <v>0</v>
      </c>
      <c r="AD327" s="19">
        <f>IF(Inputs!$E$47="immediate",AD326,IF(AD33=0,0,IF(AD33=1,SUM($G$326:AD326),AD326)))</f>
        <v>0</v>
      </c>
      <c r="AE327" s="19">
        <f>IF(Inputs!$E$47="immediate",AE326,IF(AE33=0,0,IF(AE33=1,SUM($G$326:AE326),AE326)))</f>
        <v>0</v>
      </c>
      <c r="AF327" s="19">
        <f>IF(Inputs!$E$47="immediate",AF326,IF(AF33=0,0,IF(AF33=1,SUM($G$326:AF326),AF326)))</f>
        <v>0</v>
      </c>
      <c r="AG327" s="19">
        <f>IF(Inputs!$E$47="immediate",AG326,IF(AG33=0,0,IF(AG33=1,SUM($G$326:AG326),AG326)))</f>
        <v>0</v>
      </c>
      <c r="AH327" s="19">
        <f>IF(Inputs!$E$47="immediate",AH326,IF(AH33=0,0,IF(AH33=1,SUM($G$326:AH326),AH326)))</f>
        <v>0</v>
      </c>
      <c r="AI327" s="19">
        <f>IF(Inputs!$E$47="immediate",AI326,IF(AI33=0,0,IF(AI33=1,SUM($G$326:AI326),AI326)))</f>
        <v>0</v>
      </c>
      <c r="AJ327" s="19">
        <f>IF(Inputs!$E$47="immediate",AJ326,IF(AJ33=0,0,IF(AJ33=1,SUM($G$326:AJ326),AJ326)))</f>
        <v>0</v>
      </c>
      <c r="AK327" s="19">
        <f>IF(Inputs!$E$47="immediate",AK326,IF(AK33=0,0,IF(AK33=1,SUM($G$326:AK326),AK326)))</f>
        <v>0</v>
      </c>
      <c r="AL327" s="19">
        <f>IF(Inputs!$E$47="immediate",AL326,IF(AL33=0,0,IF(AL33=1,SUM($G$326:AL326),AL326)))</f>
        <v>0</v>
      </c>
      <c r="AM327" s="19">
        <f>IF(Inputs!$E$47="immediate",AM326,IF(AM33=0,0,IF(AM33=1,SUM($G$326:AM326),AM326)))</f>
        <v>0</v>
      </c>
      <c r="AN327" s="19">
        <f>IF(Inputs!$E$47="immediate",AN326,IF(AN33=0,0,IF(AN33=1,SUM($G$326:AN326),AN326)))</f>
        <v>0</v>
      </c>
      <c r="AO327" s="19">
        <f>IF(Inputs!$E$47="immediate",AO326,IF(AO33=0,0,IF(AO33=1,SUM($G$326:AO326),AO326)))</f>
        <v>0</v>
      </c>
      <c r="AP327" s="19">
        <f>IF(Inputs!$E$47="immediate",AP326,IF(AP33=0,0,IF(AP33=1,SUM($G$326:AP326),AP326)))</f>
        <v>0</v>
      </c>
      <c r="AQ327" s="19">
        <f>IF(Inputs!$E$47="immediate",AQ326,IF(AQ33=0,0,IF(AQ33=1,SUM($G$326:AQ326),AQ326)))</f>
        <v>0</v>
      </c>
      <c r="AR327" s="19">
        <f>IF(Inputs!$E$47="immediate",AR326,IF(AR33=0,0,IF(AR33=1,SUM($G$326:AR326),AR326)))</f>
        <v>0</v>
      </c>
      <c r="AS327" s="19">
        <f>IF(Inputs!$E$47="immediate",AS326,IF(AS33=0,0,IF(AS33=1,SUM($G$326:AS326),AS326)))</f>
        <v>0</v>
      </c>
      <c r="AT327" s="19">
        <f>IF(Inputs!$E$47="immediate",AT326,IF(AT33=0,0,IF(AT33=1,SUM($G$326:AT326),AT326)))</f>
        <v>0</v>
      </c>
      <c r="AU327" s="19">
        <f>IF(Inputs!$E$47="immediate",AU326,IF(AU33=0,0,IF(AU33=1,SUM($G$326:AU326),AU326)))</f>
        <v>0</v>
      </c>
      <c r="AV327" s="19">
        <f>IF(Inputs!$E$47="immediate",AV326,IF(AV33=0,0,IF(AV33=1,SUM($G$326:AV326),AV326)))</f>
        <v>0</v>
      </c>
      <c r="AW327" s="19">
        <f>IF(Inputs!$E$47="immediate",AW326,IF(AW33=0,0,IF(AW33=1,SUM($G$326:AW326),AW326)))</f>
        <v>0</v>
      </c>
      <c r="AX327" s="19">
        <f>IF(Inputs!$E$47="immediate",AX326,IF(AX33=0,0,IF(AX33=1,SUM($G$326:AX326),AX326)))</f>
        <v>0</v>
      </c>
      <c r="AY327" s="19">
        <f>IF(Inputs!$E$47="immediate",AY326,IF(AY33=0,0,IF(AY33=1,SUM($G$326:AY326),AY326)))</f>
        <v>0</v>
      </c>
      <c r="AZ327" s="19">
        <f>IF(Inputs!$E$47="immediate",AZ326,IF(AZ33=0,0,IF(AZ33=1,SUM($G$326:AZ326),AZ326)))</f>
        <v>0</v>
      </c>
      <c r="BA327" s="19">
        <f>IF(Inputs!$E$47="immediate",BA326,IF(BA33=0,0,IF(BA33=1,SUM($G$326:BA326),BA326)))</f>
        <v>0</v>
      </c>
      <c r="BB327" s="19">
        <f>IF(Inputs!$E$47="immediate",BB326,IF(BB33=0,0,IF(BB33=1,SUM($G$326:BB326),BB326)))</f>
        <v>0</v>
      </c>
      <c r="BC327" s="19">
        <f>IF(Inputs!$E$47="immediate",BC326,IF(BC33=0,0,IF(BC33=1,SUM($G$326:BC326),BC326)))</f>
        <v>0</v>
      </c>
      <c r="BD327" s="19">
        <f>IF(Inputs!$E$47="immediate",BD326,IF(BD33=0,0,IF(BD33=1,SUM($G$326:BD326),BD326)))</f>
        <v>0</v>
      </c>
    </row>
    <row r="328" spans="2:56" ht="15" customHeight="1">
      <c r="B328" s="94"/>
      <c r="C328" s="21"/>
    </row>
    <row r="329" spans="2:56" ht="15" customHeight="1">
      <c r="C329" s="21">
        <f>SUM(G329:BD329)</f>
        <v>0</v>
      </c>
      <c r="D329" s="11" t="s">
        <v>484</v>
      </c>
      <c r="E329" s="18" t="s">
        <v>333</v>
      </c>
      <c r="G329" s="19">
        <f>IF($E$324 = 2, G53, IF(SUM($G$33:G33) = 0, 0, G53)) * (1 + Inputs!$E$52)</f>
        <v>0</v>
      </c>
      <c r="H329" s="19">
        <f>IF($E$324 = 2, H53, IF(SUM($G$33:H33) = 0, 0, H53)) * (1 + Inputs!$E$52)</f>
        <v>0</v>
      </c>
      <c r="I329" s="19">
        <f>IF($E$324 = 2, I53, IF(SUM($G$33:I33) = 0, 0, I53)) * (1 + Inputs!$E$52)</f>
        <v>0</v>
      </c>
      <c r="J329" s="19">
        <f>IF($E$324 = 2, J53, IF(SUM($G$33:J33) = 0, 0, J53)) * (1 + Inputs!$E$52)</f>
        <v>0</v>
      </c>
      <c r="K329" s="19">
        <f>IF($E$324 = 2, K53, IF(SUM($G$33:K33) = 0, 0, K53)) * (1 + Inputs!$E$52)</f>
        <v>0</v>
      </c>
      <c r="L329" s="19">
        <f>IF($E$324 = 2, L53, IF(SUM($G$33:L33) = 0, 0, L53)) * (1 + Inputs!$E$52)</f>
        <v>0</v>
      </c>
      <c r="M329" s="19">
        <f>IF($E$324 = 2, M53, IF(SUM($G$33:M33) = 0, 0, M53)) * (1 + Inputs!$E$52)</f>
        <v>0</v>
      </c>
      <c r="N329" s="19">
        <f>IF($E$324 = 2, N53, IF(SUM($G$33:N33) = 0, 0, N53)) * (1 + Inputs!$E$52)</f>
        <v>0</v>
      </c>
      <c r="O329" s="19">
        <f>IF($E$324 = 2, O53, IF(SUM($G$33:O33) = 0, 0, O53)) * (1 + Inputs!$E$52)</f>
        <v>0</v>
      </c>
      <c r="P329" s="19">
        <f>IF($E$324 = 2, P53, IF(SUM($G$33:P33) = 0, 0, P53)) * (1 + Inputs!$E$52)</f>
        <v>0</v>
      </c>
      <c r="Q329" s="19">
        <f>IF($E$324 = 2, Q53, IF(SUM($G$33:Q33) = 0, 0, Q53)) * (1 + Inputs!$E$52)</f>
        <v>0</v>
      </c>
      <c r="R329" s="19">
        <f>IF($E$324 = 2, R53, IF(SUM($G$33:R33) = 0, 0, R53)) * (1 + Inputs!$E$52)</f>
        <v>0</v>
      </c>
      <c r="S329" s="19">
        <f>IF($E$324 = 2, S53, IF(SUM($G$33:S33) = 0, 0, S53)) * (1 + Inputs!$E$52)</f>
        <v>0</v>
      </c>
      <c r="T329" s="19">
        <f>IF($E$324 = 2, T53, IF(SUM($G$33:T33) = 0, 0, T53)) * (1 + Inputs!$E$52)</f>
        <v>0</v>
      </c>
      <c r="U329" s="19">
        <f>IF($E$324 = 2, U53, IF(SUM($G$33:U33) = 0, 0, U53)) * (1 + Inputs!$E$52)</f>
        <v>0</v>
      </c>
      <c r="V329" s="19">
        <f>IF($E$324 = 2, V53, IF(SUM($G$33:V33) = 0, 0, V53)) * (1 + Inputs!$E$52)</f>
        <v>0</v>
      </c>
      <c r="W329" s="19">
        <f>IF($E$324 = 2, W53, IF(SUM($G$33:W33) = 0, 0, W53)) * (1 + Inputs!$E$52)</f>
        <v>0</v>
      </c>
      <c r="X329" s="19">
        <f>IF($E$324 = 2, X53, IF(SUM($G$33:X33) = 0, 0, X53)) * (1 + Inputs!$E$52)</f>
        <v>0</v>
      </c>
      <c r="Y329" s="19">
        <f>IF($E$324 = 2, Y53, IF(SUM($G$33:Y33) = 0, 0, Y53)) * (1 + Inputs!$E$52)</f>
        <v>0</v>
      </c>
      <c r="Z329" s="19">
        <f>IF($E$324 = 2, Z53, IF(SUM($G$33:Z33) = 0, 0, Z53)) * (1 + Inputs!$E$52)</f>
        <v>0</v>
      </c>
      <c r="AA329" s="19">
        <f>IF($E$324 = 2, AA53, IF(SUM($G$33:AA33) = 0, 0, AA53)) * (1 + Inputs!$E$52)</f>
        <v>0</v>
      </c>
      <c r="AB329" s="19">
        <f>IF($E$324 = 2, AB53, IF(SUM($G$33:AB33) = 0, 0, AB53)) * (1 + Inputs!$E$52)</f>
        <v>0</v>
      </c>
      <c r="AC329" s="19">
        <f>IF($E$324 = 2, AC53, IF(SUM($G$33:AC33) = 0, 0, AC53)) * (1 + Inputs!$E$52)</f>
        <v>0</v>
      </c>
      <c r="AD329" s="19">
        <f>IF($E$324 = 2, AD53, IF(SUM($G$33:AD33) = 0, 0, AD53)) * (1 + Inputs!$E$52)</f>
        <v>0</v>
      </c>
      <c r="AE329" s="19">
        <f>IF($E$324 = 2, AE53, IF(SUM($G$33:AE33) = 0, 0, AE53)) * (1 + Inputs!$E$52)</f>
        <v>0</v>
      </c>
      <c r="AF329" s="19">
        <f>IF($E$324 = 2, AF53, IF(SUM($G$33:AF33) = 0, 0, AF53)) * (1 + Inputs!$E$52)</f>
        <v>0</v>
      </c>
      <c r="AG329" s="19">
        <f>IF($E$324 = 2, AG53, IF(SUM($G$33:AG33) = 0, 0, AG53)) * (1 + Inputs!$E$52)</f>
        <v>0</v>
      </c>
      <c r="AH329" s="19">
        <f>IF($E$324 = 2, AH53, IF(SUM($G$33:AH33) = 0, 0, AH53)) * (1 + Inputs!$E$52)</f>
        <v>0</v>
      </c>
      <c r="AI329" s="19">
        <f>IF($E$324 = 2, AI53, IF(SUM($G$33:AI33) = 0, 0, AI53)) * (1 + Inputs!$E$52)</f>
        <v>0</v>
      </c>
      <c r="AJ329" s="19">
        <f>IF($E$324 = 2, AJ53, IF(SUM($G$33:AJ33) = 0, 0, AJ53)) * (1 + Inputs!$E$52)</f>
        <v>0</v>
      </c>
      <c r="AK329" s="19">
        <f>IF($E$324 = 2, AK53, IF(SUM($G$33:AK33) = 0, 0, AK53)) * (1 + Inputs!$E$52)</f>
        <v>0</v>
      </c>
      <c r="AL329" s="19">
        <f>IF($E$324 = 2, AL53, IF(SUM($G$33:AL33) = 0, 0, AL53)) * (1 + Inputs!$E$52)</f>
        <v>0</v>
      </c>
      <c r="AM329" s="19">
        <f>IF($E$324 = 2, AM53, IF(SUM($G$33:AM33) = 0, 0, AM53)) * (1 + Inputs!$E$52)</f>
        <v>0</v>
      </c>
      <c r="AN329" s="19">
        <f>IF($E$324 = 2, AN53, IF(SUM($G$33:AN33) = 0, 0, AN53)) * (1 + Inputs!$E$52)</f>
        <v>0</v>
      </c>
      <c r="AO329" s="19">
        <f>IF($E$324 = 2, AO53, IF(SUM($G$33:AO33) = 0, 0, AO53)) * (1 + Inputs!$E$52)</f>
        <v>0</v>
      </c>
      <c r="AP329" s="19">
        <f>IF($E$324 = 2, AP53, IF(SUM($G$33:AP33) = 0, 0, AP53)) * (1 + Inputs!$E$52)</f>
        <v>0</v>
      </c>
      <c r="AQ329" s="19">
        <f>IF($E$324 = 2, AQ53, IF(SUM($G$33:AQ33) = 0, 0, AQ53)) * (1 + Inputs!$E$52)</f>
        <v>0</v>
      </c>
      <c r="AR329" s="19">
        <f>IF($E$324 = 2, AR53, IF(SUM($G$33:AR33) = 0, 0, AR53)) * (1 + Inputs!$E$52)</f>
        <v>0</v>
      </c>
      <c r="AS329" s="19">
        <f>IF($E$324 = 2, AS53, IF(SUM($G$33:AS33) = 0, 0, AS53)) * (1 + Inputs!$E$52)</f>
        <v>0</v>
      </c>
      <c r="AT329" s="19">
        <f>IF($E$324 = 2, AT53, IF(SUM($G$33:AT33) = 0, 0, AT53)) * (1 + Inputs!$E$52)</f>
        <v>0</v>
      </c>
      <c r="AU329" s="19">
        <f>IF($E$324 = 2, AU53, IF(SUM($G$33:AU33) = 0, 0, AU53)) * (1 + Inputs!$E$52)</f>
        <v>0</v>
      </c>
      <c r="AV329" s="19">
        <f>IF($E$324 = 2, AV53, IF(SUM($G$33:AV33) = 0, 0, AV53)) * (1 + Inputs!$E$52)</f>
        <v>0</v>
      </c>
      <c r="AW329" s="19">
        <f>IF($E$324 = 2, AW53, IF(SUM($G$33:AW33) = 0, 0, AW53)) * (1 + Inputs!$E$52)</f>
        <v>0</v>
      </c>
      <c r="AX329" s="19">
        <f>IF($E$324 = 2, AX53, IF(SUM($G$33:AX33) = 0, 0, AX53)) * (1 + Inputs!$E$52)</f>
        <v>0</v>
      </c>
      <c r="AY329" s="19">
        <f>IF($E$324 = 2, AY53, IF(SUM($G$33:AY33) = 0, 0, AY53)) * (1 + Inputs!$E$52)</f>
        <v>0</v>
      </c>
      <c r="AZ329" s="19">
        <f>IF($E$324 = 2, AZ53, IF(SUM($G$33:AZ33) = 0, 0, AZ53)) * (1 + Inputs!$E$52)</f>
        <v>0</v>
      </c>
      <c r="BA329" s="19">
        <f>IF($E$324 = 2, BA53, IF(SUM($G$33:BA33) = 0, 0, BA53)) * (1 + Inputs!$E$52)</f>
        <v>0</v>
      </c>
      <c r="BB329" s="19">
        <f>IF($E$324 = 2, BB53, IF(SUM($G$33:BB33) = 0, 0, BB53)) * (1 + Inputs!$E$52)</f>
        <v>0</v>
      </c>
      <c r="BC329" s="19">
        <f>IF($E$324 = 2, BC53, IF(SUM($G$33:BC33) = 0, 0, BC53)) * (1 + Inputs!$E$52)</f>
        <v>0</v>
      </c>
      <c r="BD329" s="19">
        <f>IF($E$324 = 2, BD53, IF(SUM($G$33:BD33) = 0, 0, BD53)) * (1 + Inputs!$E$52)</f>
        <v>0</v>
      </c>
    </row>
    <row r="330" spans="2:56" ht="15" customHeight="1">
      <c r="C330" s="21">
        <f>SUM(G330:BD330)</f>
        <v>0</v>
      </c>
      <c r="D330" s="11" t="str">
        <f>"Expensed intangible development costs ("&amp;Inputs!$E$48&amp;")"</f>
        <v>Expensed intangible development costs (deferred)</v>
      </c>
      <c r="E330" s="18" t="s">
        <v>333</v>
      </c>
      <c r="G330" s="19">
        <f>IF(Inputs!$E$48="immediate",G329,IF(G33=0,0,IF(G33=1,SUM($G$329:G329),G329)))</f>
        <v>0</v>
      </c>
      <c r="H330" s="19">
        <f>IF(Inputs!$E$48="immediate",H329,IF(H33=0,0,IF(H33=1,SUM($G$329:H329),H329)))</f>
        <v>0</v>
      </c>
      <c r="I330" s="19">
        <f>IF(Inputs!$E$48="immediate",I329,IF(I33=0,0,IF(I33=1,SUM($G$329:I329),I329)))</f>
        <v>0</v>
      </c>
      <c r="J330" s="19">
        <f>IF(Inputs!$E$48="immediate",J329,IF(J33=0,0,IF(J33=1,SUM($G$329:J329),J329)))</f>
        <v>0</v>
      </c>
      <c r="K330" s="19">
        <f>IF(Inputs!$E$48="immediate",K329,IF(K33=0,0,IF(K33=1,SUM($G$329:K329),K329)))</f>
        <v>0</v>
      </c>
      <c r="L330" s="19">
        <f>IF(Inputs!$E$48="immediate",L329,IF(L33=0,0,IF(L33=1,SUM($G$329:L329),L329)))</f>
        <v>0</v>
      </c>
      <c r="M330" s="19">
        <f>IF(Inputs!$E$48="immediate",M329,IF(M33=0,0,IF(M33=1,SUM($G$329:M329),M329)))</f>
        <v>0</v>
      </c>
      <c r="N330" s="19">
        <f>IF(Inputs!$E$48="immediate",N329,IF(N33=0,0,IF(N33=1,SUM($G$329:N329),N329)))</f>
        <v>0</v>
      </c>
      <c r="O330" s="19">
        <f>IF(Inputs!$E$48="immediate",O329,IF(O33=0,0,IF(O33=1,SUM($G$329:O329),O329)))</f>
        <v>0</v>
      </c>
      <c r="P330" s="19">
        <f>IF(Inputs!$E$48="immediate",P329,IF(P33=0,0,IF(P33=1,SUM($G$329:P329),P329)))</f>
        <v>0</v>
      </c>
      <c r="Q330" s="19">
        <f>IF(Inputs!$E$48="immediate",Q329,IF(Q33=0,0,IF(Q33=1,SUM($G$329:Q329),Q329)))</f>
        <v>0</v>
      </c>
      <c r="R330" s="19">
        <f>IF(Inputs!$E$48="immediate",R329,IF(R33=0,0,IF(R33=1,SUM($G$329:R329),R329)))</f>
        <v>0</v>
      </c>
      <c r="S330" s="19">
        <f>IF(Inputs!$E$48="immediate",S329,IF(S33=0,0,IF(S33=1,SUM($G$329:S329),S329)))</f>
        <v>0</v>
      </c>
      <c r="T330" s="19">
        <f>IF(Inputs!$E$48="immediate",T329,IF(T33=0,0,IF(T33=1,SUM($G$329:T329),T329)))</f>
        <v>0</v>
      </c>
      <c r="U330" s="19">
        <f>IF(Inputs!$E$48="immediate",U329,IF(U33=0,0,IF(U33=1,SUM($G$329:U329),U329)))</f>
        <v>0</v>
      </c>
      <c r="V330" s="19">
        <f>IF(Inputs!$E$48="immediate",V329,IF(V33=0,0,IF(V33=1,SUM($G$329:V329),V329)))</f>
        <v>0</v>
      </c>
      <c r="W330" s="19">
        <f>IF(Inputs!$E$48="immediate",W329,IF(W33=0,0,IF(W33=1,SUM($G$329:W329),W329)))</f>
        <v>0</v>
      </c>
      <c r="X330" s="19">
        <f>IF(Inputs!$E$48="immediate",X329,IF(X33=0,0,IF(X33=1,SUM($G$329:X329),X329)))</f>
        <v>0</v>
      </c>
      <c r="Y330" s="19">
        <f>IF(Inputs!$E$48="immediate",Y329,IF(Y33=0,0,IF(Y33=1,SUM($G$329:Y329),Y329)))</f>
        <v>0</v>
      </c>
      <c r="Z330" s="19">
        <f>IF(Inputs!$E$48="immediate",Z329,IF(Z33=0,0,IF(Z33=1,SUM($G$329:Z329),Z329)))</f>
        <v>0</v>
      </c>
      <c r="AA330" s="19">
        <f>IF(Inputs!$E$48="immediate",AA329,IF(AA33=0,0,IF(AA33=1,SUM($G$329:AA329),AA329)))</f>
        <v>0</v>
      </c>
      <c r="AB330" s="19">
        <f>IF(Inputs!$E$48="immediate",AB329,IF(AB33=0,0,IF(AB33=1,SUM($G$329:AB329),AB329)))</f>
        <v>0</v>
      </c>
      <c r="AC330" s="19">
        <f>IF(Inputs!$E$48="immediate",AC329,IF(AC33=0,0,IF(AC33=1,SUM($G$329:AC329),AC329)))</f>
        <v>0</v>
      </c>
      <c r="AD330" s="19">
        <f>IF(Inputs!$E$48="immediate",AD329,IF(AD33=0,0,IF(AD33=1,SUM($G$329:AD329),AD329)))</f>
        <v>0</v>
      </c>
      <c r="AE330" s="19">
        <f>IF(Inputs!$E$48="immediate",AE329,IF(AE33=0,0,IF(AE33=1,SUM($G$329:AE329),AE329)))</f>
        <v>0</v>
      </c>
      <c r="AF330" s="19">
        <f>IF(Inputs!$E$48="immediate",AF329,IF(AF33=0,0,IF(AF33=1,SUM($G$329:AF329),AF329)))</f>
        <v>0</v>
      </c>
      <c r="AG330" s="19">
        <f>IF(Inputs!$E$48="immediate",AG329,IF(AG33=0,0,IF(AG33=1,SUM($G$329:AG329),AG329)))</f>
        <v>0</v>
      </c>
      <c r="AH330" s="19">
        <f>IF(Inputs!$E$48="immediate",AH329,IF(AH33=0,0,IF(AH33=1,SUM($G$329:AH329),AH329)))</f>
        <v>0</v>
      </c>
      <c r="AI330" s="19">
        <f>IF(Inputs!$E$48="immediate",AI329,IF(AI33=0,0,IF(AI33=1,SUM($G$329:AI329),AI329)))</f>
        <v>0</v>
      </c>
      <c r="AJ330" s="19">
        <f>IF(Inputs!$E$48="immediate",AJ329,IF(AJ33=0,0,IF(AJ33=1,SUM($G$329:AJ329),AJ329)))</f>
        <v>0</v>
      </c>
      <c r="AK330" s="19">
        <f>IF(Inputs!$E$48="immediate",AK329,IF(AK33=0,0,IF(AK33=1,SUM($G$329:AK329),AK329)))</f>
        <v>0</v>
      </c>
      <c r="AL330" s="19">
        <f>IF(Inputs!$E$48="immediate",AL329,IF(AL33=0,0,IF(AL33=1,SUM($G$329:AL329),AL329)))</f>
        <v>0</v>
      </c>
      <c r="AM330" s="19">
        <f>IF(Inputs!$E$48="immediate",AM329,IF(AM33=0,0,IF(AM33=1,SUM($G$329:AM329),AM329)))</f>
        <v>0</v>
      </c>
      <c r="AN330" s="19">
        <f>IF(Inputs!$E$48="immediate",AN329,IF(AN33=0,0,IF(AN33=1,SUM($G$329:AN329),AN329)))</f>
        <v>0</v>
      </c>
      <c r="AO330" s="19">
        <f>IF(Inputs!$E$48="immediate",AO329,IF(AO33=0,0,IF(AO33=1,SUM($G$329:AO329),AO329)))</f>
        <v>0</v>
      </c>
      <c r="AP330" s="19">
        <f>IF(Inputs!$E$48="immediate",AP329,IF(AP33=0,0,IF(AP33=1,SUM($G$329:AP329),AP329)))</f>
        <v>0</v>
      </c>
      <c r="AQ330" s="19">
        <f>IF(Inputs!$E$48="immediate",AQ329,IF(AQ33=0,0,IF(AQ33=1,SUM($G$329:AQ329),AQ329)))</f>
        <v>0</v>
      </c>
      <c r="AR330" s="19">
        <f>IF(Inputs!$E$48="immediate",AR329,IF(AR33=0,0,IF(AR33=1,SUM($G$329:AR329),AR329)))</f>
        <v>0</v>
      </c>
      <c r="AS330" s="19">
        <f>IF(Inputs!$E$48="immediate",AS329,IF(AS33=0,0,IF(AS33=1,SUM($G$329:AS329),AS329)))</f>
        <v>0</v>
      </c>
      <c r="AT330" s="19">
        <f>IF(Inputs!$E$48="immediate",AT329,IF(AT33=0,0,IF(AT33=1,SUM($G$329:AT329),AT329)))</f>
        <v>0</v>
      </c>
      <c r="AU330" s="19">
        <f>IF(Inputs!$E$48="immediate",AU329,IF(AU33=0,0,IF(AU33=1,SUM($G$329:AU329),AU329)))</f>
        <v>0</v>
      </c>
      <c r="AV330" s="19">
        <f>IF(Inputs!$E$48="immediate",AV329,IF(AV33=0,0,IF(AV33=1,SUM($G$329:AV329),AV329)))</f>
        <v>0</v>
      </c>
      <c r="AW330" s="19">
        <f>IF(Inputs!$E$48="immediate",AW329,IF(AW33=0,0,IF(AW33=1,SUM($G$329:AW329),AW329)))</f>
        <v>0</v>
      </c>
      <c r="AX330" s="19">
        <f>IF(Inputs!$E$48="immediate",AX329,IF(AX33=0,0,IF(AX33=1,SUM($G$329:AX329),AX329)))</f>
        <v>0</v>
      </c>
      <c r="AY330" s="19">
        <f>IF(Inputs!$E$48="immediate",AY329,IF(AY33=0,0,IF(AY33=1,SUM($G$329:AY329),AY329)))</f>
        <v>0</v>
      </c>
      <c r="AZ330" s="19">
        <f>IF(Inputs!$E$48="immediate",AZ329,IF(AZ33=0,0,IF(AZ33=1,SUM($G$329:AZ329),AZ329)))</f>
        <v>0</v>
      </c>
      <c r="BA330" s="19">
        <f>IF(Inputs!$E$48="immediate",BA329,IF(BA33=0,0,IF(BA33=1,SUM($G$329:BA329),BA329)))</f>
        <v>0</v>
      </c>
      <c r="BB330" s="19">
        <f>IF(Inputs!$E$48="immediate",BB329,IF(BB33=0,0,IF(BB33=1,SUM($G$329:BB329),BB329)))</f>
        <v>0</v>
      </c>
      <c r="BC330" s="19">
        <f>IF(Inputs!$E$48="immediate",BC329,IF(BC33=0,0,IF(BC33=1,SUM($G$329:BC329),BC329)))</f>
        <v>0</v>
      </c>
      <c r="BD330" s="19">
        <f>IF(Inputs!$E$48="immediate",BD329,IF(BD33=0,0,IF(BD33=1,SUM($G$329:BD329),BD329)))</f>
        <v>0</v>
      </c>
    </row>
    <row r="331" spans="2:56" ht="15" customHeight="1">
      <c r="C331" s="21"/>
    </row>
    <row r="332" spans="2:56" ht="15" customHeight="1">
      <c r="C332" s="21">
        <f t="shared" ref="C332:C343" si="143">SUM(G332:BD332)</f>
        <v>477.57481199999995</v>
      </c>
      <c r="D332" s="22" t="s">
        <v>485</v>
      </c>
      <c r="E332" s="18" t="s">
        <v>333</v>
      </c>
      <c r="G332" s="19">
        <f>IF($E$324 = 2, G54, IF(SUM($G$33:G33) = 0, 0, G54)) * (1 + Inputs!$E$52)</f>
        <v>0</v>
      </c>
      <c r="H332" s="19">
        <f>IF($E$324 = 2, H54, IF(SUM($G$33:H33) = 0, 0, H54)) * (1 + Inputs!$E$52)</f>
        <v>0</v>
      </c>
      <c r="I332" s="19">
        <f>IF($E$324 = 2, I54, IF(SUM($G$33:I33) = 0, 0, I54)) * (1 + Inputs!$E$52)</f>
        <v>78.03</v>
      </c>
      <c r="J332" s="19">
        <f>IF($E$324 = 2, J54, IF(SUM($G$33:J33) = 0, 0, J54)) * (1 + Inputs!$E$52)</f>
        <v>318.36239999999998</v>
      </c>
      <c r="K332" s="19">
        <f>IF($E$324 = 2, K54, IF(SUM($G$33:K33) = 0, 0, K54)) * (1 + Inputs!$E$52)</f>
        <v>81.182411999999999</v>
      </c>
      <c r="L332" s="19">
        <f>IF($E$324 = 2, L54, IF(SUM($G$33:L33) = 0, 0, L54)) * (1 + Inputs!$E$52)</f>
        <v>0</v>
      </c>
      <c r="M332" s="19">
        <f>IF($E$324 = 2, M54, IF(SUM($G$33:M33) = 0, 0, M54)) * (1 + Inputs!$E$52)</f>
        <v>0</v>
      </c>
      <c r="N332" s="19">
        <f>IF($E$324 = 2, N54, IF(SUM($G$33:N33) = 0, 0, N54)) * (1 + Inputs!$E$52)</f>
        <v>0</v>
      </c>
      <c r="O332" s="19">
        <f>IF($E$324 = 2, O54, IF(SUM($G$33:O33) = 0, 0, O54)) * (1 + Inputs!$E$52)</f>
        <v>0</v>
      </c>
      <c r="P332" s="19">
        <f>IF($E$324 = 2, P54, IF(SUM($G$33:P33) = 0, 0, P54)) * (1 + Inputs!$E$52)</f>
        <v>0</v>
      </c>
      <c r="Q332" s="19">
        <f>IF($E$324 = 2, Q54, IF(SUM($G$33:Q33) = 0, 0, Q54)) * (1 + Inputs!$E$52)</f>
        <v>0</v>
      </c>
      <c r="R332" s="19">
        <f>IF($E$324 = 2, R54, IF(SUM($G$33:R33) = 0, 0, R54)) * (1 + Inputs!$E$52)</f>
        <v>0</v>
      </c>
      <c r="S332" s="19">
        <f>IF($E$324 = 2, S54, IF(SUM($G$33:S33) = 0, 0, S54)) * (1 + Inputs!$E$52)</f>
        <v>0</v>
      </c>
      <c r="T332" s="19">
        <f>IF($E$324 = 2, T54, IF(SUM($G$33:T33) = 0, 0, T54)) * (1 + Inputs!$E$52)</f>
        <v>0</v>
      </c>
      <c r="U332" s="19">
        <f>IF($E$324 = 2, U54, IF(SUM($G$33:U33) = 0, 0, U54)) * (1 + Inputs!$E$52)</f>
        <v>0</v>
      </c>
      <c r="V332" s="19">
        <f>IF($E$324 = 2, V54, IF(SUM($G$33:V33) = 0, 0, V54)) * (1 + Inputs!$E$52)</f>
        <v>0</v>
      </c>
      <c r="W332" s="19">
        <f>IF($E$324 = 2, W54, IF(SUM($G$33:W33) = 0, 0, W54)) * (1 + Inputs!$E$52)</f>
        <v>0</v>
      </c>
      <c r="X332" s="19">
        <f>IF($E$324 = 2, X54, IF(SUM($G$33:X33) = 0, 0, X54)) * (1 + Inputs!$E$52)</f>
        <v>0</v>
      </c>
      <c r="Y332" s="19">
        <f>IF($E$324 = 2, Y54, IF(SUM($G$33:Y33) = 0, 0, Y54)) * (1 + Inputs!$E$52)</f>
        <v>0</v>
      </c>
      <c r="Z332" s="19">
        <f>IF($E$324 = 2, Z54, IF(SUM($G$33:Z33) = 0, 0, Z54)) * (1 + Inputs!$E$52)</f>
        <v>0</v>
      </c>
      <c r="AA332" s="19">
        <f>IF($E$324 = 2, AA54, IF(SUM($G$33:AA33) = 0, 0, AA54)) * (1 + Inputs!$E$52)</f>
        <v>0</v>
      </c>
      <c r="AB332" s="19">
        <f>IF($E$324 = 2, AB54, IF(SUM($G$33:AB33) = 0, 0, AB54)) * (1 + Inputs!$E$52)</f>
        <v>0</v>
      </c>
      <c r="AC332" s="19">
        <f>IF($E$324 = 2, AC54, IF(SUM($G$33:AC33) = 0, 0, AC54)) * (1 + Inputs!$E$52)</f>
        <v>0</v>
      </c>
      <c r="AD332" s="19">
        <f>IF($E$324 = 2, AD54, IF(SUM($G$33:AD33) = 0, 0, AD54)) * (1 + Inputs!$E$52)</f>
        <v>0</v>
      </c>
      <c r="AE332" s="19">
        <f>IF($E$324 = 2, AE54, IF(SUM($G$33:AE33) = 0, 0, AE54)) * (1 + Inputs!$E$52)</f>
        <v>0</v>
      </c>
      <c r="AF332" s="19">
        <f>IF($E$324 = 2, AF54, IF(SUM($G$33:AF33) = 0, 0, AF54)) * (1 + Inputs!$E$52)</f>
        <v>0</v>
      </c>
      <c r="AG332" s="19">
        <f>IF($E$324 = 2, AG54, IF(SUM($G$33:AG33) = 0, 0, AG54)) * (1 + Inputs!$E$52)</f>
        <v>0</v>
      </c>
      <c r="AH332" s="19">
        <f>IF($E$324 = 2, AH54, IF(SUM($G$33:AH33) = 0, 0, AH54)) * (1 + Inputs!$E$52)</f>
        <v>0</v>
      </c>
      <c r="AI332" s="19">
        <f>IF($E$324 = 2, AI54, IF(SUM($G$33:AI33) = 0, 0, AI54)) * (1 + Inputs!$E$52)</f>
        <v>0</v>
      </c>
      <c r="AJ332" s="19">
        <f>IF($E$324 = 2, AJ54, IF(SUM($G$33:AJ33) = 0, 0, AJ54)) * (1 + Inputs!$E$52)</f>
        <v>0</v>
      </c>
      <c r="AK332" s="19">
        <f>IF($E$324 = 2, AK54, IF(SUM($G$33:AK33) = 0, 0, AK54)) * (1 + Inputs!$E$52)</f>
        <v>0</v>
      </c>
      <c r="AL332" s="19">
        <f>IF($E$324 = 2, AL54, IF(SUM($G$33:AL33) = 0, 0, AL54)) * (1 + Inputs!$E$52)</f>
        <v>0</v>
      </c>
      <c r="AM332" s="19">
        <f>IF($E$324 = 2, AM54, IF(SUM($G$33:AM33) = 0, 0, AM54)) * (1 + Inputs!$E$52)</f>
        <v>0</v>
      </c>
      <c r="AN332" s="19">
        <f>IF($E$324 = 2, AN54, IF(SUM($G$33:AN33) = 0, 0, AN54)) * (1 + Inputs!$E$52)</f>
        <v>0</v>
      </c>
      <c r="AO332" s="19">
        <f>IF($E$324 = 2, AO54, IF(SUM($G$33:AO33) = 0, 0, AO54)) * (1 + Inputs!$E$52)</f>
        <v>0</v>
      </c>
      <c r="AP332" s="19">
        <f>IF($E$324 = 2, AP54, IF(SUM($G$33:AP33) = 0, 0, AP54)) * (1 + Inputs!$E$52)</f>
        <v>0</v>
      </c>
      <c r="AQ332" s="19">
        <f>IF($E$324 = 2, AQ54, IF(SUM($G$33:AQ33) = 0, 0, AQ54)) * (1 + Inputs!$E$52)</f>
        <v>0</v>
      </c>
      <c r="AR332" s="19">
        <f>IF($E$324 = 2, AR54, IF(SUM($G$33:AR33) = 0, 0, AR54)) * (1 + Inputs!$E$52)</f>
        <v>0</v>
      </c>
      <c r="AS332" s="19">
        <f>IF($E$324 = 2, AS54, IF(SUM($G$33:AS33) = 0, 0, AS54)) * (1 + Inputs!$E$52)</f>
        <v>0</v>
      </c>
      <c r="AT332" s="19">
        <f>IF($E$324 = 2, AT54, IF(SUM($G$33:AT33) = 0, 0, AT54)) * (1 + Inputs!$E$52)</f>
        <v>0</v>
      </c>
      <c r="AU332" s="19">
        <f>IF($E$324 = 2, AU54, IF(SUM($G$33:AU33) = 0, 0, AU54)) * (1 + Inputs!$E$52)</f>
        <v>0</v>
      </c>
      <c r="AV332" s="19">
        <f>IF($E$324 = 2, AV54, IF(SUM($G$33:AV33) = 0, 0, AV54)) * (1 + Inputs!$E$52)</f>
        <v>0</v>
      </c>
      <c r="AW332" s="19">
        <f>IF($E$324 = 2, AW54, IF(SUM($G$33:AW33) = 0, 0, AW54)) * (1 + Inputs!$E$52)</f>
        <v>0</v>
      </c>
      <c r="AX332" s="19">
        <f>IF($E$324 = 2, AX54, IF(SUM($G$33:AX33) = 0, 0, AX54)) * (1 + Inputs!$E$52)</f>
        <v>0</v>
      </c>
      <c r="AY332" s="19">
        <f>IF($E$324 = 2, AY54, IF(SUM($G$33:AY33) = 0, 0, AY54)) * (1 + Inputs!$E$52)</f>
        <v>0</v>
      </c>
      <c r="AZ332" s="19">
        <f>IF($E$324 = 2, AZ54, IF(SUM($G$33:AZ33) = 0, 0, AZ54)) * (1 + Inputs!$E$52)</f>
        <v>0</v>
      </c>
      <c r="BA332" s="19">
        <f>IF($E$324 = 2, BA54, IF(SUM($G$33:BA33) = 0, 0, BA54)) * (1 + Inputs!$E$52)</f>
        <v>0</v>
      </c>
      <c r="BB332" s="19">
        <f>IF($E$324 = 2, BB54, IF(SUM($G$33:BB33) = 0, 0, BB54)) * (1 + Inputs!$E$52)</f>
        <v>0</v>
      </c>
      <c r="BC332" s="19">
        <f>IF($E$324 = 2, BC54, IF(SUM($G$33:BC33) = 0, 0, BC54)) * (1 + Inputs!$E$52)</f>
        <v>0</v>
      </c>
      <c r="BD332" s="19">
        <f>IF($E$324 = 2, BD54, IF(SUM($G$33:BD33) = 0, 0, BD54)) * (1 + Inputs!$E$52)</f>
        <v>0</v>
      </c>
    </row>
    <row r="333" spans="2:56" ht="15" customHeight="1">
      <c r="C333" s="21">
        <f t="shared" si="143"/>
        <v>477.57481199999995</v>
      </c>
      <c r="D333" s="22" t="str">
        <f>"Development costs - tangibles ("&amp;Inputs!$E$49&amp;")"</f>
        <v>Development costs - tangibles (deferred)</v>
      </c>
      <c r="E333" s="18" t="s">
        <v>333</v>
      </c>
      <c r="G333" s="19">
        <f>IF(Inputs!$E$49="immediate",G332,IF(G33=0,0,IF(G33=1,SUM($G$332:G332),G332)))</f>
        <v>0</v>
      </c>
      <c r="H333" s="19">
        <f>IF(Inputs!$E$49="immediate",H332,IF(H33=0,0,IF(H33=1,SUM($G$332:H332),H332)))</f>
        <v>0</v>
      </c>
      <c r="I333" s="19">
        <f>IF(Inputs!$E$49="immediate",I332,IF(I33=0,0,IF(I33=1,SUM($G$332:I332),I332)))</f>
        <v>0</v>
      </c>
      <c r="J333" s="19">
        <f>IF(Inputs!$E$49="immediate",J332,IF(J33=0,0,IF(J33=1,SUM($G$332:J332),J332)))</f>
        <v>0</v>
      </c>
      <c r="K333" s="19">
        <f>IF(Inputs!$E$49="immediate",K332,IF(K33=0,0,IF(K33=1,SUM($G$332:K332),K332)))</f>
        <v>477.57481199999995</v>
      </c>
      <c r="L333" s="19">
        <f>IF(Inputs!$E$49="immediate",L332,IF(L33=0,0,IF(L33=1,SUM($G$332:L332),L332)))</f>
        <v>0</v>
      </c>
      <c r="M333" s="19">
        <f>IF(Inputs!$E$49="immediate",M332,IF(M33=0,0,IF(M33=1,SUM($G$332:M332),M332)))</f>
        <v>0</v>
      </c>
      <c r="N333" s="19">
        <f>IF(Inputs!$E$49="immediate",N332,IF(N33=0,0,IF(N33=1,SUM($G$332:N332),N332)))</f>
        <v>0</v>
      </c>
      <c r="O333" s="19">
        <f>IF(Inputs!$E$49="immediate",O332,IF(O33=0,0,IF(O33=1,SUM($G$332:O332),O332)))</f>
        <v>0</v>
      </c>
      <c r="P333" s="19">
        <f>IF(Inputs!$E$49="immediate",P332,IF(P33=0,0,IF(P33=1,SUM($G$332:P332),P332)))</f>
        <v>0</v>
      </c>
      <c r="Q333" s="19">
        <f>IF(Inputs!$E$49="immediate",Q332,IF(Q33=0,0,IF(Q33=1,SUM($G$332:Q332),Q332)))</f>
        <v>0</v>
      </c>
      <c r="R333" s="19">
        <f>IF(Inputs!$E$49="immediate",R332,IF(R33=0,0,IF(R33=1,SUM($G$332:R332),R332)))</f>
        <v>0</v>
      </c>
      <c r="S333" s="19">
        <f>IF(Inputs!$E$49="immediate",S332,IF(S33=0,0,IF(S33=1,SUM($G$332:S332),S332)))</f>
        <v>0</v>
      </c>
      <c r="T333" s="19">
        <f>IF(Inputs!$E$49="immediate",T332,IF(T33=0,0,IF(T33=1,SUM($G$332:T332),T332)))</f>
        <v>0</v>
      </c>
      <c r="U333" s="19">
        <f>IF(Inputs!$E$49="immediate",U332,IF(U33=0,0,IF(U33=1,SUM($G$332:U332),U332)))</f>
        <v>0</v>
      </c>
      <c r="V333" s="19">
        <f>IF(Inputs!$E$49="immediate",V332,IF(V33=0,0,IF(V33=1,SUM($G$332:V332),V332)))</f>
        <v>0</v>
      </c>
      <c r="W333" s="19">
        <f>IF(Inputs!$E$49="immediate",W332,IF(W33=0,0,IF(W33=1,SUM($G$332:W332),W332)))</f>
        <v>0</v>
      </c>
      <c r="X333" s="19">
        <f>IF(Inputs!$E$49="immediate",X332,IF(X33=0,0,IF(X33=1,SUM($G$332:X332),X332)))</f>
        <v>0</v>
      </c>
      <c r="Y333" s="19">
        <f>IF(Inputs!$E$49="immediate",Y332,IF(Y33=0,0,IF(Y33=1,SUM($G$332:Y332),Y332)))</f>
        <v>0</v>
      </c>
      <c r="Z333" s="19">
        <f>IF(Inputs!$E$49="immediate",Z332,IF(Z33=0,0,IF(Z33=1,SUM($G$332:Z332),Z332)))</f>
        <v>0</v>
      </c>
      <c r="AA333" s="19">
        <f>IF(Inputs!$E$49="immediate",AA332,IF(AA33=0,0,IF(AA33=1,SUM($G$332:AA332),AA332)))</f>
        <v>0</v>
      </c>
      <c r="AB333" s="19">
        <f>IF(Inputs!$E$49="immediate",AB332,IF(AB33=0,0,IF(AB33=1,SUM($G$332:AB332),AB332)))</f>
        <v>0</v>
      </c>
      <c r="AC333" s="19">
        <f>IF(Inputs!$E$49="immediate",AC332,IF(AC33=0,0,IF(AC33=1,SUM($G$332:AC332),AC332)))</f>
        <v>0</v>
      </c>
      <c r="AD333" s="19">
        <f>IF(Inputs!$E$49="immediate",AD332,IF(AD33=0,0,IF(AD33=1,SUM($G$332:AD332),AD332)))</f>
        <v>0</v>
      </c>
      <c r="AE333" s="19">
        <f>IF(Inputs!$E$49="immediate",AE332,IF(AE33=0,0,IF(AE33=1,SUM($G$332:AE332),AE332)))</f>
        <v>0</v>
      </c>
      <c r="AF333" s="19">
        <f>IF(Inputs!$E$49="immediate",AF332,IF(AF33=0,0,IF(AF33=1,SUM($G$332:AF332),AF332)))</f>
        <v>0</v>
      </c>
      <c r="AG333" s="19">
        <f>IF(Inputs!$E$49="immediate",AG332,IF(AG33=0,0,IF(AG33=1,SUM($G$332:AG332),AG332)))</f>
        <v>0</v>
      </c>
      <c r="AH333" s="19">
        <f>IF(Inputs!$E$49="immediate",AH332,IF(AH33=0,0,IF(AH33=1,SUM($G$332:AH332),AH332)))</f>
        <v>0</v>
      </c>
      <c r="AI333" s="19">
        <f>IF(Inputs!$E$49="immediate",AI332,IF(AI33=0,0,IF(AI33=1,SUM($G$332:AI332),AI332)))</f>
        <v>0</v>
      </c>
      <c r="AJ333" s="19">
        <f>IF(Inputs!$E$49="immediate",AJ332,IF(AJ33=0,0,IF(AJ33=1,SUM($G$332:AJ332),AJ332)))</f>
        <v>0</v>
      </c>
      <c r="AK333" s="19">
        <f>IF(Inputs!$E$49="immediate",AK332,IF(AK33=0,0,IF(AK33=1,SUM($G$332:AK332),AK332)))</f>
        <v>0</v>
      </c>
      <c r="AL333" s="19">
        <f>IF(Inputs!$E$49="immediate",AL332,IF(AL33=0,0,IF(AL33=1,SUM($G$332:AL332),AL332)))</f>
        <v>0</v>
      </c>
      <c r="AM333" s="19">
        <f>IF(Inputs!$E$49="immediate",AM332,IF(AM33=0,0,IF(AM33=1,SUM($G$332:AM332),AM332)))</f>
        <v>0</v>
      </c>
      <c r="AN333" s="19">
        <f>IF(Inputs!$E$49="immediate",AN332,IF(AN33=0,0,IF(AN33=1,SUM($G$332:AN332),AN332)))</f>
        <v>0</v>
      </c>
      <c r="AO333" s="19">
        <f>IF(Inputs!$E$49="immediate",AO332,IF(AO33=0,0,IF(AO33=1,SUM($G$332:AO332),AO332)))</f>
        <v>0</v>
      </c>
      <c r="AP333" s="19">
        <f>IF(Inputs!$E$49="immediate",AP332,IF(AP33=0,0,IF(AP33=1,SUM($G$332:AP332),AP332)))</f>
        <v>0</v>
      </c>
      <c r="AQ333" s="19">
        <f>IF(Inputs!$E$49="immediate",AQ332,IF(AQ33=0,0,IF(AQ33=1,SUM($G$332:AQ332),AQ332)))</f>
        <v>0</v>
      </c>
      <c r="AR333" s="19">
        <f>IF(Inputs!$E$49="immediate",AR332,IF(AR33=0,0,IF(AR33=1,SUM($G$332:AR332),AR332)))</f>
        <v>0</v>
      </c>
      <c r="AS333" s="19">
        <f>IF(Inputs!$E$49="immediate",AS332,IF(AS33=0,0,IF(AS33=1,SUM($G$332:AS332),AS332)))</f>
        <v>0</v>
      </c>
      <c r="AT333" s="19">
        <f>IF(Inputs!$E$49="immediate",AT332,IF(AT33=0,0,IF(AT33=1,SUM($G$332:AT332),AT332)))</f>
        <v>0</v>
      </c>
      <c r="AU333" s="19">
        <f>IF(Inputs!$E$49="immediate",AU332,IF(AU33=0,0,IF(AU33=1,SUM($G$332:AU332),AU332)))</f>
        <v>0</v>
      </c>
      <c r="AV333" s="19">
        <f>IF(Inputs!$E$49="immediate",AV332,IF(AV33=0,0,IF(AV33=1,SUM($G$332:AV332),AV332)))</f>
        <v>0</v>
      </c>
      <c r="AW333" s="19">
        <f>IF(Inputs!$E$49="immediate",AW332,IF(AW33=0,0,IF(AW33=1,SUM($G$332:AW332),AW332)))</f>
        <v>0</v>
      </c>
      <c r="AX333" s="19">
        <f>IF(Inputs!$E$49="immediate",AX332,IF(AX33=0,0,IF(AX33=1,SUM($G$332:AX332),AX332)))</f>
        <v>0</v>
      </c>
      <c r="AY333" s="19">
        <f>IF(Inputs!$E$49="immediate",AY332,IF(AY33=0,0,IF(AY33=1,SUM($G$332:AY332),AY332)))</f>
        <v>0</v>
      </c>
      <c r="AZ333" s="19">
        <f>IF(Inputs!$E$49="immediate",AZ332,IF(AZ33=0,0,IF(AZ33=1,SUM($G$332:AZ332),AZ332)))</f>
        <v>0</v>
      </c>
      <c r="BA333" s="19">
        <f>IF(Inputs!$E$49="immediate",BA332,IF(BA33=0,0,IF(BA33=1,SUM($G$332:BA332),BA332)))</f>
        <v>0</v>
      </c>
      <c r="BB333" s="19">
        <f>IF(Inputs!$E$49="immediate",BB332,IF(BB33=0,0,IF(BB33=1,SUM($G$332:BB332),BB332)))</f>
        <v>0</v>
      </c>
      <c r="BC333" s="19">
        <f>IF(Inputs!$E$49="immediate",BC332,IF(BC33=0,0,IF(BC33=1,SUM($G$332:BC332),BC332)))</f>
        <v>0</v>
      </c>
      <c r="BD333" s="19">
        <f>IF(Inputs!$E$49="immediate",BD332,IF(BD33=0,0,IF(BD33=1,SUM($G$332:BD332),BD332)))</f>
        <v>0</v>
      </c>
    </row>
    <row r="334" spans="2:56" ht="15" customHeight="1">
      <c r="B334" s="39">
        <f>IF(Inputs!$E$51=1,Inputs!E106,IF(Inputs!$E$50=0,0,1/Inputs!$E$50))</f>
        <v>0.2</v>
      </c>
      <c r="C334" s="21">
        <f t="shared" si="143"/>
        <v>95.514962400000002</v>
      </c>
      <c r="D334" s="40" t="s">
        <v>212</v>
      </c>
      <c r="E334" s="18" t="s">
        <v>333</v>
      </c>
      <c r="G334" s="65">
        <f t="shared" ref="G334:AL334" si="144">G$333*$B334</f>
        <v>0</v>
      </c>
      <c r="H334" s="65">
        <f t="shared" si="144"/>
        <v>0</v>
      </c>
      <c r="I334" s="65">
        <f t="shared" si="144"/>
        <v>0</v>
      </c>
      <c r="J334" s="65">
        <f t="shared" si="144"/>
        <v>0</v>
      </c>
      <c r="K334" s="65">
        <f t="shared" si="144"/>
        <v>95.514962400000002</v>
      </c>
      <c r="L334" s="65">
        <f t="shared" si="144"/>
        <v>0</v>
      </c>
      <c r="M334" s="65">
        <f t="shared" si="144"/>
        <v>0</v>
      </c>
      <c r="N334" s="65">
        <f t="shared" si="144"/>
        <v>0</v>
      </c>
      <c r="O334" s="65">
        <f t="shared" si="144"/>
        <v>0</v>
      </c>
      <c r="P334" s="65">
        <f t="shared" si="144"/>
        <v>0</v>
      </c>
      <c r="Q334" s="65">
        <f t="shared" si="144"/>
        <v>0</v>
      </c>
      <c r="R334" s="65">
        <f t="shared" si="144"/>
        <v>0</v>
      </c>
      <c r="S334" s="65">
        <f t="shared" si="144"/>
        <v>0</v>
      </c>
      <c r="T334" s="65">
        <f t="shared" si="144"/>
        <v>0</v>
      </c>
      <c r="U334" s="65">
        <f t="shared" si="144"/>
        <v>0</v>
      </c>
      <c r="V334" s="65">
        <f t="shared" si="144"/>
        <v>0</v>
      </c>
      <c r="W334" s="65">
        <f t="shared" si="144"/>
        <v>0</v>
      </c>
      <c r="X334" s="65">
        <f t="shared" si="144"/>
        <v>0</v>
      </c>
      <c r="Y334" s="65">
        <f t="shared" si="144"/>
        <v>0</v>
      </c>
      <c r="Z334" s="65">
        <f t="shared" si="144"/>
        <v>0</v>
      </c>
      <c r="AA334" s="65">
        <f t="shared" si="144"/>
        <v>0</v>
      </c>
      <c r="AB334" s="65">
        <f t="shared" si="144"/>
        <v>0</v>
      </c>
      <c r="AC334" s="65">
        <f t="shared" si="144"/>
        <v>0</v>
      </c>
      <c r="AD334" s="65">
        <f t="shared" si="144"/>
        <v>0</v>
      </c>
      <c r="AE334" s="65">
        <f t="shared" si="144"/>
        <v>0</v>
      </c>
      <c r="AF334" s="65">
        <f t="shared" si="144"/>
        <v>0</v>
      </c>
      <c r="AG334" s="65">
        <f t="shared" si="144"/>
        <v>0</v>
      </c>
      <c r="AH334" s="65">
        <f t="shared" si="144"/>
        <v>0</v>
      </c>
      <c r="AI334" s="65">
        <f t="shared" si="144"/>
        <v>0</v>
      </c>
      <c r="AJ334" s="65">
        <f t="shared" si="144"/>
        <v>0</v>
      </c>
      <c r="AK334" s="65">
        <f t="shared" si="144"/>
        <v>0</v>
      </c>
      <c r="AL334" s="65">
        <f t="shared" si="144"/>
        <v>0</v>
      </c>
      <c r="AM334" s="65">
        <f t="shared" ref="AM334:BD334" si="145">AM$333*$B334</f>
        <v>0</v>
      </c>
      <c r="AN334" s="65">
        <f t="shared" si="145"/>
        <v>0</v>
      </c>
      <c r="AO334" s="65">
        <f t="shared" si="145"/>
        <v>0</v>
      </c>
      <c r="AP334" s="65">
        <f t="shared" si="145"/>
        <v>0</v>
      </c>
      <c r="AQ334" s="65">
        <f t="shared" si="145"/>
        <v>0</v>
      </c>
      <c r="AR334" s="65">
        <f t="shared" si="145"/>
        <v>0</v>
      </c>
      <c r="AS334" s="65">
        <f t="shared" si="145"/>
        <v>0</v>
      </c>
      <c r="AT334" s="65">
        <f t="shared" si="145"/>
        <v>0</v>
      </c>
      <c r="AU334" s="65">
        <f t="shared" si="145"/>
        <v>0</v>
      </c>
      <c r="AV334" s="65">
        <f t="shared" si="145"/>
        <v>0</v>
      </c>
      <c r="AW334" s="65">
        <f t="shared" si="145"/>
        <v>0</v>
      </c>
      <c r="AX334" s="65">
        <f t="shared" si="145"/>
        <v>0</v>
      </c>
      <c r="AY334" s="65">
        <f t="shared" si="145"/>
        <v>0</v>
      </c>
      <c r="AZ334" s="65">
        <f t="shared" si="145"/>
        <v>0</v>
      </c>
      <c r="BA334" s="65">
        <f t="shared" si="145"/>
        <v>0</v>
      </c>
      <c r="BB334" s="65">
        <f t="shared" si="145"/>
        <v>0</v>
      </c>
      <c r="BC334" s="65">
        <f t="shared" si="145"/>
        <v>0</v>
      </c>
      <c r="BD334" s="65">
        <f t="shared" si="145"/>
        <v>0</v>
      </c>
    </row>
    <row r="335" spans="2:56" ht="15" customHeight="1">
      <c r="B335" s="39">
        <f>IF(Inputs!$E$51=1,Inputs!E107,IF(Inputs!$E$50=0,0,MIN(1/Inputs!$E$50,1-SUM($B$334:B334))))</f>
        <v>0.2</v>
      </c>
      <c r="C335" s="21">
        <f t="shared" si="143"/>
        <v>95.514962400000002</v>
      </c>
      <c r="D335" s="40" t="s">
        <v>213</v>
      </c>
      <c r="E335" s="18" t="s">
        <v>333</v>
      </c>
      <c r="G335" s="1"/>
      <c r="H335" s="65">
        <f t="shared" ref="H335:AM335" si="146">G$333*$B335</f>
        <v>0</v>
      </c>
      <c r="I335" s="65">
        <f t="shared" si="146"/>
        <v>0</v>
      </c>
      <c r="J335" s="65">
        <f t="shared" si="146"/>
        <v>0</v>
      </c>
      <c r="K335" s="65">
        <f t="shared" si="146"/>
        <v>0</v>
      </c>
      <c r="L335" s="65">
        <f t="shared" si="146"/>
        <v>95.514962400000002</v>
      </c>
      <c r="M335" s="65">
        <f t="shared" si="146"/>
        <v>0</v>
      </c>
      <c r="N335" s="65">
        <f t="shared" si="146"/>
        <v>0</v>
      </c>
      <c r="O335" s="65">
        <f t="shared" si="146"/>
        <v>0</v>
      </c>
      <c r="P335" s="65">
        <f t="shared" si="146"/>
        <v>0</v>
      </c>
      <c r="Q335" s="65">
        <f t="shared" si="146"/>
        <v>0</v>
      </c>
      <c r="R335" s="65">
        <f t="shared" si="146"/>
        <v>0</v>
      </c>
      <c r="S335" s="65">
        <f t="shared" si="146"/>
        <v>0</v>
      </c>
      <c r="T335" s="65">
        <f t="shared" si="146"/>
        <v>0</v>
      </c>
      <c r="U335" s="65">
        <f t="shared" si="146"/>
        <v>0</v>
      </c>
      <c r="V335" s="65">
        <f t="shared" si="146"/>
        <v>0</v>
      </c>
      <c r="W335" s="65">
        <f t="shared" si="146"/>
        <v>0</v>
      </c>
      <c r="X335" s="65">
        <f t="shared" si="146"/>
        <v>0</v>
      </c>
      <c r="Y335" s="65">
        <f t="shared" si="146"/>
        <v>0</v>
      </c>
      <c r="Z335" s="65">
        <f t="shared" si="146"/>
        <v>0</v>
      </c>
      <c r="AA335" s="65">
        <f t="shared" si="146"/>
        <v>0</v>
      </c>
      <c r="AB335" s="65">
        <f t="shared" si="146"/>
        <v>0</v>
      </c>
      <c r="AC335" s="65">
        <f t="shared" si="146"/>
        <v>0</v>
      </c>
      <c r="AD335" s="65">
        <f t="shared" si="146"/>
        <v>0</v>
      </c>
      <c r="AE335" s="65">
        <f t="shared" si="146"/>
        <v>0</v>
      </c>
      <c r="AF335" s="65">
        <f t="shared" si="146"/>
        <v>0</v>
      </c>
      <c r="AG335" s="65">
        <f t="shared" si="146"/>
        <v>0</v>
      </c>
      <c r="AH335" s="65">
        <f t="shared" si="146"/>
        <v>0</v>
      </c>
      <c r="AI335" s="65">
        <f t="shared" si="146"/>
        <v>0</v>
      </c>
      <c r="AJ335" s="65">
        <f t="shared" si="146"/>
        <v>0</v>
      </c>
      <c r="AK335" s="65">
        <f t="shared" si="146"/>
        <v>0</v>
      </c>
      <c r="AL335" s="65">
        <f t="shared" si="146"/>
        <v>0</v>
      </c>
      <c r="AM335" s="65">
        <f t="shared" si="146"/>
        <v>0</v>
      </c>
      <c r="AN335" s="65">
        <f t="shared" ref="AN335:BD335" si="147">AM$333*$B335</f>
        <v>0</v>
      </c>
      <c r="AO335" s="65">
        <f t="shared" si="147"/>
        <v>0</v>
      </c>
      <c r="AP335" s="65">
        <f t="shared" si="147"/>
        <v>0</v>
      </c>
      <c r="AQ335" s="65">
        <f t="shared" si="147"/>
        <v>0</v>
      </c>
      <c r="AR335" s="65">
        <f t="shared" si="147"/>
        <v>0</v>
      </c>
      <c r="AS335" s="65">
        <f t="shared" si="147"/>
        <v>0</v>
      </c>
      <c r="AT335" s="65">
        <f t="shared" si="147"/>
        <v>0</v>
      </c>
      <c r="AU335" s="65">
        <f t="shared" si="147"/>
        <v>0</v>
      </c>
      <c r="AV335" s="65">
        <f t="shared" si="147"/>
        <v>0</v>
      </c>
      <c r="AW335" s="65">
        <f t="shared" si="147"/>
        <v>0</v>
      </c>
      <c r="AX335" s="65">
        <f t="shared" si="147"/>
        <v>0</v>
      </c>
      <c r="AY335" s="65">
        <f t="shared" si="147"/>
        <v>0</v>
      </c>
      <c r="AZ335" s="65">
        <f t="shared" si="147"/>
        <v>0</v>
      </c>
      <c r="BA335" s="65">
        <f t="shared" si="147"/>
        <v>0</v>
      </c>
      <c r="BB335" s="65">
        <f t="shared" si="147"/>
        <v>0</v>
      </c>
      <c r="BC335" s="65">
        <f t="shared" si="147"/>
        <v>0</v>
      </c>
      <c r="BD335" s="65">
        <f t="shared" si="147"/>
        <v>0</v>
      </c>
    </row>
    <row r="336" spans="2:56" ht="15" customHeight="1">
      <c r="B336" s="39">
        <f>IF(Inputs!$E$51=1,Inputs!E108,IF(Inputs!$E$50=0,0,MIN(1/Inputs!$E$50,1-SUM($B$334:B335))))</f>
        <v>0.2</v>
      </c>
      <c r="C336" s="21">
        <f t="shared" si="143"/>
        <v>95.514962400000002</v>
      </c>
      <c r="D336" s="40" t="s">
        <v>214</v>
      </c>
      <c r="E336" s="18" t="s">
        <v>333</v>
      </c>
      <c r="G336" s="1"/>
      <c r="H336" s="1"/>
      <c r="I336" s="65">
        <f t="shared" ref="I336:BD336" si="148">G$333*$B336</f>
        <v>0</v>
      </c>
      <c r="J336" s="65">
        <f t="shared" si="148"/>
        <v>0</v>
      </c>
      <c r="K336" s="65">
        <f t="shared" si="148"/>
        <v>0</v>
      </c>
      <c r="L336" s="65">
        <f t="shared" si="148"/>
        <v>0</v>
      </c>
      <c r="M336" s="65">
        <f t="shared" si="148"/>
        <v>95.514962400000002</v>
      </c>
      <c r="N336" s="65">
        <f t="shared" si="148"/>
        <v>0</v>
      </c>
      <c r="O336" s="65">
        <f t="shared" si="148"/>
        <v>0</v>
      </c>
      <c r="P336" s="65">
        <f t="shared" si="148"/>
        <v>0</v>
      </c>
      <c r="Q336" s="65">
        <f t="shared" si="148"/>
        <v>0</v>
      </c>
      <c r="R336" s="65">
        <f t="shared" si="148"/>
        <v>0</v>
      </c>
      <c r="S336" s="65">
        <f t="shared" si="148"/>
        <v>0</v>
      </c>
      <c r="T336" s="65">
        <f t="shared" si="148"/>
        <v>0</v>
      </c>
      <c r="U336" s="65">
        <f t="shared" si="148"/>
        <v>0</v>
      </c>
      <c r="V336" s="65">
        <f t="shared" si="148"/>
        <v>0</v>
      </c>
      <c r="W336" s="65">
        <f t="shared" si="148"/>
        <v>0</v>
      </c>
      <c r="X336" s="65">
        <f t="shared" si="148"/>
        <v>0</v>
      </c>
      <c r="Y336" s="65">
        <f t="shared" si="148"/>
        <v>0</v>
      </c>
      <c r="Z336" s="65">
        <f t="shared" si="148"/>
        <v>0</v>
      </c>
      <c r="AA336" s="65">
        <f t="shared" si="148"/>
        <v>0</v>
      </c>
      <c r="AB336" s="65">
        <f t="shared" si="148"/>
        <v>0</v>
      </c>
      <c r="AC336" s="65">
        <f t="shared" si="148"/>
        <v>0</v>
      </c>
      <c r="AD336" s="65">
        <f t="shared" si="148"/>
        <v>0</v>
      </c>
      <c r="AE336" s="65">
        <f t="shared" si="148"/>
        <v>0</v>
      </c>
      <c r="AF336" s="65">
        <f t="shared" si="148"/>
        <v>0</v>
      </c>
      <c r="AG336" s="65">
        <f t="shared" si="148"/>
        <v>0</v>
      </c>
      <c r="AH336" s="65">
        <f t="shared" si="148"/>
        <v>0</v>
      </c>
      <c r="AI336" s="65">
        <f t="shared" si="148"/>
        <v>0</v>
      </c>
      <c r="AJ336" s="65">
        <f t="shared" si="148"/>
        <v>0</v>
      </c>
      <c r="AK336" s="65">
        <f t="shared" si="148"/>
        <v>0</v>
      </c>
      <c r="AL336" s="65">
        <f t="shared" si="148"/>
        <v>0</v>
      </c>
      <c r="AM336" s="65">
        <f t="shared" si="148"/>
        <v>0</v>
      </c>
      <c r="AN336" s="65">
        <f t="shared" si="148"/>
        <v>0</v>
      </c>
      <c r="AO336" s="65">
        <f t="shared" si="148"/>
        <v>0</v>
      </c>
      <c r="AP336" s="65">
        <f t="shared" si="148"/>
        <v>0</v>
      </c>
      <c r="AQ336" s="65">
        <f t="shared" si="148"/>
        <v>0</v>
      </c>
      <c r="AR336" s="65">
        <f t="shared" si="148"/>
        <v>0</v>
      </c>
      <c r="AS336" s="65">
        <f t="shared" si="148"/>
        <v>0</v>
      </c>
      <c r="AT336" s="65">
        <f t="shared" si="148"/>
        <v>0</v>
      </c>
      <c r="AU336" s="65">
        <f t="shared" si="148"/>
        <v>0</v>
      </c>
      <c r="AV336" s="65">
        <f t="shared" si="148"/>
        <v>0</v>
      </c>
      <c r="AW336" s="65">
        <f t="shared" si="148"/>
        <v>0</v>
      </c>
      <c r="AX336" s="65">
        <f t="shared" si="148"/>
        <v>0</v>
      </c>
      <c r="AY336" s="65">
        <f t="shared" si="148"/>
        <v>0</v>
      </c>
      <c r="AZ336" s="65">
        <f t="shared" si="148"/>
        <v>0</v>
      </c>
      <c r="BA336" s="65">
        <f t="shared" si="148"/>
        <v>0</v>
      </c>
      <c r="BB336" s="65">
        <f t="shared" si="148"/>
        <v>0</v>
      </c>
      <c r="BC336" s="65">
        <f t="shared" si="148"/>
        <v>0</v>
      </c>
      <c r="BD336" s="65">
        <f t="shared" si="148"/>
        <v>0</v>
      </c>
    </row>
    <row r="337" spans="2:56" ht="15" customHeight="1">
      <c r="B337" s="39">
        <f>IF(Inputs!$E$51=1,Inputs!E109,IF(Inputs!$E$50=0,0,MIN(1/Inputs!$E$50,1-SUM($B$334:B336))))</f>
        <v>0.2</v>
      </c>
      <c r="C337" s="21">
        <f t="shared" si="143"/>
        <v>95.514962400000002</v>
      </c>
      <c r="D337" s="40" t="s">
        <v>215</v>
      </c>
      <c r="E337" s="18" t="s">
        <v>333</v>
      </c>
      <c r="G337" s="1"/>
      <c r="H337" s="1"/>
      <c r="I337" s="1"/>
      <c r="J337" s="65">
        <f t="shared" ref="J337:BD337" si="149">G$333*$B337</f>
        <v>0</v>
      </c>
      <c r="K337" s="65">
        <f t="shared" si="149"/>
        <v>0</v>
      </c>
      <c r="L337" s="65">
        <f t="shared" si="149"/>
        <v>0</v>
      </c>
      <c r="M337" s="65">
        <f t="shared" si="149"/>
        <v>0</v>
      </c>
      <c r="N337" s="65">
        <f t="shared" si="149"/>
        <v>95.514962400000002</v>
      </c>
      <c r="O337" s="65">
        <f t="shared" si="149"/>
        <v>0</v>
      </c>
      <c r="P337" s="65">
        <f t="shared" si="149"/>
        <v>0</v>
      </c>
      <c r="Q337" s="65">
        <f t="shared" si="149"/>
        <v>0</v>
      </c>
      <c r="R337" s="65">
        <f t="shared" si="149"/>
        <v>0</v>
      </c>
      <c r="S337" s="65">
        <f t="shared" si="149"/>
        <v>0</v>
      </c>
      <c r="T337" s="65">
        <f t="shared" si="149"/>
        <v>0</v>
      </c>
      <c r="U337" s="65">
        <f t="shared" si="149"/>
        <v>0</v>
      </c>
      <c r="V337" s="65">
        <f t="shared" si="149"/>
        <v>0</v>
      </c>
      <c r="W337" s="65">
        <f t="shared" si="149"/>
        <v>0</v>
      </c>
      <c r="X337" s="65">
        <f t="shared" si="149"/>
        <v>0</v>
      </c>
      <c r="Y337" s="65">
        <f t="shared" si="149"/>
        <v>0</v>
      </c>
      <c r="Z337" s="65">
        <f t="shared" si="149"/>
        <v>0</v>
      </c>
      <c r="AA337" s="65">
        <f t="shared" si="149"/>
        <v>0</v>
      </c>
      <c r="AB337" s="65">
        <f t="shared" si="149"/>
        <v>0</v>
      </c>
      <c r="AC337" s="65">
        <f t="shared" si="149"/>
        <v>0</v>
      </c>
      <c r="AD337" s="65">
        <f t="shared" si="149"/>
        <v>0</v>
      </c>
      <c r="AE337" s="65">
        <f t="shared" si="149"/>
        <v>0</v>
      </c>
      <c r="AF337" s="65">
        <f t="shared" si="149"/>
        <v>0</v>
      </c>
      <c r="AG337" s="65">
        <f t="shared" si="149"/>
        <v>0</v>
      </c>
      <c r="AH337" s="65">
        <f t="shared" si="149"/>
        <v>0</v>
      </c>
      <c r="AI337" s="65">
        <f t="shared" si="149"/>
        <v>0</v>
      </c>
      <c r="AJ337" s="65">
        <f t="shared" si="149"/>
        <v>0</v>
      </c>
      <c r="AK337" s="65">
        <f t="shared" si="149"/>
        <v>0</v>
      </c>
      <c r="AL337" s="65">
        <f t="shared" si="149"/>
        <v>0</v>
      </c>
      <c r="AM337" s="65">
        <f t="shared" si="149"/>
        <v>0</v>
      </c>
      <c r="AN337" s="65">
        <f t="shared" si="149"/>
        <v>0</v>
      </c>
      <c r="AO337" s="65">
        <f t="shared" si="149"/>
        <v>0</v>
      </c>
      <c r="AP337" s="65">
        <f t="shared" si="149"/>
        <v>0</v>
      </c>
      <c r="AQ337" s="65">
        <f t="shared" si="149"/>
        <v>0</v>
      </c>
      <c r="AR337" s="65">
        <f t="shared" si="149"/>
        <v>0</v>
      </c>
      <c r="AS337" s="65">
        <f t="shared" si="149"/>
        <v>0</v>
      </c>
      <c r="AT337" s="65">
        <f t="shared" si="149"/>
        <v>0</v>
      </c>
      <c r="AU337" s="65">
        <f t="shared" si="149"/>
        <v>0</v>
      </c>
      <c r="AV337" s="65">
        <f t="shared" si="149"/>
        <v>0</v>
      </c>
      <c r="AW337" s="65">
        <f t="shared" si="149"/>
        <v>0</v>
      </c>
      <c r="AX337" s="65">
        <f t="shared" si="149"/>
        <v>0</v>
      </c>
      <c r="AY337" s="65">
        <f t="shared" si="149"/>
        <v>0</v>
      </c>
      <c r="AZ337" s="65">
        <f t="shared" si="149"/>
        <v>0</v>
      </c>
      <c r="BA337" s="65">
        <f t="shared" si="149"/>
        <v>0</v>
      </c>
      <c r="BB337" s="65">
        <f t="shared" si="149"/>
        <v>0</v>
      </c>
      <c r="BC337" s="65">
        <f t="shared" si="149"/>
        <v>0</v>
      </c>
      <c r="BD337" s="65">
        <f t="shared" si="149"/>
        <v>0</v>
      </c>
    </row>
    <row r="338" spans="2:56" ht="15" customHeight="1">
      <c r="B338" s="39">
        <f>IF(Inputs!$E$51=1,Inputs!E110,IF(Inputs!$E$50=0,0,MIN(1/Inputs!$E$50,1-SUM($B$334:B337))))</f>
        <v>0.19999999999999996</v>
      </c>
      <c r="C338" s="21">
        <f t="shared" si="143"/>
        <v>95.514962399999973</v>
      </c>
      <c r="D338" s="40" t="s">
        <v>216</v>
      </c>
      <c r="E338" s="18" t="s">
        <v>333</v>
      </c>
      <c r="G338" s="1"/>
      <c r="H338" s="1"/>
      <c r="I338" s="1"/>
      <c r="J338" s="1"/>
      <c r="K338" s="65">
        <f t="shared" ref="K338:BD338" si="150">G$333*$B338</f>
        <v>0</v>
      </c>
      <c r="L338" s="65">
        <f t="shared" si="150"/>
        <v>0</v>
      </c>
      <c r="M338" s="65">
        <f t="shared" si="150"/>
        <v>0</v>
      </c>
      <c r="N338" s="65">
        <f t="shared" si="150"/>
        <v>0</v>
      </c>
      <c r="O338" s="65">
        <f t="shared" si="150"/>
        <v>95.514962399999973</v>
      </c>
      <c r="P338" s="65">
        <f t="shared" si="150"/>
        <v>0</v>
      </c>
      <c r="Q338" s="65">
        <f t="shared" si="150"/>
        <v>0</v>
      </c>
      <c r="R338" s="65">
        <f t="shared" si="150"/>
        <v>0</v>
      </c>
      <c r="S338" s="65">
        <f t="shared" si="150"/>
        <v>0</v>
      </c>
      <c r="T338" s="65">
        <f t="shared" si="150"/>
        <v>0</v>
      </c>
      <c r="U338" s="65">
        <f t="shared" si="150"/>
        <v>0</v>
      </c>
      <c r="V338" s="65">
        <f t="shared" si="150"/>
        <v>0</v>
      </c>
      <c r="W338" s="65">
        <f t="shared" si="150"/>
        <v>0</v>
      </c>
      <c r="X338" s="65">
        <f t="shared" si="150"/>
        <v>0</v>
      </c>
      <c r="Y338" s="65">
        <f t="shared" si="150"/>
        <v>0</v>
      </c>
      <c r="Z338" s="65">
        <f t="shared" si="150"/>
        <v>0</v>
      </c>
      <c r="AA338" s="65">
        <f t="shared" si="150"/>
        <v>0</v>
      </c>
      <c r="AB338" s="65">
        <f t="shared" si="150"/>
        <v>0</v>
      </c>
      <c r="AC338" s="65">
        <f t="shared" si="150"/>
        <v>0</v>
      </c>
      <c r="AD338" s="65">
        <f t="shared" si="150"/>
        <v>0</v>
      </c>
      <c r="AE338" s="65">
        <f t="shared" si="150"/>
        <v>0</v>
      </c>
      <c r="AF338" s="65">
        <f t="shared" si="150"/>
        <v>0</v>
      </c>
      <c r="AG338" s="65">
        <f t="shared" si="150"/>
        <v>0</v>
      </c>
      <c r="AH338" s="65">
        <f t="shared" si="150"/>
        <v>0</v>
      </c>
      <c r="AI338" s="65">
        <f t="shared" si="150"/>
        <v>0</v>
      </c>
      <c r="AJ338" s="65">
        <f t="shared" si="150"/>
        <v>0</v>
      </c>
      <c r="AK338" s="65">
        <f t="shared" si="150"/>
        <v>0</v>
      </c>
      <c r="AL338" s="65">
        <f t="shared" si="150"/>
        <v>0</v>
      </c>
      <c r="AM338" s="65">
        <f t="shared" si="150"/>
        <v>0</v>
      </c>
      <c r="AN338" s="65">
        <f t="shared" si="150"/>
        <v>0</v>
      </c>
      <c r="AO338" s="65">
        <f t="shared" si="150"/>
        <v>0</v>
      </c>
      <c r="AP338" s="65">
        <f t="shared" si="150"/>
        <v>0</v>
      </c>
      <c r="AQ338" s="65">
        <f t="shared" si="150"/>
        <v>0</v>
      </c>
      <c r="AR338" s="65">
        <f t="shared" si="150"/>
        <v>0</v>
      </c>
      <c r="AS338" s="65">
        <f t="shared" si="150"/>
        <v>0</v>
      </c>
      <c r="AT338" s="65">
        <f t="shared" si="150"/>
        <v>0</v>
      </c>
      <c r="AU338" s="65">
        <f t="shared" si="150"/>
        <v>0</v>
      </c>
      <c r="AV338" s="65">
        <f t="shared" si="150"/>
        <v>0</v>
      </c>
      <c r="AW338" s="65">
        <f t="shared" si="150"/>
        <v>0</v>
      </c>
      <c r="AX338" s="65">
        <f t="shared" si="150"/>
        <v>0</v>
      </c>
      <c r="AY338" s="65">
        <f t="shared" si="150"/>
        <v>0</v>
      </c>
      <c r="AZ338" s="65">
        <f t="shared" si="150"/>
        <v>0</v>
      </c>
      <c r="BA338" s="65">
        <f t="shared" si="150"/>
        <v>0</v>
      </c>
      <c r="BB338" s="65">
        <f t="shared" si="150"/>
        <v>0</v>
      </c>
      <c r="BC338" s="65">
        <f t="shared" si="150"/>
        <v>0</v>
      </c>
      <c r="BD338" s="65">
        <f t="shared" si="150"/>
        <v>0</v>
      </c>
    </row>
    <row r="339" spans="2:56" ht="15" customHeight="1">
      <c r="B339" s="39">
        <f>IF(Inputs!$E$51=1,Inputs!E111,IF(Inputs!$E$50=0,0,MIN(1/Inputs!$E$50,1-SUM($B$334:B338))))</f>
        <v>0</v>
      </c>
      <c r="C339" s="21">
        <f t="shared" si="143"/>
        <v>0</v>
      </c>
      <c r="D339" s="40" t="s">
        <v>217</v>
      </c>
      <c r="E339" s="18" t="s">
        <v>333</v>
      </c>
      <c r="G339" s="1"/>
      <c r="H339" s="1"/>
      <c r="I339" s="1"/>
      <c r="J339" s="1"/>
      <c r="K339" s="1"/>
      <c r="L339" s="65">
        <f t="shared" ref="L339:BD339" si="151">G$333*$B339</f>
        <v>0</v>
      </c>
      <c r="M339" s="65">
        <f t="shared" si="151"/>
        <v>0</v>
      </c>
      <c r="N339" s="65">
        <f t="shared" si="151"/>
        <v>0</v>
      </c>
      <c r="O339" s="65">
        <f t="shared" si="151"/>
        <v>0</v>
      </c>
      <c r="P339" s="65">
        <f t="shared" si="151"/>
        <v>0</v>
      </c>
      <c r="Q339" s="65">
        <f t="shared" si="151"/>
        <v>0</v>
      </c>
      <c r="R339" s="65">
        <f t="shared" si="151"/>
        <v>0</v>
      </c>
      <c r="S339" s="65">
        <f t="shared" si="151"/>
        <v>0</v>
      </c>
      <c r="T339" s="65">
        <f t="shared" si="151"/>
        <v>0</v>
      </c>
      <c r="U339" s="65">
        <f t="shared" si="151"/>
        <v>0</v>
      </c>
      <c r="V339" s="65">
        <f t="shared" si="151"/>
        <v>0</v>
      </c>
      <c r="W339" s="65">
        <f t="shared" si="151"/>
        <v>0</v>
      </c>
      <c r="X339" s="65">
        <f t="shared" si="151"/>
        <v>0</v>
      </c>
      <c r="Y339" s="65">
        <f t="shared" si="151"/>
        <v>0</v>
      </c>
      <c r="Z339" s="65">
        <f t="shared" si="151"/>
        <v>0</v>
      </c>
      <c r="AA339" s="65">
        <f t="shared" si="151"/>
        <v>0</v>
      </c>
      <c r="AB339" s="65">
        <f t="shared" si="151"/>
        <v>0</v>
      </c>
      <c r="AC339" s="65">
        <f t="shared" si="151"/>
        <v>0</v>
      </c>
      <c r="AD339" s="65">
        <f t="shared" si="151"/>
        <v>0</v>
      </c>
      <c r="AE339" s="65">
        <f t="shared" si="151"/>
        <v>0</v>
      </c>
      <c r="AF339" s="65">
        <f t="shared" si="151"/>
        <v>0</v>
      </c>
      <c r="AG339" s="65">
        <f t="shared" si="151"/>
        <v>0</v>
      </c>
      <c r="AH339" s="65">
        <f t="shared" si="151"/>
        <v>0</v>
      </c>
      <c r="AI339" s="65">
        <f t="shared" si="151"/>
        <v>0</v>
      </c>
      <c r="AJ339" s="65">
        <f t="shared" si="151"/>
        <v>0</v>
      </c>
      <c r="AK339" s="65">
        <f t="shared" si="151"/>
        <v>0</v>
      </c>
      <c r="AL339" s="65">
        <f t="shared" si="151"/>
        <v>0</v>
      </c>
      <c r="AM339" s="65">
        <f t="shared" si="151"/>
        <v>0</v>
      </c>
      <c r="AN339" s="65">
        <f t="shared" si="151"/>
        <v>0</v>
      </c>
      <c r="AO339" s="65">
        <f t="shared" si="151"/>
        <v>0</v>
      </c>
      <c r="AP339" s="65">
        <f t="shared" si="151"/>
        <v>0</v>
      </c>
      <c r="AQ339" s="65">
        <f t="shared" si="151"/>
        <v>0</v>
      </c>
      <c r="AR339" s="65">
        <f t="shared" si="151"/>
        <v>0</v>
      </c>
      <c r="AS339" s="65">
        <f t="shared" si="151"/>
        <v>0</v>
      </c>
      <c r="AT339" s="65">
        <f t="shared" si="151"/>
        <v>0</v>
      </c>
      <c r="AU339" s="65">
        <f t="shared" si="151"/>
        <v>0</v>
      </c>
      <c r="AV339" s="65">
        <f t="shared" si="151"/>
        <v>0</v>
      </c>
      <c r="AW339" s="65">
        <f t="shared" si="151"/>
        <v>0</v>
      </c>
      <c r="AX339" s="65">
        <f t="shared" si="151"/>
        <v>0</v>
      </c>
      <c r="AY339" s="65">
        <f t="shared" si="151"/>
        <v>0</v>
      </c>
      <c r="AZ339" s="65">
        <f t="shared" si="151"/>
        <v>0</v>
      </c>
      <c r="BA339" s="65">
        <f t="shared" si="151"/>
        <v>0</v>
      </c>
      <c r="BB339" s="65">
        <f t="shared" si="151"/>
        <v>0</v>
      </c>
      <c r="BC339" s="65">
        <f t="shared" si="151"/>
        <v>0</v>
      </c>
      <c r="BD339" s="65">
        <f t="shared" si="151"/>
        <v>0</v>
      </c>
    </row>
    <row r="340" spans="2:56" ht="15" customHeight="1">
      <c r="B340" s="39">
        <f>IF(Inputs!$E$51=1,Inputs!E112,IF(Inputs!$E$50=0,0,MIN(1/Inputs!$E$50,1-SUM($B$334:B339))))</f>
        <v>0</v>
      </c>
      <c r="C340" s="21">
        <f t="shared" si="143"/>
        <v>0</v>
      </c>
      <c r="D340" s="40" t="s">
        <v>218</v>
      </c>
      <c r="E340" s="18" t="s">
        <v>333</v>
      </c>
      <c r="G340" s="1"/>
      <c r="H340" s="1"/>
      <c r="I340" s="1"/>
      <c r="J340" s="1"/>
      <c r="K340" s="1"/>
      <c r="L340" s="1"/>
      <c r="M340" s="65">
        <f t="shared" ref="M340:BD340" si="152">G$333*$B340</f>
        <v>0</v>
      </c>
      <c r="N340" s="65">
        <f t="shared" si="152"/>
        <v>0</v>
      </c>
      <c r="O340" s="65">
        <f t="shared" si="152"/>
        <v>0</v>
      </c>
      <c r="P340" s="65">
        <f t="shared" si="152"/>
        <v>0</v>
      </c>
      <c r="Q340" s="65">
        <f t="shared" si="152"/>
        <v>0</v>
      </c>
      <c r="R340" s="65">
        <f t="shared" si="152"/>
        <v>0</v>
      </c>
      <c r="S340" s="65">
        <f t="shared" si="152"/>
        <v>0</v>
      </c>
      <c r="T340" s="65">
        <f t="shared" si="152"/>
        <v>0</v>
      </c>
      <c r="U340" s="65">
        <f t="shared" si="152"/>
        <v>0</v>
      </c>
      <c r="V340" s="65">
        <f t="shared" si="152"/>
        <v>0</v>
      </c>
      <c r="W340" s="65">
        <f t="shared" si="152"/>
        <v>0</v>
      </c>
      <c r="X340" s="65">
        <f t="shared" si="152"/>
        <v>0</v>
      </c>
      <c r="Y340" s="65">
        <f t="shared" si="152"/>
        <v>0</v>
      </c>
      <c r="Z340" s="65">
        <f t="shared" si="152"/>
        <v>0</v>
      </c>
      <c r="AA340" s="65">
        <f t="shared" si="152"/>
        <v>0</v>
      </c>
      <c r="AB340" s="65">
        <f t="shared" si="152"/>
        <v>0</v>
      </c>
      <c r="AC340" s="65">
        <f t="shared" si="152"/>
        <v>0</v>
      </c>
      <c r="AD340" s="65">
        <f t="shared" si="152"/>
        <v>0</v>
      </c>
      <c r="AE340" s="65">
        <f t="shared" si="152"/>
        <v>0</v>
      </c>
      <c r="AF340" s="65">
        <f t="shared" si="152"/>
        <v>0</v>
      </c>
      <c r="AG340" s="65">
        <f t="shared" si="152"/>
        <v>0</v>
      </c>
      <c r="AH340" s="65">
        <f t="shared" si="152"/>
        <v>0</v>
      </c>
      <c r="AI340" s="65">
        <f t="shared" si="152"/>
        <v>0</v>
      </c>
      <c r="AJ340" s="65">
        <f t="shared" si="152"/>
        <v>0</v>
      </c>
      <c r="AK340" s="65">
        <f t="shared" si="152"/>
        <v>0</v>
      </c>
      <c r="AL340" s="65">
        <f t="shared" si="152"/>
        <v>0</v>
      </c>
      <c r="AM340" s="65">
        <f t="shared" si="152"/>
        <v>0</v>
      </c>
      <c r="AN340" s="65">
        <f t="shared" si="152"/>
        <v>0</v>
      </c>
      <c r="AO340" s="65">
        <f t="shared" si="152"/>
        <v>0</v>
      </c>
      <c r="AP340" s="65">
        <f t="shared" si="152"/>
        <v>0</v>
      </c>
      <c r="AQ340" s="65">
        <f t="shared" si="152"/>
        <v>0</v>
      </c>
      <c r="AR340" s="65">
        <f t="shared" si="152"/>
        <v>0</v>
      </c>
      <c r="AS340" s="65">
        <f t="shared" si="152"/>
        <v>0</v>
      </c>
      <c r="AT340" s="65">
        <f t="shared" si="152"/>
        <v>0</v>
      </c>
      <c r="AU340" s="65">
        <f t="shared" si="152"/>
        <v>0</v>
      </c>
      <c r="AV340" s="65">
        <f t="shared" si="152"/>
        <v>0</v>
      </c>
      <c r="AW340" s="65">
        <f t="shared" si="152"/>
        <v>0</v>
      </c>
      <c r="AX340" s="65">
        <f t="shared" si="152"/>
        <v>0</v>
      </c>
      <c r="AY340" s="65">
        <f t="shared" si="152"/>
        <v>0</v>
      </c>
      <c r="AZ340" s="65">
        <f t="shared" si="152"/>
        <v>0</v>
      </c>
      <c r="BA340" s="65">
        <f t="shared" si="152"/>
        <v>0</v>
      </c>
      <c r="BB340" s="65">
        <f t="shared" si="152"/>
        <v>0</v>
      </c>
      <c r="BC340" s="65">
        <f t="shared" si="152"/>
        <v>0</v>
      </c>
      <c r="BD340" s="65">
        <f t="shared" si="152"/>
        <v>0</v>
      </c>
    </row>
    <row r="341" spans="2:56" ht="15" customHeight="1">
      <c r="B341" s="39">
        <f>IF(Inputs!$E$51=1,Inputs!E113,IF(Inputs!$E$50=0,0,MIN(1/Inputs!$E$50,1-SUM($B$334:B340))))</f>
        <v>0</v>
      </c>
      <c r="C341" s="21">
        <f t="shared" si="143"/>
        <v>0</v>
      </c>
      <c r="D341" s="40" t="s">
        <v>219</v>
      </c>
      <c r="E341" s="18" t="s">
        <v>333</v>
      </c>
      <c r="G341" s="1"/>
      <c r="H341" s="1"/>
      <c r="I341" s="1"/>
      <c r="J341" s="1"/>
      <c r="K341" s="1"/>
      <c r="L341" s="1"/>
      <c r="M341" s="1"/>
      <c r="N341" s="65">
        <f t="shared" ref="N341:BD341" si="153">G$333*$B341</f>
        <v>0</v>
      </c>
      <c r="O341" s="65">
        <f t="shared" si="153"/>
        <v>0</v>
      </c>
      <c r="P341" s="65">
        <f t="shared" si="153"/>
        <v>0</v>
      </c>
      <c r="Q341" s="65">
        <f t="shared" si="153"/>
        <v>0</v>
      </c>
      <c r="R341" s="65">
        <f t="shared" si="153"/>
        <v>0</v>
      </c>
      <c r="S341" s="65">
        <f t="shared" si="153"/>
        <v>0</v>
      </c>
      <c r="T341" s="65">
        <f t="shared" si="153"/>
        <v>0</v>
      </c>
      <c r="U341" s="65">
        <f t="shared" si="153"/>
        <v>0</v>
      </c>
      <c r="V341" s="65">
        <f t="shared" si="153"/>
        <v>0</v>
      </c>
      <c r="W341" s="65">
        <f t="shared" si="153"/>
        <v>0</v>
      </c>
      <c r="X341" s="65">
        <f t="shared" si="153"/>
        <v>0</v>
      </c>
      <c r="Y341" s="65">
        <f t="shared" si="153"/>
        <v>0</v>
      </c>
      <c r="Z341" s="65">
        <f t="shared" si="153"/>
        <v>0</v>
      </c>
      <c r="AA341" s="65">
        <f t="shared" si="153"/>
        <v>0</v>
      </c>
      <c r="AB341" s="65">
        <f t="shared" si="153"/>
        <v>0</v>
      </c>
      <c r="AC341" s="65">
        <f t="shared" si="153"/>
        <v>0</v>
      </c>
      <c r="AD341" s="65">
        <f t="shared" si="153"/>
        <v>0</v>
      </c>
      <c r="AE341" s="65">
        <f t="shared" si="153"/>
        <v>0</v>
      </c>
      <c r="AF341" s="65">
        <f t="shared" si="153"/>
        <v>0</v>
      </c>
      <c r="AG341" s="65">
        <f t="shared" si="153"/>
        <v>0</v>
      </c>
      <c r="AH341" s="65">
        <f t="shared" si="153"/>
        <v>0</v>
      </c>
      <c r="AI341" s="65">
        <f t="shared" si="153"/>
        <v>0</v>
      </c>
      <c r="AJ341" s="65">
        <f t="shared" si="153"/>
        <v>0</v>
      </c>
      <c r="AK341" s="65">
        <f t="shared" si="153"/>
        <v>0</v>
      </c>
      <c r="AL341" s="65">
        <f t="shared" si="153"/>
        <v>0</v>
      </c>
      <c r="AM341" s="65">
        <f t="shared" si="153"/>
        <v>0</v>
      </c>
      <c r="AN341" s="65">
        <f t="shared" si="153"/>
        <v>0</v>
      </c>
      <c r="AO341" s="65">
        <f t="shared" si="153"/>
        <v>0</v>
      </c>
      <c r="AP341" s="65">
        <f t="shared" si="153"/>
        <v>0</v>
      </c>
      <c r="AQ341" s="65">
        <f t="shared" si="153"/>
        <v>0</v>
      </c>
      <c r="AR341" s="65">
        <f t="shared" si="153"/>
        <v>0</v>
      </c>
      <c r="AS341" s="65">
        <f t="shared" si="153"/>
        <v>0</v>
      </c>
      <c r="AT341" s="65">
        <f t="shared" si="153"/>
        <v>0</v>
      </c>
      <c r="AU341" s="65">
        <f t="shared" si="153"/>
        <v>0</v>
      </c>
      <c r="AV341" s="65">
        <f t="shared" si="153"/>
        <v>0</v>
      </c>
      <c r="AW341" s="65">
        <f t="shared" si="153"/>
        <v>0</v>
      </c>
      <c r="AX341" s="65">
        <f t="shared" si="153"/>
        <v>0</v>
      </c>
      <c r="AY341" s="65">
        <f t="shared" si="153"/>
        <v>0</v>
      </c>
      <c r="AZ341" s="65">
        <f t="shared" si="153"/>
        <v>0</v>
      </c>
      <c r="BA341" s="65">
        <f t="shared" si="153"/>
        <v>0</v>
      </c>
      <c r="BB341" s="65">
        <f t="shared" si="153"/>
        <v>0</v>
      </c>
      <c r="BC341" s="65">
        <f t="shared" si="153"/>
        <v>0</v>
      </c>
      <c r="BD341" s="65">
        <f t="shared" si="153"/>
        <v>0</v>
      </c>
    </row>
    <row r="342" spans="2:56" ht="15" customHeight="1">
      <c r="B342" s="39">
        <f>IF(Inputs!$E$51=1,Inputs!E114,IF(Inputs!$E$50=0,0,MIN(1/Inputs!$E$50,1-SUM($B$334:B341))))</f>
        <v>0</v>
      </c>
      <c r="C342" s="21">
        <f t="shared" si="143"/>
        <v>0</v>
      </c>
      <c r="D342" s="40" t="s">
        <v>220</v>
      </c>
      <c r="E342" s="18" t="s">
        <v>333</v>
      </c>
      <c r="G342" s="1"/>
      <c r="H342" s="1"/>
      <c r="I342" s="1"/>
      <c r="J342" s="1"/>
      <c r="K342" s="1"/>
      <c r="L342" s="1"/>
      <c r="M342" s="1"/>
      <c r="N342" s="1"/>
      <c r="O342" s="65">
        <f t="shared" ref="O342:BD342" si="154">G$333*$B342</f>
        <v>0</v>
      </c>
      <c r="P342" s="65">
        <f t="shared" si="154"/>
        <v>0</v>
      </c>
      <c r="Q342" s="65">
        <f t="shared" si="154"/>
        <v>0</v>
      </c>
      <c r="R342" s="65">
        <f t="shared" si="154"/>
        <v>0</v>
      </c>
      <c r="S342" s="65">
        <f t="shared" si="154"/>
        <v>0</v>
      </c>
      <c r="T342" s="65">
        <f t="shared" si="154"/>
        <v>0</v>
      </c>
      <c r="U342" s="65">
        <f t="shared" si="154"/>
        <v>0</v>
      </c>
      <c r="V342" s="65">
        <f t="shared" si="154"/>
        <v>0</v>
      </c>
      <c r="W342" s="65">
        <f t="shared" si="154"/>
        <v>0</v>
      </c>
      <c r="X342" s="65">
        <f t="shared" si="154"/>
        <v>0</v>
      </c>
      <c r="Y342" s="65">
        <f t="shared" si="154"/>
        <v>0</v>
      </c>
      <c r="Z342" s="65">
        <f t="shared" si="154"/>
        <v>0</v>
      </c>
      <c r="AA342" s="65">
        <f t="shared" si="154"/>
        <v>0</v>
      </c>
      <c r="AB342" s="65">
        <f t="shared" si="154"/>
        <v>0</v>
      </c>
      <c r="AC342" s="65">
        <f t="shared" si="154"/>
        <v>0</v>
      </c>
      <c r="AD342" s="65">
        <f t="shared" si="154"/>
        <v>0</v>
      </c>
      <c r="AE342" s="65">
        <f t="shared" si="154"/>
        <v>0</v>
      </c>
      <c r="AF342" s="65">
        <f t="shared" si="154"/>
        <v>0</v>
      </c>
      <c r="AG342" s="65">
        <f t="shared" si="154"/>
        <v>0</v>
      </c>
      <c r="AH342" s="65">
        <f t="shared" si="154"/>
        <v>0</v>
      </c>
      <c r="AI342" s="65">
        <f t="shared" si="154"/>
        <v>0</v>
      </c>
      <c r="AJ342" s="65">
        <f t="shared" si="154"/>
        <v>0</v>
      </c>
      <c r="AK342" s="65">
        <f t="shared" si="154"/>
        <v>0</v>
      </c>
      <c r="AL342" s="65">
        <f t="shared" si="154"/>
        <v>0</v>
      </c>
      <c r="AM342" s="65">
        <f t="shared" si="154"/>
        <v>0</v>
      </c>
      <c r="AN342" s="65">
        <f t="shared" si="154"/>
        <v>0</v>
      </c>
      <c r="AO342" s="65">
        <f t="shared" si="154"/>
        <v>0</v>
      </c>
      <c r="AP342" s="65">
        <f t="shared" si="154"/>
        <v>0</v>
      </c>
      <c r="AQ342" s="65">
        <f t="shared" si="154"/>
        <v>0</v>
      </c>
      <c r="AR342" s="65">
        <f t="shared" si="154"/>
        <v>0</v>
      </c>
      <c r="AS342" s="65">
        <f t="shared" si="154"/>
        <v>0</v>
      </c>
      <c r="AT342" s="65">
        <f t="shared" si="154"/>
        <v>0</v>
      </c>
      <c r="AU342" s="65">
        <f t="shared" si="154"/>
        <v>0</v>
      </c>
      <c r="AV342" s="65">
        <f t="shared" si="154"/>
        <v>0</v>
      </c>
      <c r="AW342" s="65">
        <f t="shared" si="154"/>
        <v>0</v>
      </c>
      <c r="AX342" s="65">
        <f t="shared" si="154"/>
        <v>0</v>
      </c>
      <c r="AY342" s="65">
        <f t="shared" si="154"/>
        <v>0</v>
      </c>
      <c r="AZ342" s="65">
        <f t="shared" si="154"/>
        <v>0</v>
      </c>
      <c r="BA342" s="65">
        <f t="shared" si="154"/>
        <v>0</v>
      </c>
      <c r="BB342" s="65">
        <f t="shared" si="154"/>
        <v>0</v>
      </c>
      <c r="BC342" s="65">
        <f t="shared" si="154"/>
        <v>0</v>
      </c>
      <c r="BD342" s="65">
        <f t="shared" si="154"/>
        <v>0</v>
      </c>
    </row>
    <row r="343" spans="2:56" ht="15" customHeight="1">
      <c r="B343" s="39">
        <f>IF(Inputs!$E$51=1,Inputs!E115,IF(Inputs!$E$50=0,0,MIN(1/Inputs!$E$50,1-SUM($B$334:B342))))</f>
        <v>0</v>
      </c>
      <c r="C343" s="21">
        <f t="shared" si="143"/>
        <v>0</v>
      </c>
      <c r="D343" s="40" t="s">
        <v>221</v>
      </c>
      <c r="E343" s="18" t="s">
        <v>333</v>
      </c>
      <c r="G343" s="1"/>
      <c r="H343" s="1"/>
      <c r="I343" s="1"/>
      <c r="J343" s="1"/>
      <c r="K343" s="1"/>
      <c r="L343" s="1"/>
      <c r="M343" s="1"/>
      <c r="N343" s="1"/>
      <c r="O343" s="1"/>
      <c r="P343" s="65">
        <f t="shared" ref="P343:BD343" si="155">G$333*$B343</f>
        <v>0</v>
      </c>
      <c r="Q343" s="65">
        <f t="shared" si="155"/>
        <v>0</v>
      </c>
      <c r="R343" s="65">
        <f t="shared" si="155"/>
        <v>0</v>
      </c>
      <c r="S343" s="65">
        <f t="shared" si="155"/>
        <v>0</v>
      </c>
      <c r="T343" s="65">
        <f t="shared" si="155"/>
        <v>0</v>
      </c>
      <c r="U343" s="65">
        <f t="shared" si="155"/>
        <v>0</v>
      </c>
      <c r="V343" s="65">
        <f t="shared" si="155"/>
        <v>0</v>
      </c>
      <c r="W343" s="65">
        <f t="shared" si="155"/>
        <v>0</v>
      </c>
      <c r="X343" s="65">
        <f t="shared" si="155"/>
        <v>0</v>
      </c>
      <c r="Y343" s="65">
        <f t="shared" si="155"/>
        <v>0</v>
      </c>
      <c r="Z343" s="65">
        <f t="shared" si="155"/>
        <v>0</v>
      </c>
      <c r="AA343" s="65">
        <f t="shared" si="155"/>
        <v>0</v>
      </c>
      <c r="AB343" s="65">
        <f t="shared" si="155"/>
        <v>0</v>
      </c>
      <c r="AC343" s="65">
        <f t="shared" si="155"/>
        <v>0</v>
      </c>
      <c r="AD343" s="65">
        <f t="shared" si="155"/>
        <v>0</v>
      </c>
      <c r="AE343" s="65">
        <f t="shared" si="155"/>
        <v>0</v>
      </c>
      <c r="AF343" s="65">
        <f t="shared" si="155"/>
        <v>0</v>
      </c>
      <c r="AG343" s="65">
        <f t="shared" si="155"/>
        <v>0</v>
      </c>
      <c r="AH343" s="65">
        <f t="shared" si="155"/>
        <v>0</v>
      </c>
      <c r="AI343" s="65">
        <f t="shared" si="155"/>
        <v>0</v>
      </c>
      <c r="AJ343" s="65">
        <f t="shared" si="155"/>
        <v>0</v>
      </c>
      <c r="AK343" s="65">
        <f t="shared" si="155"/>
        <v>0</v>
      </c>
      <c r="AL343" s="65">
        <f t="shared" si="155"/>
        <v>0</v>
      </c>
      <c r="AM343" s="65">
        <f t="shared" si="155"/>
        <v>0</v>
      </c>
      <c r="AN343" s="65">
        <f t="shared" si="155"/>
        <v>0</v>
      </c>
      <c r="AO343" s="65">
        <f t="shared" si="155"/>
        <v>0</v>
      </c>
      <c r="AP343" s="65">
        <f t="shared" si="155"/>
        <v>0</v>
      </c>
      <c r="AQ343" s="65">
        <f t="shared" si="155"/>
        <v>0</v>
      </c>
      <c r="AR343" s="65">
        <f t="shared" si="155"/>
        <v>0</v>
      </c>
      <c r="AS343" s="65">
        <f t="shared" si="155"/>
        <v>0</v>
      </c>
      <c r="AT343" s="65">
        <f t="shared" si="155"/>
        <v>0</v>
      </c>
      <c r="AU343" s="65">
        <f t="shared" si="155"/>
        <v>0</v>
      </c>
      <c r="AV343" s="65">
        <f t="shared" si="155"/>
        <v>0</v>
      </c>
      <c r="AW343" s="65">
        <f t="shared" si="155"/>
        <v>0</v>
      </c>
      <c r="AX343" s="65">
        <f t="shared" si="155"/>
        <v>0</v>
      </c>
      <c r="AY343" s="65">
        <f t="shared" si="155"/>
        <v>0</v>
      </c>
      <c r="AZ343" s="65">
        <f t="shared" si="155"/>
        <v>0</v>
      </c>
      <c r="BA343" s="65">
        <f t="shared" si="155"/>
        <v>0</v>
      </c>
      <c r="BB343" s="65">
        <f t="shared" si="155"/>
        <v>0</v>
      </c>
      <c r="BC343" s="65">
        <f t="shared" si="155"/>
        <v>0</v>
      </c>
      <c r="BD343" s="65">
        <f t="shared" si="155"/>
        <v>0</v>
      </c>
    </row>
    <row r="344" spans="2:56" ht="15" customHeight="1">
      <c r="B344" s="39">
        <f>IF(Inputs!$E$51=1,Inputs!E116,IF(Inputs!$E$50=0,0,MIN(1/Inputs!$E$50,1-SUM($B$334:B343))))</f>
        <v>0</v>
      </c>
      <c r="C344" s="21">
        <f t="shared" ref="C344:C353" si="156">SUM(G344:BD344)</f>
        <v>0</v>
      </c>
      <c r="D344" s="40" t="s">
        <v>222</v>
      </c>
      <c r="E344" s="18" t="s">
        <v>333</v>
      </c>
      <c r="G344" s="1"/>
      <c r="H344" s="1"/>
      <c r="I344" s="1"/>
      <c r="J344" s="1"/>
      <c r="K344" s="1"/>
      <c r="L344" s="1"/>
      <c r="M344" s="1"/>
      <c r="N344" s="1"/>
      <c r="O344" s="1"/>
      <c r="P344" s="1"/>
      <c r="Q344" s="65">
        <f t="shared" ref="Q344:BD344" si="157">G$333*$B344</f>
        <v>0</v>
      </c>
      <c r="R344" s="65">
        <f t="shared" si="157"/>
        <v>0</v>
      </c>
      <c r="S344" s="65">
        <f t="shared" si="157"/>
        <v>0</v>
      </c>
      <c r="T344" s="65">
        <f t="shared" si="157"/>
        <v>0</v>
      </c>
      <c r="U344" s="65">
        <f t="shared" si="157"/>
        <v>0</v>
      </c>
      <c r="V344" s="65">
        <f t="shared" si="157"/>
        <v>0</v>
      </c>
      <c r="W344" s="65">
        <f t="shared" si="157"/>
        <v>0</v>
      </c>
      <c r="X344" s="65">
        <f t="shared" si="157"/>
        <v>0</v>
      </c>
      <c r="Y344" s="65">
        <f t="shared" si="157"/>
        <v>0</v>
      </c>
      <c r="Z344" s="65">
        <f t="shared" si="157"/>
        <v>0</v>
      </c>
      <c r="AA344" s="65">
        <f t="shared" si="157"/>
        <v>0</v>
      </c>
      <c r="AB344" s="65">
        <f t="shared" si="157"/>
        <v>0</v>
      </c>
      <c r="AC344" s="65">
        <f t="shared" si="157"/>
        <v>0</v>
      </c>
      <c r="AD344" s="65">
        <f t="shared" si="157"/>
        <v>0</v>
      </c>
      <c r="AE344" s="65">
        <f t="shared" si="157"/>
        <v>0</v>
      </c>
      <c r="AF344" s="65">
        <f t="shared" si="157"/>
        <v>0</v>
      </c>
      <c r="AG344" s="65">
        <f t="shared" si="157"/>
        <v>0</v>
      </c>
      <c r="AH344" s="65">
        <f t="shared" si="157"/>
        <v>0</v>
      </c>
      <c r="AI344" s="65">
        <f t="shared" si="157"/>
        <v>0</v>
      </c>
      <c r="AJ344" s="65">
        <f t="shared" si="157"/>
        <v>0</v>
      </c>
      <c r="AK344" s="65">
        <f t="shared" si="157"/>
        <v>0</v>
      </c>
      <c r="AL344" s="65">
        <f t="shared" si="157"/>
        <v>0</v>
      </c>
      <c r="AM344" s="65">
        <f t="shared" si="157"/>
        <v>0</v>
      </c>
      <c r="AN344" s="65">
        <f t="shared" si="157"/>
        <v>0</v>
      </c>
      <c r="AO344" s="65">
        <f t="shared" si="157"/>
        <v>0</v>
      </c>
      <c r="AP344" s="65">
        <f t="shared" si="157"/>
        <v>0</v>
      </c>
      <c r="AQ344" s="65">
        <f t="shared" si="157"/>
        <v>0</v>
      </c>
      <c r="AR344" s="65">
        <f t="shared" si="157"/>
        <v>0</v>
      </c>
      <c r="AS344" s="65">
        <f t="shared" si="157"/>
        <v>0</v>
      </c>
      <c r="AT344" s="65">
        <f t="shared" si="157"/>
        <v>0</v>
      </c>
      <c r="AU344" s="65">
        <f t="shared" si="157"/>
        <v>0</v>
      </c>
      <c r="AV344" s="65">
        <f t="shared" si="157"/>
        <v>0</v>
      </c>
      <c r="AW344" s="65">
        <f t="shared" si="157"/>
        <v>0</v>
      </c>
      <c r="AX344" s="65">
        <f t="shared" si="157"/>
        <v>0</v>
      </c>
      <c r="AY344" s="65">
        <f t="shared" si="157"/>
        <v>0</v>
      </c>
      <c r="AZ344" s="65">
        <f t="shared" si="157"/>
        <v>0</v>
      </c>
      <c r="BA344" s="65">
        <f t="shared" si="157"/>
        <v>0</v>
      </c>
      <c r="BB344" s="65">
        <f t="shared" si="157"/>
        <v>0</v>
      </c>
      <c r="BC344" s="65">
        <f t="shared" si="157"/>
        <v>0</v>
      </c>
      <c r="BD344" s="65">
        <f t="shared" si="157"/>
        <v>0</v>
      </c>
    </row>
    <row r="345" spans="2:56" ht="15" customHeight="1">
      <c r="B345" s="39">
        <f>IF(Inputs!$E$51=1,Inputs!E117,IF(Inputs!$E$50=0,0,MIN(1/Inputs!$E$50,1-SUM($B$334:B344))))</f>
        <v>0</v>
      </c>
      <c r="C345" s="21">
        <f t="shared" si="156"/>
        <v>0</v>
      </c>
      <c r="D345" s="40" t="s">
        <v>223</v>
      </c>
      <c r="E345" s="18" t="s">
        <v>333</v>
      </c>
      <c r="G345" s="1"/>
      <c r="H345" s="1"/>
      <c r="I345" s="1"/>
      <c r="J345" s="1"/>
      <c r="K345" s="1"/>
      <c r="L345" s="1"/>
      <c r="M345" s="1"/>
      <c r="N345" s="1"/>
      <c r="O345" s="1"/>
      <c r="P345" s="1"/>
      <c r="Q345" s="1"/>
      <c r="R345" s="65">
        <f t="shared" ref="R345:BD345" si="158">G$333*$B345</f>
        <v>0</v>
      </c>
      <c r="S345" s="65">
        <f t="shared" si="158"/>
        <v>0</v>
      </c>
      <c r="T345" s="65">
        <f t="shared" si="158"/>
        <v>0</v>
      </c>
      <c r="U345" s="65">
        <f t="shared" si="158"/>
        <v>0</v>
      </c>
      <c r="V345" s="65">
        <f t="shared" si="158"/>
        <v>0</v>
      </c>
      <c r="W345" s="65">
        <f t="shared" si="158"/>
        <v>0</v>
      </c>
      <c r="X345" s="65">
        <f t="shared" si="158"/>
        <v>0</v>
      </c>
      <c r="Y345" s="65">
        <f t="shared" si="158"/>
        <v>0</v>
      </c>
      <c r="Z345" s="65">
        <f t="shared" si="158"/>
        <v>0</v>
      </c>
      <c r="AA345" s="65">
        <f t="shared" si="158"/>
        <v>0</v>
      </c>
      <c r="AB345" s="65">
        <f t="shared" si="158"/>
        <v>0</v>
      </c>
      <c r="AC345" s="65">
        <f t="shared" si="158"/>
        <v>0</v>
      </c>
      <c r="AD345" s="65">
        <f t="shared" si="158"/>
        <v>0</v>
      </c>
      <c r="AE345" s="65">
        <f t="shared" si="158"/>
        <v>0</v>
      </c>
      <c r="AF345" s="65">
        <f t="shared" si="158"/>
        <v>0</v>
      </c>
      <c r="AG345" s="65">
        <f t="shared" si="158"/>
        <v>0</v>
      </c>
      <c r="AH345" s="65">
        <f t="shared" si="158"/>
        <v>0</v>
      </c>
      <c r="AI345" s="65">
        <f t="shared" si="158"/>
        <v>0</v>
      </c>
      <c r="AJ345" s="65">
        <f t="shared" si="158"/>
        <v>0</v>
      </c>
      <c r="AK345" s="65">
        <f t="shared" si="158"/>
        <v>0</v>
      </c>
      <c r="AL345" s="65">
        <f t="shared" si="158"/>
        <v>0</v>
      </c>
      <c r="AM345" s="65">
        <f t="shared" si="158"/>
        <v>0</v>
      </c>
      <c r="AN345" s="65">
        <f t="shared" si="158"/>
        <v>0</v>
      </c>
      <c r="AO345" s="65">
        <f t="shared" si="158"/>
        <v>0</v>
      </c>
      <c r="AP345" s="65">
        <f t="shared" si="158"/>
        <v>0</v>
      </c>
      <c r="AQ345" s="65">
        <f t="shared" si="158"/>
        <v>0</v>
      </c>
      <c r="AR345" s="65">
        <f t="shared" si="158"/>
        <v>0</v>
      </c>
      <c r="AS345" s="65">
        <f t="shared" si="158"/>
        <v>0</v>
      </c>
      <c r="AT345" s="65">
        <f t="shared" si="158"/>
        <v>0</v>
      </c>
      <c r="AU345" s="65">
        <f t="shared" si="158"/>
        <v>0</v>
      </c>
      <c r="AV345" s="65">
        <f t="shared" si="158"/>
        <v>0</v>
      </c>
      <c r="AW345" s="65">
        <f t="shared" si="158"/>
        <v>0</v>
      </c>
      <c r="AX345" s="65">
        <f t="shared" si="158"/>
        <v>0</v>
      </c>
      <c r="AY345" s="65">
        <f t="shared" si="158"/>
        <v>0</v>
      </c>
      <c r="AZ345" s="65">
        <f t="shared" si="158"/>
        <v>0</v>
      </c>
      <c r="BA345" s="65">
        <f t="shared" si="158"/>
        <v>0</v>
      </c>
      <c r="BB345" s="65">
        <f t="shared" si="158"/>
        <v>0</v>
      </c>
      <c r="BC345" s="65">
        <f t="shared" si="158"/>
        <v>0</v>
      </c>
      <c r="BD345" s="65">
        <f t="shared" si="158"/>
        <v>0</v>
      </c>
    </row>
    <row r="346" spans="2:56" ht="15" customHeight="1">
      <c r="B346" s="39">
        <f>IF(Inputs!$E$51=1,Inputs!E118,IF(Inputs!$E$50=0,0,MIN(1/Inputs!$E$50,1-SUM($B$334:B345))))</f>
        <v>0</v>
      </c>
      <c r="C346" s="21">
        <f t="shared" si="156"/>
        <v>0</v>
      </c>
      <c r="D346" s="40" t="s">
        <v>224</v>
      </c>
      <c r="E346" s="18" t="s">
        <v>333</v>
      </c>
      <c r="G346" s="1"/>
      <c r="H346" s="1"/>
      <c r="I346" s="1"/>
      <c r="J346" s="1"/>
      <c r="K346" s="1"/>
      <c r="L346" s="1"/>
      <c r="M346" s="1"/>
      <c r="N346" s="1"/>
      <c r="O346" s="1"/>
      <c r="P346" s="1"/>
      <c r="Q346" s="1"/>
      <c r="R346" s="1"/>
      <c r="S346" s="65">
        <f t="shared" ref="S346:BD346" si="159">G$333*$B346</f>
        <v>0</v>
      </c>
      <c r="T346" s="65">
        <f t="shared" si="159"/>
        <v>0</v>
      </c>
      <c r="U346" s="65">
        <f t="shared" si="159"/>
        <v>0</v>
      </c>
      <c r="V346" s="65">
        <f t="shared" si="159"/>
        <v>0</v>
      </c>
      <c r="W346" s="65">
        <f t="shared" si="159"/>
        <v>0</v>
      </c>
      <c r="X346" s="65">
        <f t="shared" si="159"/>
        <v>0</v>
      </c>
      <c r="Y346" s="65">
        <f t="shared" si="159"/>
        <v>0</v>
      </c>
      <c r="Z346" s="65">
        <f t="shared" si="159"/>
        <v>0</v>
      </c>
      <c r="AA346" s="65">
        <f t="shared" si="159"/>
        <v>0</v>
      </c>
      <c r="AB346" s="65">
        <f t="shared" si="159"/>
        <v>0</v>
      </c>
      <c r="AC346" s="65">
        <f t="shared" si="159"/>
        <v>0</v>
      </c>
      <c r="AD346" s="65">
        <f t="shared" si="159"/>
        <v>0</v>
      </c>
      <c r="AE346" s="65">
        <f t="shared" si="159"/>
        <v>0</v>
      </c>
      <c r="AF346" s="65">
        <f t="shared" si="159"/>
        <v>0</v>
      </c>
      <c r="AG346" s="65">
        <f t="shared" si="159"/>
        <v>0</v>
      </c>
      <c r="AH346" s="65">
        <f t="shared" si="159"/>
        <v>0</v>
      </c>
      <c r="AI346" s="65">
        <f t="shared" si="159"/>
        <v>0</v>
      </c>
      <c r="AJ346" s="65">
        <f t="shared" si="159"/>
        <v>0</v>
      </c>
      <c r="AK346" s="65">
        <f t="shared" si="159"/>
        <v>0</v>
      </c>
      <c r="AL346" s="65">
        <f t="shared" si="159"/>
        <v>0</v>
      </c>
      <c r="AM346" s="65">
        <f t="shared" si="159"/>
        <v>0</v>
      </c>
      <c r="AN346" s="65">
        <f t="shared" si="159"/>
        <v>0</v>
      </c>
      <c r="AO346" s="65">
        <f t="shared" si="159"/>
        <v>0</v>
      </c>
      <c r="AP346" s="65">
        <f t="shared" si="159"/>
        <v>0</v>
      </c>
      <c r="AQ346" s="65">
        <f t="shared" si="159"/>
        <v>0</v>
      </c>
      <c r="AR346" s="65">
        <f t="shared" si="159"/>
        <v>0</v>
      </c>
      <c r="AS346" s="65">
        <f t="shared" si="159"/>
        <v>0</v>
      </c>
      <c r="AT346" s="65">
        <f t="shared" si="159"/>
        <v>0</v>
      </c>
      <c r="AU346" s="65">
        <f t="shared" si="159"/>
        <v>0</v>
      </c>
      <c r="AV346" s="65">
        <f t="shared" si="159"/>
        <v>0</v>
      </c>
      <c r="AW346" s="65">
        <f t="shared" si="159"/>
        <v>0</v>
      </c>
      <c r="AX346" s="65">
        <f t="shared" si="159"/>
        <v>0</v>
      </c>
      <c r="AY346" s="65">
        <f t="shared" si="159"/>
        <v>0</v>
      </c>
      <c r="AZ346" s="65">
        <f t="shared" si="159"/>
        <v>0</v>
      </c>
      <c r="BA346" s="65">
        <f t="shared" si="159"/>
        <v>0</v>
      </c>
      <c r="BB346" s="65">
        <f t="shared" si="159"/>
        <v>0</v>
      </c>
      <c r="BC346" s="65">
        <f t="shared" si="159"/>
        <v>0</v>
      </c>
      <c r="BD346" s="65">
        <f t="shared" si="159"/>
        <v>0</v>
      </c>
    </row>
    <row r="347" spans="2:56" ht="15" customHeight="1">
      <c r="B347" s="39">
        <f>IF(Inputs!$E$51=1,Inputs!E119,IF(Inputs!$E$50=0,0,MIN(1/Inputs!$E$50,1-SUM($B$334:B346))))</f>
        <v>0</v>
      </c>
      <c r="C347" s="21">
        <f t="shared" si="156"/>
        <v>0</v>
      </c>
      <c r="D347" s="40" t="s">
        <v>225</v>
      </c>
      <c r="E347" s="18" t="s">
        <v>333</v>
      </c>
      <c r="G347" s="1"/>
      <c r="H347" s="1"/>
      <c r="I347" s="1"/>
      <c r="J347" s="1"/>
      <c r="K347" s="1"/>
      <c r="L347" s="1"/>
      <c r="M347" s="1"/>
      <c r="N347" s="1"/>
      <c r="O347" s="1"/>
      <c r="P347" s="1"/>
      <c r="Q347" s="1"/>
      <c r="R347" s="1"/>
      <c r="S347" s="1"/>
      <c r="T347" s="65">
        <f t="shared" ref="T347:BD347" si="160">G$333*$B347</f>
        <v>0</v>
      </c>
      <c r="U347" s="65">
        <f t="shared" si="160"/>
        <v>0</v>
      </c>
      <c r="V347" s="65">
        <f t="shared" si="160"/>
        <v>0</v>
      </c>
      <c r="W347" s="65">
        <f t="shared" si="160"/>
        <v>0</v>
      </c>
      <c r="X347" s="65">
        <f t="shared" si="160"/>
        <v>0</v>
      </c>
      <c r="Y347" s="65">
        <f t="shared" si="160"/>
        <v>0</v>
      </c>
      <c r="Z347" s="65">
        <f t="shared" si="160"/>
        <v>0</v>
      </c>
      <c r="AA347" s="65">
        <f t="shared" si="160"/>
        <v>0</v>
      </c>
      <c r="AB347" s="65">
        <f t="shared" si="160"/>
        <v>0</v>
      </c>
      <c r="AC347" s="65">
        <f t="shared" si="160"/>
        <v>0</v>
      </c>
      <c r="AD347" s="65">
        <f t="shared" si="160"/>
        <v>0</v>
      </c>
      <c r="AE347" s="65">
        <f t="shared" si="160"/>
        <v>0</v>
      </c>
      <c r="AF347" s="65">
        <f t="shared" si="160"/>
        <v>0</v>
      </c>
      <c r="AG347" s="65">
        <f t="shared" si="160"/>
        <v>0</v>
      </c>
      <c r="AH347" s="65">
        <f t="shared" si="160"/>
        <v>0</v>
      </c>
      <c r="AI347" s="65">
        <f t="shared" si="160"/>
        <v>0</v>
      </c>
      <c r="AJ347" s="65">
        <f t="shared" si="160"/>
        <v>0</v>
      </c>
      <c r="AK347" s="65">
        <f t="shared" si="160"/>
        <v>0</v>
      </c>
      <c r="AL347" s="65">
        <f t="shared" si="160"/>
        <v>0</v>
      </c>
      <c r="AM347" s="65">
        <f t="shared" si="160"/>
        <v>0</v>
      </c>
      <c r="AN347" s="65">
        <f t="shared" si="160"/>
        <v>0</v>
      </c>
      <c r="AO347" s="65">
        <f t="shared" si="160"/>
        <v>0</v>
      </c>
      <c r="AP347" s="65">
        <f t="shared" si="160"/>
        <v>0</v>
      </c>
      <c r="AQ347" s="65">
        <f t="shared" si="160"/>
        <v>0</v>
      </c>
      <c r="AR347" s="65">
        <f t="shared" si="160"/>
        <v>0</v>
      </c>
      <c r="AS347" s="65">
        <f t="shared" si="160"/>
        <v>0</v>
      </c>
      <c r="AT347" s="65">
        <f t="shared" si="160"/>
        <v>0</v>
      </c>
      <c r="AU347" s="65">
        <f t="shared" si="160"/>
        <v>0</v>
      </c>
      <c r="AV347" s="65">
        <f t="shared" si="160"/>
        <v>0</v>
      </c>
      <c r="AW347" s="65">
        <f t="shared" si="160"/>
        <v>0</v>
      </c>
      <c r="AX347" s="65">
        <f t="shared" si="160"/>
        <v>0</v>
      </c>
      <c r="AY347" s="65">
        <f t="shared" si="160"/>
        <v>0</v>
      </c>
      <c r="AZ347" s="65">
        <f t="shared" si="160"/>
        <v>0</v>
      </c>
      <c r="BA347" s="65">
        <f t="shared" si="160"/>
        <v>0</v>
      </c>
      <c r="BB347" s="65">
        <f t="shared" si="160"/>
        <v>0</v>
      </c>
      <c r="BC347" s="65">
        <f t="shared" si="160"/>
        <v>0</v>
      </c>
      <c r="BD347" s="65">
        <f t="shared" si="160"/>
        <v>0</v>
      </c>
    </row>
    <row r="348" spans="2:56" ht="15" customHeight="1">
      <c r="B348" s="39">
        <f>IF(Inputs!$E$51=1,Inputs!E120,IF(Inputs!$E$50=0,0,MIN(1/Inputs!$E$50,1-SUM($B$334:B347))))</f>
        <v>0</v>
      </c>
      <c r="C348" s="21">
        <f t="shared" si="156"/>
        <v>0</v>
      </c>
      <c r="D348" s="40" t="s">
        <v>226</v>
      </c>
      <c r="E348" s="18" t="s">
        <v>333</v>
      </c>
      <c r="G348" s="1"/>
      <c r="H348" s="1"/>
      <c r="I348" s="1"/>
      <c r="J348" s="1"/>
      <c r="K348" s="1"/>
      <c r="L348" s="1"/>
      <c r="M348" s="1"/>
      <c r="N348" s="1"/>
      <c r="O348" s="1"/>
      <c r="P348" s="1"/>
      <c r="Q348" s="1"/>
      <c r="R348" s="1"/>
      <c r="S348" s="1"/>
      <c r="T348" s="1"/>
      <c r="U348" s="65">
        <f t="shared" ref="U348:BD348" si="161">G$333*$B348</f>
        <v>0</v>
      </c>
      <c r="V348" s="65">
        <f t="shared" si="161"/>
        <v>0</v>
      </c>
      <c r="W348" s="65">
        <f t="shared" si="161"/>
        <v>0</v>
      </c>
      <c r="X348" s="65">
        <f t="shared" si="161"/>
        <v>0</v>
      </c>
      <c r="Y348" s="65">
        <f t="shared" si="161"/>
        <v>0</v>
      </c>
      <c r="Z348" s="65">
        <f t="shared" si="161"/>
        <v>0</v>
      </c>
      <c r="AA348" s="65">
        <f t="shared" si="161"/>
        <v>0</v>
      </c>
      <c r="AB348" s="65">
        <f t="shared" si="161"/>
        <v>0</v>
      </c>
      <c r="AC348" s="65">
        <f t="shared" si="161"/>
        <v>0</v>
      </c>
      <c r="AD348" s="65">
        <f t="shared" si="161"/>
        <v>0</v>
      </c>
      <c r="AE348" s="65">
        <f t="shared" si="161"/>
        <v>0</v>
      </c>
      <c r="AF348" s="65">
        <f t="shared" si="161"/>
        <v>0</v>
      </c>
      <c r="AG348" s="65">
        <f t="shared" si="161"/>
        <v>0</v>
      </c>
      <c r="AH348" s="65">
        <f t="shared" si="161"/>
        <v>0</v>
      </c>
      <c r="AI348" s="65">
        <f t="shared" si="161"/>
        <v>0</v>
      </c>
      <c r="AJ348" s="65">
        <f t="shared" si="161"/>
        <v>0</v>
      </c>
      <c r="AK348" s="65">
        <f t="shared" si="161"/>
        <v>0</v>
      </c>
      <c r="AL348" s="65">
        <f t="shared" si="161"/>
        <v>0</v>
      </c>
      <c r="AM348" s="65">
        <f t="shared" si="161"/>
        <v>0</v>
      </c>
      <c r="AN348" s="65">
        <f t="shared" si="161"/>
        <v>0</v>
      </c>
      <c r="AO348" s="65">
        <f t="shared" si="161"/>
        <v>0</v>
      </c>
      <c r="AP348" s="65">
        <f t="shared" si="161"/>
        <v>0</v>
      </c>
      <c r="AQ348" s="65">
        <f t="shared" si="161"/>
        <v>0</v>
      </c>
      <c r="AR348" s="65">
        <f t="shared" si="161"/>
        <v>0</v>
      </c>
      <c r="AS348" s="65">
        <f t="shared" si="161"/>
        <v>0</v>
      </c>
      <c r="AT348" s="65">
        <f t="shared" si="161"/>
        <v>0</v>
      </c>
      <c r="AU348" s="65">
        <f t="shared" si="161"/>
        <v>0</v>
      </c>
      <c r="AV348" s="65">
        <f t="shared" si="161"/>
        <v>0</v>
      </c>
      <c r="AW348" s="65">
        <f t="shared" si="161"/>
        <v>0</v>
      </c>
      <c r="AX348" s="65">
        <f t="shared" si="161"/>
        <v>0</v>
      </c>
      <c r="AY348" s="65">
        <f t="shared" si="161"/>
        <v>0</v>
      </c>
      <c r="AZ348" s="65">
        <f t="shared" si="161"/>
        <v>0</v>
      </c>
      <c r="BA348" s="65">
        <f t="shared" si="161"/>
        <v>0</v>
      </c>
      <c r="BB348" s="65">
        <f t="shared" si="161"/>
        <v>0</v>
      </c>
      <c r="BC348" s="65">
        <f t="shared" si="161"/>
        <v>0</v>
      </c>
      <c r="BD348" s="65">
        <f t="shared" si="161"/>
        <v>0</v>
      </c>
    </row>
    <row r="349" spans="2:56" ht="15" customHeight="1">
      <c r="B349" s="39">
        <f>IF(Inputs!$E$51=1,Inputs!E121,IF(Inputs!$E$50=0,0,MIN(1/Inputs!$E$50,1-SUM($B$334:B348))))</f>
        <v>0</v>
      </c>
      <c r="C349" s="21">
        <f t="shared" si="156"/>
        <v>0</v>
      </c>
      <c r="D349" s="40" t="s">
        <v>227</v>
      </c>
      <c r="E349" s="18" t="s">
        <v>333</v>
      </c>
      <c r="G349" s="1"/>
      <c r="H349" s="1"/>
      <c r="I349" s="1"/>
      <c r="J349" s="1"/>
      <c r="K349" s="1"/>
      <c r="L349" s="1"/>
      <c r="M349" s="1"/>
      <c r="N349" s="1"/>
      <c r="O349" s="1"/>
      <c r="P349" s="1"/>
      <c r="Q349" s="1"/>
      <c r="R349" s="1"/>
      <c r="S349" s="1"/>
      <c r="T349" s="1"/>
      <c r="U349" s="1"/>
      <c r="V349" s="65">
        <f t="shared" ref="V349:BD349" si="162">G$333*$B349</f>
        <v>0</v>
      </c>
      <c r="W349" s="65">
        <f t="shared" si="162"/>
        <v>0</v>
      </c>
      <c r="X349" s="65">
        <f t="shared" si="162"/>
        <v>0</v>
      </c>
      <c r="Y349" s="65">
        <f t="shared" si="162"/>
        <v>0</v>
      </c>
      <c r="Z349" s="65">
        <f t="shared" si="162"/>
        <v>0</v>
      </c>
      <c r="AA349" s="65">
        <f t="shared" si="162"/>
        <v>0</v>
      </c>
      <c r="AB349" s="65">
        <f t="shared" si="162"/>
        <v>0</v>
      </c>
      <c r="AC349" s="65">
        <f t="shared" si="162"/>
        <v>0</v>
      </c>
      <c r="AD349" s="65">
        <f t="shared" si="162"/>
        <v>0</v>
      </c>
      <c r="AE349" s="65">
        <f t="shared" si="162"/>
        <v>0</v>
      </c>
      <c r="AF349" s="65">
        <f t="shared" si="162"/>
        <v>0</v>
      </c>
      <c r="AG349" s="65">
        <f t="shared" si="162"/>
        <v>0</v>
      </c>
      <c r="AH349" s="65">
        <f t="shared" si="162"/>
        <v>0</v>
      </c>
      <c r="AI349" s="65">
        <f t="shared" si="162"/>
        <v>0</v>
      </c>
      <c r="AJ349" s="65">
        <f t="shared" si="162"/>
        <v>0</v>
      </c>
      <c r="AK349" s="65">
        <f t="shared" si="162"/>
        <v>0</v>
      </c>
      <c r="AL349" s="65">
        <f t="shared" si="162"/>
        <v>0</v>
      </c>
      <c r="AM349" s="65">
        <f t="shared" si="162"/>
        <v>0</v>
      </c>
      <c r="AN349" s="65">
        <f t="shared" si="162"/>
        <v>0</v>
      </c>
      <c r="AO349" s="65">
        <f t="shared" si="162"/>
        <v>0</v>
      </c>
      <c r="AP349" s="65">
        <f t="shared" si="162"/>
        <v>0</v>
      </c>
      <c r="AQ349" s="65">
        <f t="shared" si="162"/>
        <v>0</v>
      </c>
      <c r="AR349" s="65">
        <f t="shared" si="162"/>
        <v>0</v>
      </c>
      <c r="AS349" s="65">
        <f t="shared" si="162"/>
        <v>0</v>
      </c>
      <c r="AT349" s="65">
        <f t="shared" si="162"/>
        <v>0</v>
      </c>
      <c r="AU349" s="65">
        <f t="shared" si="162"/>
        <v>0</v>
      </c>
      <c r="AV349" s="65">
        <f t="shared" si="162"/>
        <v>0</v>
      </c>
      <c r="AW349" s="65">
        <f t="shared" si="162"/>
        <v>0</v>
      </c>
      <c r="AX349" s="65">
        <f t="shared" si="162"/>
        <v>0</v>
      </c>
      <c r="AY349" s="65">
        <f t="shared" si="162"/>
        <v>0</v>
      </c>
      <c r="AZ349" s="65">
        <f t="shared" si="162"/>
        <v>0</v>
      </c>
      <c r="BA349" s="65">
        <f t="shared" si="162"/>
        <v>0</v>
      </c>
      <c r="BB349" s="65">
        <f t="shared" si="162"/>
        <v>0</v>
      </c>
      <c r="BC349" s="65">
        <f t="shared" si="162"/>
        <v>0</v>
      </c>
      <c r="BD349" s="65">
        <f t="shared" si="162"/>
        <v>0</v>
      </c>
    </row>
    <row r="350" spans="2:56" ht="15" customHeight="1">
      <c r="B350" s="39">
        <f>IF(Inputs!$E$51=1,Inputs!E122,IF(Inputs!$E$50=0,0,MIN(1/Inputs!$E$50,1-SUM($B$334:B349))))</f>
        <v>0</v>
      </c>
      <c r="C350" s="21">
        <f t="shared" si="156"/>
        <v>0</v>
      </c>
      <c r="D350" s="40" t="s">
        <v>228</v>
      </c>
      <c r="E350" s="18" t="s">
        <v>333</v>
      </c>
      <c r="G350" s="1"/>
      <c r="H350" s="1"/>
      <c r="I350" s="1"/>
      <c r="J350" s="1"/>
      <c r="K350" s="1"/>
      <c r="L350" s="1"/>
      <c r="M350" s="1"/>
      <c r="N350" s="1"/>
      <c r="O350" s="1"/>
      <c r="P350" s="1"/>
      <c r="Q350" s="1"/>
      <c r="R350" s="1"/>
      <c r="S350" s="1"/>
      <c r="T350" s="1"/>
      <c r="U350" s="1"/>
      <c r="V350" s="1"/>
      <c r="W350" s="65">
        <f t="shared" ref="W350:BD350" si="163">G$333*$B350</f>
        <v>0</v>
      </c>
      <c r="X350" s="65">
        <f t="shared" si="163"/>
        <v>0</v>
      </c>
      <c r="Y350" s="65">
        <f t="shared" si="163"/>
        <v>0</v>
      </c>
      <c r="Z350" s="65">
        <f t="shared" si="163"/>
        <v>0</v>
      </c>
      <c r="AA350" s="65">
        <f t="shared" si="163"/>
        <v>0</v>
      </c>
      <c r="AB350" s="65">
        <f t="shared" si="163"/>
        <v>0</v>
      </c>
      <c r="AC350" s="65">
        <f t="shared" si="163"/>
        <v>0</v>
      </c>
      <c r="AD350" s="65">
        <f t="shared" si="163"/>
        <v>0</v>
      </c>
      <c r="AE350" s="65">
        <f t="shared" si="163"/>
        <v>0</v>
      </c>
      <c r="AF350" s="65">
        <f t="shared" si="163"/>
        <v>0</v>
      </c>
      <c r="AG350" s="65">
        <f t="shared" si="163"/>
        <v>0</v>
      </c>
      <c r="AH350" s="65">
        <f t="shared" si="163"/>
        <v>0</v>
      </c>
      <c r="AI350" s="65">
        <f t="shared" si="163"/>
        <v>0</v>
      </c>
      <c r="AJ350" s="65">
        <f t="shared" si="163"/>
        <v>0</v>
      </c>
      <c r="AK350" s="65">
        <f t="shared" si="163"/>
        <v>0</v>
      </c>
      <c r="AL350" s="65">
        <f t="shared" si="163"/>
        <v>0</v>
      </c>
      <c r="AM350" s="65">
        <f t="shared" si="163"/>
        <v>0</v>
      </c>
      <c r="AN350" s="65">
        <f t="shared" si="163"/>
        <v>0</v>
      </c>
      <c r="AO350" s="65">
        <f t="shared" si="163"/>
        <v>0</v>
      </c>
      <c r="AP350" s="65">
        <f t="shared" si="163"/>
        <v>0</v>
      </c>
      <c r="AQ350" s="65">
        <f t="shared" si="163"/>
        <v>0</v>
      </c>
      <c r="AR350" s="65">
        <f t="shared" si="163"/>
        <v>0</v>
      </c>
      <c r="AS350" s="65">
        <f t="shared" si="163"/>
        <v>0</v>
      </c>
      <c r="AT350" s="65">
        <f t="shared" si="163"/>
        <v>0</v>
      </c>
      <c r="AU350" s="65">
        <f t="shared" si="163"/>
        <v>0</v>
      </c>
      <c r="AV350" s="65">
        <f t="shared" si="163"/>
        <v>0</v>
      </c>
      <c r="AW350" s="65">
        <f t="shared" si="163"/>
        <v>0</v>
      </c>
      <c r="AX350" s="65">
        <f t="shared" si="163"/>
        <v>0</v>
      </c>
      <c r="AY350" s="65">
        <f t="shared" si="163"/>
        <v>0</v>
      </c>
      <c r="AZ350" s="65">
        <f t="shared" si="163"/>
        <v>0</v>
      </c>
      <c r="BA350" s="65">
        <f t="shared" si="163"/>
        <v>0</v>
      </c>
      <c r="BB350" s="65">
        <f t="shared" si="163"/>
        <v>0</v>
      </c>
      <c r="BC350" s="65">
        <f t="shared" si="163"/>
        <v>0</v>
      </c>
      <c r="BD350" s="65">
        <f t="shared" si="163"/>
        <v>0</v>
      </c>
    </row>
    <row r="351" spans="2:56" ht="15" customHeight="1">
      <c r="B351" s="39">
        <f>IF(Inputs!$E$51=1,Inputs!E123,IF(Inputs!$E$50=0,0,MIN(1/Inputs!$E$50,1-SUM($B$334:B350))))</f>
        <v>0</v>
      </c>
      <c r="C351" s="21">
        <f t="shared" si="156"/>
        <v>0</v>
      </c>
      <c r="D351" s="40" t="s">
        <v>229</v>
      </c>
      <c r="E351" s="18" t="s">
        <v>333</v>
      </c>
      <c r="G351" s="1"/>
      <c r="H351" s="1"/>
      <c r="I351" s="1"/>
      <c r="J351" s="1"/>
      <c r="K351" s="1"/>
      <c r="L351" s="1"/>
      <c r="M351" s="1"/>
      <c r="N351" s="1"/>
      <c r="O351" s="1"/>
      <c r="P351" s="1"/>
      <c r="Q351" s="1"/>
      <c r="R351" s="1"/>
      <c r="S351" s="1"/>
      <c r="T351" s="1"/>
      <c r="U351" s="1"/>
      <c r="V351" s="1"/>
      <c r="W351" s="1"/>
      <c r="X351" s="65">
        <f t="shared" ref="X351:BD351" si="164">G$333*$B351</f>
        <v>0</v>
      </c>
      <c r="Y351" s="65">
        <f t="shared" si="164"/>
        <v>0</v>
      </c>
      <c r="Z351" s="65">
        <f t="shared" si="164"/>
        <v>0</v>
      </c>
      <c r="AA351" s="65">
        <f t="shared" si="164"/>
        <v>0</v>
      </c>
      <c r="AB351" s="65">
        <f t="shared" si="164"/>
        <v>0</v>
      </c>
      <c r="AC351" s="65">
        <f t="shared" si="164"/>
        <v>0</v>
      </c>
      <c r="AD351" s="65">
        <f t="shared" si="164"/>
        <v>0</v>
      </c>
      <c r="AE351" s="65">
        <f t="shared" si="164"/>
        <v>0</v>
      </c>
      <c r="AF351" s="65">
        <f t="shared" si="164"/>
        <v>0</v>
      </c>
      <c r="AG351" s="65">
        <f t="shared" si="164"/>
        <v>0</v>
      </c>
      <c r="AH351" s="65">
        <f t="shared" si="164"/>
        <v>0</v>
      </c>
      <c r="AI351" s="65">
        <f t="shared" si="164"/>
        <v>0</v>
      </c>
      <c r="AJ351" s="65">
        <f t="shared" si="164"/>
        <v>0</v>
      </c>
      <c r="AK351" s="65">
        <f t="shared" si="164"/>
        <v>0</v>
      </c>
      <c r="AL351" s="65">
        <f t="shared" si="164"/>
        <v>0</v>
      </c>
      <c r="AM351" s="65">
        <f t="shared" si="164"/>
        <v>0</v>
      </c>
      <c r="AN351" s="65">
        <f t="shared" si="164"/>
        <v>0</v>
      </c>
      <c r="AO351" s="65">
        <f t="shared" si="164"/>
        <v>0</v>
      </c>
      <c r="AP351" s="65">
        <f t="shared" si="164"/>
        <v>0</v>
      </c>
      <c r="AQ351" s="65">
        <f t="shared" si="164"/>
        <v>0</v>
      </c>
      <c r="AR351" s="65">
        <f t="shared" si="164"/>
        <v>0</v>
      </c>
      <c r="AS351" s="65">
        <f t="shared" si="164"/>
        <v>0</v>
      </c>
      <c r="AT351" s="65">
        <f t="shared" si="164"/>
        <v>0</v>
      </c>
      <c r="AU351" s="65">
        <f t="shared" si="164"/>
        <v>0</v>
      </c>
      <c r="AV351" s="65">
        <f t="shared" si="164"/>
        <v>0</v>
      </c>
      <c r="AW351" s="65">
        <f t="shared" si="164"/>
        <v>0</v>
      </c>
      <c r="AX351" s="65">
        <f t="shared" si="164"/>
        <v>0</v>
      </c>
      <c r="AY351" s="65">
        <f t="shared" si="164"/>
        <v>0</v>
      </c>
      <c r="AZ351" s="65">
        <f t="shared" si="164"/>
        <v>0</v>
      </c>
      <c r="BA351" s="65">
        <f t="shared" si="164"/>
        <v>0</v>
      </c>
      <c r="BB351" s="65">
        <f t="shared" si="164"/>
        <v>0</v>
      </c>
      <c r="BC351" s="65">
        <f t="shared" si="164"/>
        <v>0</v>
      </c>
      <c r="BD351" s="65">
        <f t="shared" si="164"/>
        <v>0</v>
      </c>
    </row>
    <row r="352" spans="2:56" ht="15" customHeight="1">
      <c r="B352" s="39">
        <f>IF(Inputs!$E$51=1,Inputs!E124,IF(Inputs!$E$50=0,0,MIN(1/Inputs!$E$50,1-SUM($B$334:B351))))</f>
        <v>0</v>
      </c>
      <c r="C352" s="21">
        <f t="shared" si="156"/>
        <v>0</v>
      </c>
      <c r="D352" s="40" t="s">
        <v>230</v>
      </c>
      <c r="E352" s="18" t="s">
        <v>333</v>
      </c>
      <c r="G352" s="1"/>
      <c r="H352" s="1"/>
      <c r="I352" s="1"/>
      <c r="J352" s="1"/>
      <c r="K352" s="1"/>
      <c r="L352" s="1"/>
      <c r="M352" s="1"/>
      <c r="N352" s="1"/>
      <c r="O352" s="1"/>
      <c r="P352" s="1"/>
      <c r="Q352" s="1"/>
      <c r="R352" s="1"/>
      <c r="S352" s="1"/>
      <c r="T352" s="1"/>
      <c r="U352" s="1"/>
      <c r="V352" s="1"/>
      <c r="W352" s="1"/>
      <c r="X352" s="1"/>
      <c r="Y352" s="65">
        <f t="shared" ref="Y352:BD352" si="165">G$333*$B352</f>
        <v>0</v>
      </c>
      <c r="Z352" s="65">
        <f t="shared" si="165"/>
        <v>0</v>
      </c>
      <c r="AA352" s="65">
        <f t="shared" si="165"/>
        <v>0</v>
      </c>
      <c r="AB352" s="65">
        <f t="shared" si="165"/>
        <v>0</v>
      </c>
      <c r="AC352" s="65">
        <f t="shared" si="165"/>
        <v>0</v>
      </c>
      <c r="AD352" s="65">
        <f t="shared" si="165"/>
        <v>0</v>
      </c>
      <c r="AE352" s="65">
        <f t="shared" si="165"/>
        <v>0</v>
      </c>
      <c r="AF352" s="65">
        <f t="shared" si="165"/>
        <v>0</v>
      </c>
      <c r="AG352" s="65">
        <f t="shared" si="165"/>
        <v>0</v>
      </c>
      <c r="AH352" s="65">
        <f t="shared" si="165"/>
        <v>0</v>
      </c>
      <c r="AI352" s="65">
        <f t="shared" si="165"/>
        <v>0</v>
      </c>
      <c r="AJ352" s="65">
        <f t="shared" si="165"/>
        <v>0</v>
      </c>
      <c r="AK352" s="65">
        <f t="shared" si="165"/>
        <v>0</v>
      </c>
      <c r="AL352" s="65">
        <f t="shared" si="165"/>
        <v>0</v>
      </c>
      <c r="AM352" s="65">
        <f t="shared" si="165"/>
        <v>0</v>
      </c>
      <c r="AN352" s="65">
        <f t="shared" si="165"/>
        <v>0</v>
      </c>
      <c r="AO352" s="65">
        <f t="shared" si="165"/>
        <v>0</v>
      </c>
      <c r="AP352" s="65">
        <f t="shared" si="165"/>
        <v>0</v>
      </c>
      <c r="AQ352" s="65">
        <f t="shared" si="165"/>
        <v>0</v>
      </c>
      <c r="AR352" s="65">
        <f t="shared" si="165"/>
        <v>0</v>
      </c>
      <c r="AS352" s="65">
        <f t="shared" si="165"/>
        <v>0</v>
      </c>
      <c r="AT352" s="65">
        <f t="shared" si="165"/>
        <v>0</v>
      </c>
      <c r="AU352" s="65">
        <f t="shared" si="165"/>
        <v>0</v>
      </c>
      <c r="AV352" s="65">
        <f t="shared" si="165"/>
        <v>0</v>
      </c>
      <c r="AW352" s="65">
        <f t="shared" si="165"/>
        <v>0</v>
      </c>
      <c r="AX352" s="65">
        <f t="shared" si="165"/>
        <v>0</v>
      </c>
      <c r="AY352" s="65">
        <f t="shared" si="165"/>
        <v>0</v>
      </c>
      <c r="AZ352" s="65">
        <f t="shared" si="165"/>
        <v>0</v>
      </c>
      <c r="BA352" s="65">
        <f t="shared" si="165"/>
        <v>0</v>
      </c>
      <c r="BB352" s="65">
        <f t="shared" si="165"/>
        <v>0</v>
      </c>
      <c r="BC352" s="65">
        <f t="shared" si="165"/>
        <v>0</v>
      </c>
      <c r="BD352" s="65">
        <f t="shared" si="165"/>
        <v>0</v>
      </c>
    </row>
    <row r="353" spans="2:56" ht="15" customHeight="1">
      <c r="B353" s="39">
        <f>IF(Inputs!$E$51=1,Inputs!E125,IF(Inputs!$E$50=0,0,MIN(1/Inputs!$E$50,1-SUM($B$334:B352))))</f>
        <v>0</v>
      </c>
      <c r="C353" s="21">
        <f t="shared" si="156"/>
        <v>0</v>
      </c>
      <c r="D353" s="40" t="s">
        <v>231</v>
      </c>
      <c r="E353" s="18" t="s">
        <v>333</v>
      </c>
      <c r="G353" s="1"/>
      <c r="H353" s="1"/>
      <c r="I353" s="1"/>
      <c r="J353" s="1"/>
      <c r="K353" s="1"/>
      <c r="L353" s="1"/>
      <c r="M353" s="1"/>
      <c r="N353" s="1"/>
      <c r="O353" s="1"/>
      <c r="P353" s="1"/>
      <c r="Q353" s="1"/>
      <c r="R353" s="1"/>
      <c r="S353" s="1"/>
      <c r="T353" s="1"/>
      <c r="U353" s="1"/>
      <c r="V353" s="1"/>
      <c r="W353" s="1"/>
      <c r="X353" s="1"/>
      <c r="Y353" s="1"/>
      <c r="Z353" s="65">
        <f t="shared" ref="Z353:BD353" si="166">G$333*$B353</f>
        <v>0</v>
      </c>
      <c r="AA353" s="65">
        <f t="shared" si="166"/>
        <v>0</v>
      </c>
      <c r="AB353" s="65">
        <f t="shared" si="166"/>
        <v>0</v>
      </c>
      <c r="AC353" s="65">
        <f t="shared" si="166"/>
        <v>0</v>
      </c>
      <c r="AD353" s="65">
        <f t="shared" si="166"/>
        <v>0</v>
      </c>
      <c r="AE353" s="65">
        <f t="shared" si="166"/>
        <v>0</v>
      </c>
      <c r="AF353" s="65">
        <f t="shared" si="166"/>
        <v>0</v>
      </c>
      <c r="AG353" s="65">
        <f t="shared" si="166"/>
        <v>0</v>
      </c>
      <c r="AH353" s="65">
        <f t="shared" si="166"/>
        <v>0</v>
      </c>
      <c r="AI353" s="65">
        <f t="shared" si="166"/>
        <v>0</v>
      </c>
      <c r="AJ353" s="65">
        <f t="shared" si="166"/>
        <v>0</v>
      </c>
      <c r="AK353" s="65">
        <f t="shared" si="166"/>
        <v>0</v>
      </c>
      <c r="AL353" s="65">
        <f t="shared" si="166"/>
        <v>0</v>
      </c>
      <c r="AM353" s="65">
        <f t="shared" si="166"/>
        <v>0</v>
      </c>
      <c r="AN353" s="65">
        <f t="shared" si="166"/>
        <v>0</v>
      </c>
      <c r="AO353" s="65">
        <f t="shared" si="166"/>
        <v>0</v>
      </c>
      <c r="AP353" s="65">
        <f t="shared" si="166"/>
        <v>0</v>
      </c>
      <c r="AQ353" s="65">
        <f t="shared" si="166"/>
        <v>0</v>
      </c>
      <c r="AR353" s="65">
        <f t="shared" si="166"/>
        <v>0</v>
      </c>
      <c r="AS353" s="65">
        <f t="shared" si="166"/>
        <v>0</v>
      </c>
      <c r="AT353" s="65">
        <f t="shared" si="166"/>
        <v>0</v>
      </c>
      <c r="AU353" s="65">
        <f t="shared" si="166"/>
        <v>0</v>
      </c>
      <c r="AV353" s="65">
        <f t="shared" si="166"/>
        <v>0</v>
      </c>
      <c r="AW353" s="65">
        <f t="shared" si="166"/>
        <v>0</v>
      </c>
      <c r="AX353" s="65">
        <f t="shared" si="166"/>
        <v>0</v>
      </c>
      <c r="AY353" s="65">
        <f t="shared" si="166"/>
        <v>0</v>
      </c>
      <c r="AZ353" s="65">
        <f t="shared" si="166"/>
        <v>0</v>
      </c>
      <c r="BA353" s="65">
        <f t="shared" si="166"/>
        <v>0</v>
      </c>
      <c r="BB353" s="65">
        <f t="shared" si="166"/>
        <v>0</v>
      </c>
      <c r="BC353" s="65">
        <f t="shared" si="166"/>
        <v>0</v>
      </c>
      <c r="BD353" s="65">
        <f t="shared" si="166"/>
        <v>0</v>
      </c>
    </row>
    <row r="354" spans="2:56" ht="15" customHeight="1">
      <c r="B354" s="41"/>
      <c r="C354" s="21">
        <f>SUM(G354:BD354)</f>
        <v>477.57481199999995</v>
      </c>
      <c r="D354" s="42" t="s">
        <v>486</v>
      </c>
      <c r="E354" s="18" t="s">
        <v>333</v>
      </c>
      <c r="G354" s="19">
        <f>SUM(G334:G353)</f>
        <v>0</v>
      </c>
      <c r="H354" s="19">
        <f t="shared" ref="H354:BD354" si="167">SUM(H334:H353)</f>
        <v>0</v>
      </c>
      <c r="I354" s="19">
        <f t="shared" si="167"/>
        <v>0</v>
      </c>
      <c r="J354" s="19">
        <f t="shared" si="167"/>
        <v>0</v>
      </c>
      <c r="K354" s="19">
        <f t="shared" si="167"/>
        <v>95.514962400000002</v>
      </c>
      <c r="L354" s="19">
        <f t="shared" si="167"/>
        <v>95.514962400000002</v>
      </c>
      <c r="M354" s="19">
        <f t="shared" si="167"/>
        <v>95.514962400000002</v>
      </c>
      <c r="N354" s="19">
        <f t="shared" si="167"/>
        <v>95.514962400000002</v>
      </c>
      <c r="O354" s="19">
        <f t="shared" si="167"/>
        <v>95.514962399999973</v>
      </c>
      <c r="P354" s="19">
        <f t="shared" si="167"/>
        <v>0</v>
      </c>
      <c r="Q354" s="19">
        <f t="shared" si="167"/>
        <v>0</v>
      </c>
      <c r="R354" s="19">
        <f t="shared" si="167"/>
        <v>0</v>
      </c>
      <c r="S354" s="19">
        <f t="shared" si="167"/>
        <v>0</v>
      </c>
      <c r="T354" s="19">
        <f t="shared" si="167"/>
        <v>0</v>
      </c>
      <c r="U354" s="19">
        <f t="shared" si="167"/>
        <v>0</v>
      </c>
      <c r="V354" s="19">
        <f t="shared" si="167"/>
        <v>0</v>
      </c>
      <c r="W354" s="19">
        <f t="shared" si="167"/>
        <v>0</v>
      </c>
      <c r="X354" s="19">
        <f t="shared" si="167"/>
        <v>0</v>
      </c>
      <c r="Y354" s="19">
        <f t="shared" si="167"/>
        <v>0</v>
      </c>
      <c r="Z354" s="19">
        <f t="shared" si="167"/>
        <v>0</v>
      </c>
      <c r="AA354" s="19">
        <f t="shared" si="167"/>
        <v>0</v>
      </c>
      <c r="AB354" s="19">
        <f t="shared" si="167"/>
        <v>0</v>
      </c>
      <c r="AC354" s="19">
        <f t="shared" si="167"/>
        <v>0</v>
      </c>
      <c r="AD354" s="19">
        <f t="shared" si="167"/>
        <v>0</v>
      </c>
      <c r="AE354" s="19">
        <f t="shared" si="167"/>
        <v>0</v>
      </c>
      <c r="AF354" s="19">
        <f t="shared" si="167"/>
        <v>0</v>
      </c>
      <c r="AG354" s="19">
        <f t="shared" si="167"/>
        <v>0</v>
      </c>
      <c r="AH354" s="19">
        <f t="shared" si="167"/>
        <v>0</v>
      </c>
      <c r="AI354" s="19">
        <f t="shared" si="167"/>
        <v>0</v>
      </c>
      <c r="AJ354" s="19">
        <f t="shared" si="167"/>
        <v>0</v>
      </c>
      <c r="AK354" s="19">
        <f t="shared" si="167"/>
        <v>0</v>
      </c>
      <c r="AL354" s="19">
        <f t="shared" si="167"/>
        <v>0</v>
      </c>
      <c r="AM354" s="19">
        <f t="shared" si="167"/>
        <v>0</v>
      </c>
      <c r="AN354" s="19">
        <f t="shared" si="167"/>
        <v>0</v>
      </c>
      <c r="AO354" s="19">
        <f t="shared" si="167"/>
        <v>0</v>
      </c>
      <c r="AP354" s="19">
        <f t="shared" si="167"/>
        <v>0</v>
      </c>
      <c r="AQ354" s="19">
        <f t="shared" si="167"/>
        <v>0</v>
      </c>
      <c r="AR354" s="19">
        <f t="shared" si="167"/>
        <v>0</v>
      </c>
      <c r="AS354" s="19">
        <f t="shared" si="167"/>
        <v>0</v>
      </c>
      <c r="AT354" s="19">
        <f t="shared" si="167"/>
        <v>0</v>
      </c>
      <c r="AU354" s="19">
        <f t="shared" si="167"/>
        <v>0</v>
      </c>
      <c r="AV354" s="19">
        <f t="shared" si="167"/>
        <v>0</v>
      </c>
      <c r="AW354" s="19">
        <f t="shared" si="167"/>
        <v>0</v>
      </c>
      <c r="AX354" s="19">
        <f t="shared" si="167"/>
        <v>0</v>
      </c>
      <c r="AY354" s="19">
        <f t="shared" si="167"/>
        <v>0</v>
      </c>
      <c r="AZ354" s="19">
        <f t="shared" si="167"/>
        <v>0</v>
      </c>
      <c r="BA354" s="19">
        <f t="shared" si="167"/>
        <v>0</v>
      </c>
      <c r="BB354" s="19">
        <f t="shared" si="167"/>
        <v>0</v>
      </c>
      <c r="BC354" s="19">
        <f t="shared" si="167"/>
        <v>0</v>
      </c>
      <c r="BD354" s="19">
        <f t="shared" si="167"/>
        <v>0</v>
      </c>
    </row>
    <row r="355" spans="2:56" ht="15" customHeight="1">
      <c r="B355" s="41"/>
      <c r="C355" s="21"/>
      <c r="D355" s="42"/>
      <c r="E355" s="18"/>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row>
    <row r="356" spans="2:56" ht="15" customHeight="1">
      <c r="B356" s="94"/>
      <c r="C356" s="21">
        <f t="shared" ref="C356:C367" si="168">SUM(G356:BD356)</f>
        <v>1172.1429845951295</v>
      </c>
      <c r="D356" s="22" t="s">
        <v>487</v>
      </c>
      <c r="E356" s="18" t="s">
        <v>333</v>
      </c>
      <c r="G356" s="19">
        <f>G55 * (1 + Inputs!$E$55)</f>
        <v>0</v>
      </c>
      <c r="H356" s="19">
        <f>H55 * (1 + Inputs!$E$55)</f>
        <v>0</v>
      </c>
      <c r="I356" s="19">
        <f>I55 * (1 + Inputs!$E$55)</f>
        <v>0</v>
      </c>
      <c r="J356" s="19">
        <f>J55 * (1 + Inputs!$E$55)</f>
        <v>0</v>
      </c>
      <c r="K356" s="19">
        <f>K55 * (1 + Inputs!$E$55)</f>
        <v>0</v>
      </c>
      <c r="L356" s="19">
        <f>L55 * (1 + Inputs!$E$55)</f>
        <v>44.163232128000004</v>
      </c>
      <c r="M356" s="19">
        <f>M55 * (1 + Inputs!$E$55)</f>
        <v>45.046496770560005</v>
      </c>
      <c r="N356" s="19">
        <f>N55 * (1 + Inputs!$E$55)</f>
        <v>45.947426705971196</v>
      </c>
      <c r="O356" s="19">
        <f>O55 * (1 + Inputs!$E$55)</f>
        <v>46.866375240090619</v>
      </c>
      <c r="P356" s="19">
        <f>P55 * (1 + Inputs!$E$55)</f>
        <v>47.803702744892433</v>
      </c>
      <c r="Q356" s="19">
        <f>Q55 * (1 + Inputs!$E$55)</f>
        <v>48.759776799790288</v>
      </c>
      <c r="R356" s="19">
        <f>R55 * (1 + Inputs!$E$55)</f>
        <v>49.734972335786082</v>
      </c>
      <c r="S356" s="19">
        <f>S55 * (1 + Inputs!$E$55)</f>
        <v>50.729671782501811</v>
      </c>
      <c r="T356" s="19">
        <f>T55 * (1 + Inputs!$E$55)</f>
        <v>51.744265218151845</v>
      </c>
      <c r="U356" s="19">
        <f>U55 * (1 + Inputs!$E$55)</f>
        <v>52.779150522514882</v>
      </c>
      <c r="V356" s="19">
        <f>V55 * (1 + Inputs!$E$55)</f>
        <v>53.834733532965167</v>
      </c>
      <c r="W356" s="19">
        <f>W55 * (1 + Inputs!$E$55)</f>
        <v>54.911428203624482</v>
      </c>
      <c r="X356" s="19">
        <f>X55 * (1 + Inputs!$E$55)</f>
        <v>56.009656767696974</v>
      </c>
      <c r="Y356" s="19">
        <f>Y55 * (1 + Inputs!$E$55)</f>
        <v>57.129849903050911</v>
      </c>
      <c r="Z356" s="19">
        <f>Z55 * (1 + Inputs!$E$55)</f>
        <v>58.272446901111927</v>
      </c>
      <c r="AA356" s="19">
        <f>AA55 * (1 + Inputs!$E$55)</f>
        <v>59.437895839134171</v>
      </c>
      <c r="AB356" s="19">
        <f>AB55 * (1 + Inputs!$E$55)</f>
        <v>60.626653755916848</v>
      </c>
      <c r="AC356" s="19">
        <f>AC55 * (1 + Inputs!$E$55)</f>
        <v>61.839186831035192</v>
      </c>
      <c r="AD356" s="19">
        <f>AD55 * (1 + Inputs!$E$55)</f>
        <v>63.07597056765588</v>
      </c>
      <c r="AE356" s="19">
        <f>AE55 * (1 + Inputs!$E$55)</f>
        <v>64.337489979009007</v>
      </c>
      <c r="AF356" s="19">
        <f>AF55 * (1 + Inputs!$E$55)</f>
        <v>65.624239778589185</v>
      </c>
      <c r="AG356" s="19">
        <f>AG55 * (1 + Inputs!$E$55)</f>
        <v>33.468362287080488</v>
      </c>
      <c r="AH356" s="19">
        <f>AH55 * (1 + Inputs!$E$55)</f>
        <v>0</v>
      </c>
      <c r="AI356" s="19">
        <f>AI55 * (1 + Inputs!$E$55)</f>
        <v>0</v>
      </c>
      <c r="AJ356" s="19">
        <f>AJ55 * (1 + Inputs!$E$55)</f>
        <v>0</v>
      </c>
      <c r="AK356" s="19">
        <f>AK55 * (1 + Inputs!$E$55)</f>
        <v>0</v>
      </c>
      <c r="AL356" s="19">
        <f>AL55 * (1 + Inputs!$E$55)</f>
        <v>0</v>
      </c>
      <c r="AM356" s="19">
        <f>AM55 * (1 + Inputs!$E$55)</f>
        <v>0</v>
      </c>
      <c r="AN356" s="19">
        <f>AN55 * (1 + Inputs!$E$55)</f>
        <v>0</v>
      </c>
      <c r="AO356" s="19">
        <f>AO55 * (1 + Inputs!$E$55)</f>
        <v>0</v>
      </c>
      <c r="AP356" s="19">
        <f>AP55 * (1 + Inputs!$E$55)</f>
        <v>0</v>
      </c>
      <c r="AQ356" s="19">
        <f>AQ55 * (1 + Inputs!$E$55)</f>
        <v>0</v>
      </c>
      <c r="AR356" s="19">
        <f>AR55 * (1 + Inputs!$E$55)</f>
        <v>0</v>
      </c>
      <c r="AS356" s="19">
        <f>AS55 * (1 + Inputs!$E$55)</f>
        <v>0</v>
      </c>
      <c r="AT356" s="19">
        <f>AT55 * (1 + Inputs!$E$55)</f>
        <v>0</v>
      </c>
      <c r="AU356" s="19">
        <f>AU55 * (1 + Inputs!$E$55)</f>
        <v>0</v>
      </c>
      <c r="AV356" s="19">
        <f>AV55 * (1 + Inputs!$E$55)</f>
        <v>0</v>
      </c>
      <c r="AW356" s="19">
        <f>AW55 * (1 + Inputs!$E$55)</f>
        <v>0</v>
      </c>
      <c r="AX356" s="19">
        <f>AX55 * (1 + Inputs!$E$55)</f>
        <v>0</v>
      </c>
      <c r="AY356" s="19">
        <f>AY55 * (1 + Inputs!$E$55)</f>
        <v>0</v>
      </c>
      <c r="AZ356" s="19">
        <f>AZ55 * (1 + Inputs!$E$55)</f>
        <v>0</v>
      </c>
      <c r="BA356" s="19">
        <f>BA55 * (1 + Inputs!$E$55)</f>
        <v>0</v>
      </c>
      <c r="BB356" s="19">
        <f>BB55 * (1 + Inputs!$E$55)</f>
        <v>0</v>
      </c>
      <c r="BC356" s="19">
        <f>BC55 * (1 + Inputs!$E$55)</f>
        <v>0</v>
      </c>
      <c r="BD356" s="19">
        <f>BD55 * (1 + Inputs!$E$55)</f>
        <v>0</v>
      </c>
    </row>
    <row r="357" spans="2:56" ht="15" customHeight="1">
      <c r="C357" s="21">
        <f t="shared" si="168"/>
        <v>1172.1429845951295</v>
      </c>
      <c r="D357" s="22" t="str">
        <f>"Replacement capital costs ("&amp;Inputs!$E$49&amp;")"</f>
        <v>Replacement capital costs (deferred)</v>
      </c>
      <c r="E357" s="18" t="s">
        <v>333</v>
      </c>
      <c r="G357" s="19">
        <f>IF(Inputs!$E$49="immediate",G356,IF(G33=0,0,IF(G33=1,SUM($G$356:G356),G356)))</f>
        <v>0</v>
      </c>
      <c r="H357" s="19">
        <f>IF(Inputs!$E$49="immediate",H356,IF(H33=0,0,IF(H33=1,SUM($G$356:H356),H356)))</f>
        <v>0</v>
      </c>
      <c r="I357" s="19">
        <f>IF(Inputs!$E$49="immediate",I356,IF(I33=0,0,IF(I33=1,SUM($G$356:I356),I356)))</f>
        <v>0</v>
      </c>
      <c r="J357" s="19">
        <f>IF(Inputs!$E$49="immediate",J356,IF(J33=0,0,IF(J33=1,SUM($G$356:J356),J356)))</f>
        <v>0</v>
      </c>
      <c r="K357" s="19">
        <f>IF(Inputs!$E$49="immediate",K356,IF(K33=0,0,IF(K33=1,SUM($G$356:K356),K356)))</f>
        <v>0</v>
      </c>
      <c r="L357" s="19">
        <f>IF(Inputs!$E$49="immediate",L356,IF(L33=0,0,IF(L33=1,SUM($G$356:L356),L356)))</f>
        <v>44.163232128000004</v>
      </c>
      <c r="M357" s="19">
        <f>IF(Inputs!$E$49="immediate",M356,IF(M33=0,0,IF(M33=1,SUM($G$356:M356),M356)))</f>
        <v>45.046496770560005</v>
      </c>
      <c r="N357" s="19">
        <f>IF(Inputs!$E$49="immediate",N356,IF(N33=0,0,IF(N33=1,SUM($G$356:N356),N356)))</f>
        <v>45.947426705971196</v>
      </c>
      <c r="O357" s="19">
        <f>IF(Inputs!$E$49="immediate",O356,IF(O33=0,0,IF(O33=1,SUM($G$356:O356),O356)))</f>
        <v>46.866375240090619</v>
      </c>
      <c r="P357" s="19">
        <f>IF(Inputs!$E$49="immediate",P356,IF(P33=0,0,IF(P33=1,SUM($G$356:P356),P356)))</f>
        <v>47.803702744892433</v>
      </c>
      <c r="Q357" s="19">
        <f>IF(Inputs!$E$49="immediate",Q356,IF(Q33=0,0,IF(Q33=1,SUM($G$356:Q356),Q356)))</f>
        <v>48.759776799790288</v>
      </c>
      <c r="R357" s="19">
        <f>IF(Inputs!$E$49="immediate",R356,IF(R33=0,0,IF(R33=1,SUM($G$356:R356),R356)))</f>
        <v>49.734972335786082</v>
      </c>
      <c r="S357" s="19">
        <f>IF(Inputs!$E$49="immediate",S356,IF(S33=0,0,IF(S33=1,SUM($G$356:S356),S356)))</f>
        <v>50.729671782501811</v>
      </c>
      <c r="T357" s="19">
        <f>IF(Inputs!$E$49="immediate",T356,IF(T33=0,0,IF(T33=1,SUM($G$356:T356),T356)))</f>
        <v>51.744265218151845</v>
      </c>
      <c r="U357" s="19">
        <f>IF(Inputs!$E$49="immediate",U356,IF(U33=0,0,IF(U33=1,SUM($G$356:U356),U356)))</f>
        <v>52.779150522514882</v>
      </c>
      <c r="V357" s="19">
        <f>IF(Inputs!$E$49="immediate",V356,IF(V33=0,0,IF(V33=1,SUM($G$356:V356),V356)))</f>
        <v>53.834733532965167</v>
      </c>
      <c r="W357" s="19">
        <f>IF(Inputs!$E$49="immediate",W356,IF(W33=0,0,IF(W33=1,SUM($G$356:W356),W356)))</f>
        <v>54.911428203624482</v>
      </c>
      <c r="X357" s="19">
        <f>IF(Inputs!$E$49="immediate",X356,IF(X33=0,0,IF(X33=1,SUM($G$356:X356),X356)))</f>
        <v>56.009656767696974</v>
      </c>
      <c r="Y357" s="19">
        <f>IF(Inputs!$E$49="immediate",Y356,IF(Y33=0,0,IF(Y33=1,SUM($G$356:Y356),Y356)))</f>
        <v>57.129849903050911</v>
      </c>
      <c r="Z357" s="19">
        <f>IF(Inputs!$E$49="immediate",Z356,IF(Z33=0,0,IF(Z33=1,SUM($G$356:Z356),Z356)))</f>
        <v>58.272446901111927</v>
      </c>
      <c r="AA357" s="19">
        <f>IF(Inputs!$E$49="immediate",AA356,IF(AA33=0,0,IF(AA33=1,SUM($G$356:AA356),AA356)))</f>
        <v>59.437895839134171</v>
      </c>
      <c r="AB357" s="19">
        <f>IF(Inputs!$E$49="immediate",AB356,IF(AB33=0,0,IF(AB33=1,SUM($G$356:AB356),AB356)))</f>
        <v>60.626653755916848</v>
      </c>
      <c r="AC357" s="19">
        <f>IF(Inputs!$E$49="immediate",AC356,IF(AC33=0,0,IF(AC33=1,SUM($G$356:AC356),AC356)))</f>
        <v>61.839186831035192</v>
      </c>
      <c r="AD357" s="19">
        <f>IF(Inputs!$E$49="immediate",AD356,IF(AD33=0,0,IF(AD33=1,SUM($G$356:AD356),AD356)))</f>
        <v>63.07597056765588</v>
      </c>
      <c r="AE357" s="19">
        <f>IF(Inputs!$E$49="immediate",AE356,IF(AE33=0,0,IF(AE33=1,SUM($G$356:AE356),AE356)))</f>
        <v>64.337489979009007</v>
      </c>
      <c r="AF357" s="19">
        <f>IF(Inputs!$E$49="immediate",AF356,IF(AF33=0,0,IF(AF33=1,SUM($G$356:AF356),AF356)))</f>
        <v>65.624239778589185</v>
      </c>
      <c r="AG357" s="19">
        <f>IF(Inputs!$E$49="immediate",AG356,IF(AG33=0,0,IF(AG33=1,SUM($G$356:AG356),AG356)))</f>
        <v>33.468362287080488</v>
      </c>
      <c r="AH357" s="19">
        <f>IF(Inputs!$E$49="immediate",AH356,IF(AH33=0,0,IF(AH33=1,SUM($G$356:AH356),AH356)))</f>
        <v>0</v>
      </c>
      <c r="AI357" s="19">
        <f>IF(Inputs!$E$49="immediate",AI356,IF(AI33=0,0,IF(AI33=1,SUM($G$356:AI356),AI356)))</f>
        <v>0</v>
      </c>
      <c r="AJ357" s="19">
        <f>IF(Inputs!$E$49="immediate",AJ356,IF(AJ33=0,0,IF(AJ33=1,SUM($G$356:AJ356),AJ356)))</f>
        <v>0</v>
      </c>
      <c r="AK357" s="19">
        <f>IF(Inputs!$E$49="immediate",AK356,IF(AK33=0,0,IF(AK33=1,SUM($G$356:AK356),AK356)))</f>
        <v>0</v>
      </c>
      <c r="AL357" s="19">
        <f>IF(Inputs!$E$49="immediate",AL356,IF(AL33=0,0,IF(AL33=1,SUM($G$356:AL356),AL356)))</f>
        <v>0</v>
      </c>
      <c r="AM357" s="19">
        <f>IF(Inputs!$E$49="immediate",AM356,IF(AM33=0,0,IF(AM33=1,SUM($G$356:AM356),AM356)))</f>
        <v>0</v>
      </c>
      <c r="AN357" s="19">
        <f>IF(Inputs!$E$49="immediate",AN356,IF(AN33=0,0,IF(AN33=1,SUM($G$356:AN356),AN356)))</f>
        <v>0</v>
      </c>
      <c r="AO357" s="19">
        <f>IF(Inputs!$E$49="immediate",AO356,IF(AO33=0,0,IF(AO33=1,SUM($G$356:AO356),AO356)))</f>
        <v>0</v>
      </c>
      <c r="AP357" s="19">
        <f>IF(Inputs!$E$49="immediate",AP356,IF(AP33=0,0,IF(AP33=1,SUM($G$356:AP356),AP356)))</f>
        <v>0</v>
      </c>
      <c r="AQ357" s="19">
        <f>IF(Inputs!$E$49="immediate",AQ356,IF(AQ33=0,0,IF(AQ33=1,SUM($G$356:AQ356),AQ356)))</f>
        <v>0</v>
      </c>
      <c r="AR357" s="19">
        <f>IF(Inputs!$E$49="immediate",AR356,IF(AR33=0,0,IF(AR33=1,SUM($G$356:AR356),AR356)))</f>
        <v>0</v>
      </c>
      <c r="AS357" s="19">
        <f>IF(Inputs!$E$49="immediate",AS356,IF(AS33=0,0,IF(AS33=1,SUM($G$356:AS356),AS356)))</f>
        <v>0</v>
      </c>
      <c r="AT357" s="19">
        <f>IF(Inputs!$E$49="immediate",AT356,IF(AT33=0,0,IF(AT33=1,SUM($G$356:AT356),AT356)))</f>
        <v>0</v>
      </c>
      <c r="AU357" s="19">
        <f>IF(Inputs!$E$49="immediate",AU356,IF(AU33=0,0,IF(AU33=1,SUM($G$356:AU356),AU356)))</f>
        <v>0</v>
      </c>
      <c r="AV357" s="19">
        <f>IF(Inputs!$E$49="immediate",AV356,IF(AV33=0,0,IF(AV33=1,SUM($G$356:AV356),AV356)))</f>
        <v>0</v>
      </c>
      <c r="AW357" s="19">
        <f>IF(Inputs!$E$49="immediate",AW356,IF(AW33=0,0,IF(AW33=1,SUM($G$356:AW356),AW356)))</f>
        <v>0</v>
      </c>
      <c r="AX357" s="19">
        <f>IF(Inputs!$E$49="immediate",AX356,IF(AX33=0,0,IF(AX33=1,SUM($G$356:AX356),AX356)))</f>
        <v>0</v>
      </c>
      <c r="AY357" s="19">
        <f>IF(Inputs!$E$49="immediate",AY356,IF(AY33=0,0,IF(AY33=1,SUM($G$356:AY356),AY356)))</f>
        <v>0</v>
      </c>
      <c r="AZ357" s="19">
        <f>IF(Inputs!$E$49="immediate",AZ356,IF(AZ33=0,0,IF(AZ33=1,SUM($G$356:AZ356),AZ356)))</f>
        <v>0</v>
      </c>
      <c r="BA357" s="19">
        <f>IF(Inputs!$E$49="immediate",BA356,IF(BA33=0,0,IF(BA33=1,SUM($G$356:BA356),BA356)))</f>
        <v>0</v>
      </c>
      <c r="BB357" s="19">
        <f>IF(Inputs!$E$49="immediate",BB356,IF(BB33=0,0,IF(BB33=1,SUM($G$356:BB356),BB356)))</f>
        <v>0</v>
      </c>
      <c r="BC357" s="19">
        <f>IF(Inputs!$E$49="immediate",BC356,IF(BC33=0,0,IF(BC33=1,SUM($G$356:BC356),BC356)))</f>
        <v>0</v>
      </c>
      <c r="BD357" s="19">
        <f>IF(Inputs!$E$49="immediate",BD356,IF(BD33=0,0,IF(BD33=1,SUM($G$356:BD356),BD356)))</f>
        <v>0</v>
      </c>
    </row>
    <row r="358" spans="2:56" ht="15" customHeight="1">
      <c r="B358" s="39">
        <f>IF(Inputs!$E$54=1,Inputs!E106,IF(Inputs!$E$53=0,0,1/Inputs!$E$53))</f>
        <v>0.2</v>
      </c>
      <c r="C358" s="21">
        <f t="shared" si="168"/>
        <v>234.42859691902586</v>
      </c>
      <c r="D358" s="40" t="s">
        <v>212</v>
      </c>
      <c r="E358" s="18" t="s">
        <v>333</v>
      </c>
      <c r="G358" s="65">
        <f>G$357*$B358</f>
        <v>0</v>
      </c>
      <c r="H358" s="65">
        <f t="shared" ref="H358:BD358" si="169">H$357*$B358</f>
        <v>0</v>
      </c>
      <c r="I358" s="65">
        <f t="shared" si="169"/>
        <v>0</v>
      </c>
      <c r="J358" s="65">
        <f t="shared" si="169"/>
        <v>0</v>
      </c>
      <c r="K358" s="65">
        <f t="shared" si="169"/>
        <v>0</v>
      </c>
      <c r="L358" s="65">
        <f t="shared" si="169"/>
        <v>8.8326464256000019</v>
      </c>
      <c r="M358" s="65">
        <f t="shared" si="169"/>
        <v>9.0092993541120006</v>
      </c>
      <c r="N358" s="65">
        <f t="shared" si="169"/>
        <v>9.1894853411942403</v>
      </c>
      <c r="O358" s="65">
        <f t="shared" si="169"/>
        <v>9.3732750480181242</v>
      </c>
      <c r="P358" s="65">
        <f t="shared" si="169"/>
        <v>9.5607405489784867</v>
      </c>
      <c r="Q358" s="65">
        <f t="shared" si="169"/>
        <v>9.7519553599580586</v>
      </c>
      <c r="R358" s="65">
        <f t="shared" si="169"/>
        <v>9.9469944671572179</v>
      </c>
      <c r="S358" s="65">
        <f t="shared" si="169"/>
        <v>10.145934356500362</v>
      </c>
      <c r="T358" s="65">
        <f t="shared" si="169"/>
        <v>10.348853043630371</v>
      </c>
      <c r="U358" s="65">
        <f t="shared" si="169"/>
        <v>10.555830104502977</v>
      </c>
      <c r="V358" s="65">
        <f t="shared" si="169"/>
        <v>10.766946706593034</v>
      </c>
      <c r="W358" s="65">
        <f t="shared" si="169"/>
        <v>10.982285640724896</v>
      </c>
      <c r="X358" s="65">
        <f t="shared" si="169"/>
        <v>11.201931353539395</v>
      </c>
      <c r="Y358" s="65">
        <f t="shared" si="169"/>
        <v>11.425969980610184</v>
      </c>
      <c r="Z358" s="65">
        <f t="shared" si="169"/>
        <v>11.654489380222387</v>
      </c>
      <c r="AA358" s="65">
        <f t="shared" si="169"/>
        <v>11.887579167826836</v>
      </c>
      <c r="AB358" s="65">
        <f t="shared" si="169"/>
        <v>12.12533075118337</v>
      </c>
      <c r="AC358" s="65">
        <f t="shared" si="169"/>
        <v>12.36783736620704</v>
      </c>
      <c r="AD358" s="65">
        <f t="shared" si="169"/>
        <v>12.615194113531176</v>
      </c>
      <c r="AE358" s="65">
        <f t="shared" si="169"/>
        <v>12.867497995801802</v>
      </c>
      <c r="AF358" s="65">
        <f t="shared" si="169"/>
        <v>13.124847955717838</v>
      </c>
      <c r="AG358" s="65">
        <f t="shared" si="169"/>
        <v>6.6936724574160982</v>
      </c>
      <c r="AH358" s="65">
        <f t="shared" si="169"/>
        <v>0</v>
      </c>
      <c r="AI358" s="65">
        <f t="shared" si="169"/>
        <v>0</v>
      </c>
      <c r="AJ358" s="65">
        <f t="shared" si="169"/>
        <v>0</v>
      </c>
      <c r="AK358" s="65">
        <f t="shared" si="169"/>
        <v>0</v>
      </c>
      <c r="AL358" s="65">
        <f t="shared" si="169"/>
        <v>0</v>
      </c>
      <c r="AM358" s="65">
        <f t="shared" si="169"/>
        <v>0</v>
      </c>
      <c r="AN358" s="65">
        <f t="shared" si="169"/>
        <v>0</v>
      </c>
      <c r="AO358" s="65">
        <f t="shared" si="169"/>
        <v>0</v>
      </c>
      <c r="AP358" s="65">
        <f t="shared" si="169"/>
        <v>0</v>
      </c>
      <c r="AQ358" s="65">
        <f t="shared" si="169"/>
        <v>0</v>
      </c>
      <c r="AR358" s="65">
        <f t="shared" si="169"/>
        <v>0</v>
      </c>
      <c r="AS358" s="65">
        <f t="shared" si="169"/>
        <v>0</v>
      </c>
      <c r="AT358" s="65">
        <f t="shared" si="169"/>
        <v>0</v>
      </c>
      <c r="AU358" s="65">
        <f t="shared" si="169"/>
        <v>0</v>
      </c>
      <c r="AV358" s="65">
        <f t="shared" si="169"/>
        <v>0</v>
      </c>
      <c r="AW358" s="65">
        <f t="shared" si="169"/>
        <v>0</v>
      </c>
      <c r="AX358" s="65">
        <f t="shared" si="169"/>
        <v>0</v>
      </c>
      <c r="AY358" s="65">
        <f t="shared" si="169"/>
        <v>0</v>
      </c>
      <c r="AZ358" s="65">
        <f t="shared" si="169"/>
        <v>0</v>
      </c>
      <c r="BA358" s="65">
        <f t="shared" si="169"/>
        <v>0</v>
      </c>
      <c r="BB358" s="65">
        <f t="shared" si="169"/>
        <v>0</v>
      </c>
      <c r="BC358" s="65">
        <f t="shared" si="169"/>
        <v>0</v>
      </c>
      <c r="BD358" s="65">
        <f t="shared" si="169"/>
        <v>0</v>
      </c>
    </row>
    <row r="359" spans="2:56" ht="15" customHeight="1">
      <c r="B359" s="39">
        <f>IF(Inputs!$E$54=1,Inputs!E107,IF(Inputs!$E$53=0,0,MIN(1/Inputs!$E$53,1-SUM($B$358:B358))))</f>
        <v>0.2</v>
      </c>
      <c r="C359" s="21">
        <f t="shared" si="168"/>
        <v>234.42859691902586</v>
      </c>
      <c r="D359" s="40" t="s">
        <v>213</v>
      </c>
      <c r="E359" s="18" t="s">
        <v>333</v>
      </c>
      <c r="G359" s="1"/>
      <c r="H359" s="65">
        <f>G$357*$B359</f>
        <v>0</v>
      </c>
      <c r="I359" s="65">
        <f t="shared" ref="I359:BD359" si="170">H$357*$B359</f>
        <v>0</v>
      </c>
      <c r="J359" s="65">
        <f t="shared" si="170"/>
        <v>0</v>
      </c>
      <c r="K359" s="65">
        <f t="shared" si="170"/>
        <v>0</v>
      </c>
      <c r="L359" s="65">
        <f t="shared" si="170"/>
        <v>0</v>
      </c>
      <c r="M359" s="65">
        <f t="shared" si="170"/>
        <v>8.8326464256000019</v>
      </c>
      <c r="N359" s="65">
        <f t="shared" si="170"/>
        <v>9.0092993541120006</v>
      </c>
      <c r="O359" s="65">
        <f t="shared" si="170"/>
        <v>9.1894853411942403</v>
      </c>
      <c r="P359" s="65">
        <f t="shared" si="170"/>
        <v>9.3732750480181242</v>
      </c>
      <c r="Q359" s="65">
        <f t="shared" si="170"/>
        <v>9.5607405489784867</v>
      </c>
      <c r="R359" s="65">
        <f t="shared" si="170"/>
        <v>9.7519553599580586</v>
      </c>
      <c r="S359" s="65">
        <f t="shared" si="170"/>
        <v>9.9469944671572179</v>
      </c>
      <c r="T359" s="65">
        <f t="shared" si="170"/>
        <v>10.145934356500362</v>
      </c>
      <c r="U359" s="65">
        <f t="shared" si="170"/>
        <v>10.348853043630371</v>
      </c>
      <c r="V359" s="65">
        <f t="shared" si="170"/>
        <v>10.555830104502977</v>
      </c>
      <c r="W359" s="65">
        <f t="shared" si="170"/>
        <v>10.766946706593034</v>
      </c>
      <c r="X359" s="65">
        <f t="shared" si="170"/>
        <v>10.982285640724896</v>
      </c>
      <c r="Y359" s="65">
        <f t="shared" si="170"/>
        <v>11.201931353539395</v>
      </c>
      <c r="Z359" s="65">
        <f t="shared" si="170"/>
        <v>11.425969980610184</v>
      </c>
      <c r="AA359" s="65">
        <f t="shared" si="170"/>
        <v>11.654489380222387</v>
      </c>
      <c r="AB359" s="65">
        <f t="shared" si="170"/>
        <v>11.887579167826836</v>
      </c>
      <c r="AC359" s="65">
        <f t="shared" si="170"/>
        <v>12.12533075118337</v>
      </c>
      <c r="AD359" s="65">
        <f t="shared" si="170"/>
        <v>12.36783736620704</v>
      </c>
      <c r="AE359" s="65">
        <f t="shared" si="170"/>
        <v>12.615194113531176</v>
      </c>
      <c r="AF359" s="65">
        <f t="shared" si="170"/>
        <v>12.867497995801802</v>
      </c>
      <c r="AG359" s="65">
        <f t="shared" si="170"/>
        <v>13.124847955717838</v>
      </c>
      <c r="AH359" s="65">
        <f t="shared" si="170"/>
        <v>6.6936724574160982</v>
      </c>
      <c r="AI359" s="65">
        <f t="shared" si="170"/>
        <v>0</v>
      </c>
      <c r="AJ359" s="65">
        <f t="shared" si="170"/>
        <v>0</v>
      </c>
      <c r="AK359" s="65">
        <f t="shared" si="170"/>
        <v>0</v>
      </c>
      <c r="AL359" s="65">
        <f t="shared" si="170"/>
        <v>0</v>
      </c>
      <c r="AM359" s="65">
        <f t="shared" si="170"/>
        <v>0</v>
      </c>
      <c r="AN359" s="65">
        <f t="shared" si="170"/>
        <v>0</v>
      </c>
      <c r="AO359" s="65">
        <f t="shared" si="170"/>
        <v>0</v>
      </c>
      <c r="AP359" s="65">
        <f t="shared" si="170"/>
        <v>0</v>
      </c>
      <c r="AQ359" s="65">
        <f t="shared" si="170"/>
        <v>0</v>
      </c>
      <c r="AR359" s="65">
        <f t="shared" si="170"/>
        <v>0</v>
      </c>
      <c r="AS359" s="65">
        <f t="shared" si="170"/>
        <v>0</v>
      </c>
      <c r="AT359" s="65">
        <f t="shared" si="170"/>
        <v>0</v>
      </c>
      <c r="AU359" s="65">
        <f t="shared" si="170"/>
        <v>0</v>
      </c>
      <c r="AV359" s="65">
        <f t="shared" si="170"/>
        <v>0</v>
      </c>
      <c r="AW359" s="65">
        <f t="shared" si="170"/>
        <v>0</v>
      </c>
      <c r="AX359" s="65">
        <f t="shared" si="170"/>
        <v>0</v>
      </c>
      <c r="AY359" s="65">
        <f t="shared" si="170"/>
        <v>0</v>
      </c>
      <c r="AZ359" s="65">
        <f t="shared" si="170"/>
        <v>0</v>
      </c>
      <c r="BA359" s="65">
        <f t="shared" si="170"/>
        <v>0</v>
      </c>
      <c r="BB359" s="65">
        <f t="shared" si="170"/>
        <v>0</v>
      </c>
      <c r="BC359" s="65">
        <f t="shared" si="170"/>
        <v>0</v>
      </c>
      <c r="BD359" s="65">
        <f t="shared" si="170"/>
        <v>0</v>
      </c>
    </row>
    <row r="360" spans="2:56" ht="15" customHeight="1">
      <c r="B360" s="39">
        <f>IF(Inputs!$E$54=1,Inputs!E108,IF(Inputs!$E$53=0,0,MIN(1/Inputs!$E$53,1-SUM($B$358:B359))))</f>
        <v>0.2</v>
      </c>
      <c r="C360" s="21">
        <f t="shared" si="168"/>
        <v>234.42859691902586</v>
      </c>
      <c r="D360" s="40" t="s">
        <v>214</v>
      </c>
      <c r="E360" s="18" t="s">
        <v>333</v>
      </c>
      <c r="G360" s="1"/>
      <c r="H360" s="1"/>
      <c r="I360" s="65">
        <f>G$357*$B360</f>
        <v>0</v>
      </c>
      <c r="J360" s="65">
        <f t="shared" ref="J360:BD360" si="171">H$357*$B360</f>
        <v>0</v>
      </c>
      <c r="K360" s="65">
        <f t="shared" si="171"/>
        <v>0</v>
      </c>
      <c r="L360" s="65">
        <f t="shared" si="171"/>
        <v>0</v>
      </c>
      <c r="M360" s="65">
        <f t="shared" si="171"/>
        <v>0</v>
      </c>
      <c r="N360" s="65">
        <f t="shared" si="171"/>
        <v>8.8326464256000019</v>
      </c>
      <c r="O360" s="65">
        <f t="shared" si="171"/>
        <v>9.0092993541120006</v>
      </c>
      <c r="P360" s="65">
        <f t="shared" si="171"/>
        <v>9.1894853411942403</v>
      </c>
      <c r="Q360" s="65">
        <f t="shared" si="171"/>
        <v>9.3732750480181242</v>
      </c>
      <c r="R360" s="65">
        <f t="shared" si="171"/>
        <v>9.5607405489784867</v>
      </c>
      <c r="S360" s="65">
        <f t="shared" si="171"/>
        <v>9.7519553599580586</v>
      </c>
      <c r="T360" s="65">
        <f t="shared" si="171"/>
        <v>9.9469944671572179</v>
      </c>
      <c r="U360" s="65">
        <f t="shared" si="171"/>
        <v>10.145934356500362</v>
      </c>
      <c r="V360" s="65">
        <f t="shared" si="171"/>
        <v>10.348853043630371</v>
      </c>
      <c r="W360" s="65">
        <f t="shared" si="171"/>
        <v>10.555830104502977</v>
      </c>
      <c r="X360" s="65">
        <f t="shared" si="171"/>
        <v>10.766946706593034</v>
      </c>
      <c r="Y360" s="65">
        <f t="shared" si="171"/>
        <v>10.982285640724896</v>
      </c>
      <c r="Z360" s="65">
        <f t="shared" si="171"/>
        <v>11.201931353539395</v>
      </c>
      <c r="AA360" s="65">
        <f t="shared" si="171"/>
        <v>11.425969980610184</v>
      </c>
      <c r="AB360" s="65">
        <f t="shared" si="171"/>
        <v>11.654489380222387</v>
      </c>
      <c r="AC360" s="65">
        <f t="shared" si="171"/>
        <v>11.887579167826836</v>
      </c>
      <c r="AD360" s="65">
        <f t="shared" si="171"/>
        <v>12.12533075118337</v>
      </c>
      <c r="AE360" s="65">
        <f t="shared" si="171"/>
        <v>12.36783736620704</v>
      </c>
      <c r="AF360" s="65">
        <f t="shared" si="171"/>
        <v>12.615194113531176</v>
      </c>
      <c r="AG360" s="65">
        <f t="shared" si="171"/>
        <v>12.867497995801802</v>
      </c>
      <c r="AH360" s="65">
        <f t="shared" si="171"/>
        <v>13.124847955717838</v>
      </c>
      <c r="AI360" s="65">
        <f t="shared" si="171"/>
        <v>6.6936724574160982</v>
      </c>
      <c r="AJ360" s="65">
        <f t="shared" si="171"/>
        <v>0</v>
      </c>
      <c r="AK360" s="65">
        <f t="shared" si="171"/>
        <v>0</v>
      </c>
      <c r="AL360" s="65">
        <f t="shared" si="171"/>
        <v>0</v>
      </c>
      <c r="AM360" s="65">
        <f t="shared" si="171"/>
        <v>0</v>
      </c>
      <c r="AN360" s="65">
        <f t="shared" si="171"/>
        <v>0</v>
      </c>
      <c r="AO360" s="65">
        <f t="shared" si="171"/>
        <v>0</v>
      </c>
      <c r="AP360" s="65">
        <f t="shared" si="171"/>
        <v>0</v>
      </c>
      <c r="AQ360" s="65">
        <f t="shared" si="171"/>
        <v>0</v>
      </c>
      <c r="AR360" s="65">
        <f t="shared" si="171"/>
        <v>0</v>
      </c>
      <c r="AS360" s="65">
        <f t="shared" si="171"/>
        <v>0</v>
      </c>
      <c r="AT360" s="65">
        <f t="shared" si="171"/>
        <v>0</v>
      </c>
      <c r="AU360" s="65">
        <f t="shared" si="171"/>
        <v>0</v>
      </c>
      <c r="AV360" s="65">
        <f t="shared" si="171"/>
        <v>0</v>
      </c>
      <c r="AW360" s="65">
        <f t="shared" si="171"/>
        <v>0</v>
      </c>
      <c r="AX360" s="65">
        <f t="shared" si="171"/>
        <v>0</v>
      </c>
      <c r="AY360" s="65">
        <f t="shared" si="171"/>
        <v>0</v>
      </c>
      <c r="AZ360" s="65">
        <f t="shared" si="171"/>
        <v>0</v>
      </c>
      <c r="BA360" s="65">
        <f t="shared" si="171"/>
        <v>0</v>
      </c>
      <c r="BB360" s="65">
        <f t="shared" si="171"/>
        <v>0</v>
      </c>
      <c r="BC360" s="65">
        <f t="shared" si="171"/>
        <v>0</v>
      </c>
      <c r="BD360" s="65">
        <f t="shared" si="171"/>
        <v>0</v>
      </c>
    </row>
    <row r="361" spans="2:56" ht="15" customHeight="1">
      <c r="B361" s="39">
        <f>IF(Inputs!$E$54=1,Inputs!E109,IF(Inputs!$E$53=0,0,MIN(1/Inputs!$E$53,1-SUM($B$358:B360))))</f>
        <v>0.2</v>
      </c>
      <c r="C361" s="21">
        <f t="shared" si="168"/>
        <v>234.42859691902586</v>
      </c>
      <c r="D361" s="40" t="s">
        <v>215</v>
      </c>
      <c r="E361" s="18" t="s">
        <v>333</v>
      </c>
      <c r="G361" s="1"/>
      <c r="H361" s="1"/>
      <c r="I361" s="1"/>
      <c r="J361" s="65">
        <f>G$357*$B361</f>
        <v>0</v>
      </c>
      <c r="K361" s="65">
        <f t="shared" ref="K361:BD361" si="172">H$357*$B361</f>
        <v>0</v>
      </c>
      <c r="L361" s="65">
        <f t="shared" si="172"/>
        <v>0</v>
      </c>
      <c r="M361" s="65">
        <f t="shared" si="172"/>
        <v>0</v>
      </c>
      <c r="N361" s="65">
        <f t="shared" si="172"/>
        <v>0</v>
      </c>
      <c r="O361" s="65">
        <f t="shared" si="172"/>
        <v>8.8326464256000019</v>
      </c>
      <c r="P361" s="65">
        <f t="shared" si="172"/>
        <v>9.0092993541120006</v>
      </c>
      <c r="Q361" s="65">
        <f t="shared" si="172"/>
        <v>9.1894853411942403</v>
      </c>
      <c r="R361" s="65">
        <f t="shared" si="172"/>
        <v>9.3732750480181242</v>
      </c>
      <c r="S361" s="65">
        <f t="shared" si="172"/>
        <v>9.5607405489784867</v>
      </c>
      <c r="T361" s="65">
        <f t="shared" si="172"/>
        <v>9.7519553599580586</v>
      </c>
      <c r="U361" s="65">
        <f t="shared" si="172"/>
        <v>9.9469944671572179</v>
      </c>
      <c r="V361" s="65">
        <f t="shared" si="172"/>
        <v>10.145934356500362</v>
      </c>
      <c r="W361" s="65">
        <f t="shared" si="172"/>
        <v>10.348853043630371</v>
      </c>
      <c r="X361" s="65">
        <f t="shared" si="172"/>
        <v>10.555830104502977</v>
      </c>
      <c r="Y361" s="65">
        <f t="shared" si="172"/>
        <v>10.766946706593034</v>
      </c>
      <c r="Z361" s="65">
        <f t="shared" si="172"/>
        <v>10.982285640724896</v>
      </c>
      <c r="AA361" s="65">
        <f t="shared" si="172"/>
        <v>11.201931353539395</v>
      </c>
      <c r="AB361" s="65">
        <f t="shared" si="172"/>
        <v>11.425969980610184</v>
      </c>
      <c r="AC361" s="65">
        <f t="shared" si="172"/>
        <v>11.654489380222387</v>
      </c>
      <c r="AD361" s="65">
        <f t="shared" si="172"/>
        <v>11.887579167826836</v>
      </c>
      <c r="AE361" s="65">
        <f t="shared" si="172"/>
        <v>12.12533075118337</v>
      </c>
      <c r="AF361" s="65">
        <f t="shared" si="172"/>
        <v>12.36783736620704</v>
      </c>
      <c r="AG361" s="65">
        <f t="shared" si="172"/>
        <v>12.615194113531176</v>
      </c>
      <c r="AH361" s="65">
        <f t="shared" si="172"/>
        <v>12.867497995801802</v>
      </c>
      <c r="AI361" s="65">
        <f t="shared" si="172"/>
        <v>13.124847955717838</v>
      </c>
      <c r="AJ361" s="65">
        <f t="shared" si="172"/>
        <v>6.6936724574160982</v>
      </c>
      <c r="AK361" s="65">
        <f t="shared" si="172"/>
        <v>0</v>
      </c>
      <c r="AL361" s="65">
        <f t="shared" si="172"/>
        <v>0</v>
      </c>
      <c r="AM361" s="65">
        <f t="shared" si="172"/>
        <v>0</v>
      </c>
      <c r="AN361" s="65">
        <f t="shared" si="172"/>
        <v>0</v>
      </c>
      <c r="AO361" s="65">
        <f t="shared" si="172"/>
        <v>0</v>
      </c>
      <c r="AP361" s="65">
        <f t="shared" si="172"/>
        <v>0</v>
      </c>
      <c r="AQ361" s="65">
        <f t="shared" si="172"/>
        <v>0</v>
      </c>
      <c r="AR361" s="65">
        <f t="shared" si="172"/>
        <v>0</v>
      </c>
      <c r="AS361" s="65">
        <f t="shared" si="172"/>
        <v>0</v>
      </c>
      <c r="AT361" s="65">
        <f t="shared" si="172"/>
        <v>0</v>
      </c>
      <c r="AU361" s="65">
        <f t="shared" si="172"/>
        <v>0</v>
      </c>
      <c r="AV361" s="65">
        <f t="shared" si="172"/>
        <v>0</v>
      </c>
      <c r="AW361" s="65">
        <f t="shared" si="172"/>
        <v>0</v>
      </c>
      <c r="AX361" s="65">
        <f t="shared" si="172"/>
        <v>0</v>
      </c>
      <c r="AY361" s="65">
        <f t="shared" si="172"/>
        <v>0</v>
      </c>
      <c r="AZ361" s="65">
        <f t="shared" si="172"/>
        <v>0</v>
      </c>
      <c r="BA361" s="65">
        <f t="shared" si="172"/>
        <v>0</v>
      </c>
      <c r="BB361" s="65">
        <f t="shared" si="172"/>
        <v>0</v>
      </c>
      <c r="BC361" s="65">
        <f t="shared" si="172"/>
        <v>0</v>
      </c>
      <c r="BD361" s="65">
        <f t="shared" si="172"/>
        <v>0</v>
      </c>
    </row>
    <row r="362" spans="2:56" ht="15" customHeight="1">
      <c r="B362" s="39">
        <f>IF(Inputs!$E$54=1,Inputs!E110,IF(Inputs!$E$53=0,0,MIN(1/Inputs!$E$53,1-SUM($B$358:B361))))</f>
        <v>0.19999999999999996</v>
      </c>
      <c r="C362" s="21">
        <f t="shared" si="168"/>
        <v>234.42859691902578</v>
      </c>
      <c r="D362" s="40" t="s">
        <v>216</v>
      </c>
      <c r="E362" s="18" t="s">
        <v>333</v>
      </c>
      <c r="G362" s="1"/>
      <c r="H362" s="1"/>
      <c r="I362" s="1"/>
      <c r="J362" s="1"/>
      <c r="K362" s="65">
        <f>G$357*$B362</f>
        <v>0</v>
      </c>
      <c r="L362" s="65">
        <f t="shared" ref="L362:BD362" si="173">H$357*$B362</f>
        <v>0</v>
      </c>
      <c r="M362" s="65">
        <f t="shared" si="173"/>
        <v>0</v>
      </c>
      <c r="N362" s="65">
        <f t="shared" si="173"/>
        <v>0</v>
      </c>
      <c r="O362" s="65">
        <f t="shared" si="173"/>
        <v>0</v>
      </c>
      <c r="P362" s="65">
        <f t="shared" si="173"/>
        <v>8.8326464255999984</v>
      </c>
      <c r="Q362" s="65">
        <f t="shared" si="173"/>
        <v>9.0092993541119988</v>
      </c>
      <c r="R362" s="65">
        <f t="shared" si="173"/>
        <v>9.1894853411942368</v>
      </c>
      <c r="S362" s="65">
        <f t="shared" si="173"/>
        <v>9.3732750480181224</v>
      </c>
      <c r="T362" s="65">
        <f t="shared" si="173"/>
        <v>9.5607405489784849</v>
      </c>
      <c r="U362" s="65">
        <f t="shared" si="173"/>
        <v>9.7519553599580551</v>
      </c>
      <c r="V362" s="65">
        <f t="shared" si="173"/>
        <v>9.9469944671572144</v>
      </c>
      <c r="W362" s="65">
        <f t="shared" si="173"/>
        <v>10.14593435650036</v>
      </c>
      <c r="X362" s="65">
        <f t="shared" si="173"/>
        <v>10.348853043630367</v>
      </c>
      <c r="Y362" s="65">
        <f t="shared" si="173"/>
        <v>10.555830104502974</v>
      </c>
      <c r="Z362" s="65">
        <f t="shared" si="173"/>
        <v>10.76694670659303</v>
      </c>
      <c r="AA362" s="65">
        <f t="shared" si="173"/>
        <v>10.982285640724895</v>
      </c>
      <c r="AB362" s="65">
        <f t="shared" si="173"/>
        <v>11.201931353539392</v>
      </c>
      <c r="AC362" s="65">
        <f t="shared" si="173"/>
        <v>11.42596998061018</v>
      </c>
      <c r="AD362" s="65">
        <f t="shared" si="173"/>
        <v>11.654489380222383</v>
      </c>
      <c r="AE362" s="65">
        <f t="shared" si="173"/>
        <v>11.887579167826832</v>
      </c>
      <c r="AF362" s="65">
        <f t="shared" si="173"/>
        <v>12.125330751183366</v>
      </c>
      <c r="AG362" s="65">
        <f t="shared" si="173"/>
        <v>12.367837366207036</v>
      </c>
      <c r="AH362" s="65">
        <f t="shared" si="173"/>
        <v>12.615194113531173</v>
      </c>
      <c r="AI362" s="65">
        <f t="shared" si="173"/>
        <v>12.867497995801799</v>
      </c>
      <c r="AJ362" s="65">
        <f t="shared" si="173"/>
        <v>13.124847955717835</v>
      </c>
      <c r="AK362" s="65">
        <f t="shared" si="173"/>
        <v>6.6936724574160964</v>
      </c>
      <c r="AL362" s="65">
        <f t="shared" si="173"/>
        <v>0</v>
      </c>
      <c r="AM362" s="65">
        <f t="shared" si="173"/>
        <v>0</v>
      </c>
      <c r="AN362" s="65">
        <f t="shared" si="173"/>
        <v>0</v>
      </c>
      <c r="AO362" s="65">
        <f t="shared" si="173"/>
        <v>0</v>
      </c>
      <c r="AP362" s="65">
        <f t="shared" si="173"/>
        <v>0</v>
      </c>
      <c r="AQ362" s="65">
        <f t="shared" si="173"/>
        <v>0</v>
      </c>
      <c r="AR362" s="65">
        <f t="shared" si="173"/>
        <v>0</v>
      </c>
      <c r="AS362" s="65">
        <f t="shared" si="173"/>
        <v>0</v>
      </c>
      <c r="AT362" s="65">
        <f t="shared" si="173"/>
        <v>0</v>
      </c>
      <c r="AU362" s="65">
        <f t="shared" si="173"/>
        <v>0</v>
      </c>
      <c r="AV362" s="65">
        <f t="shared" si="173"/>
        <v>0</v>
      </c>
      <c r="AW362" s="65">
        <f t="shared" si="173"/>
        <v>0</v>
      </c>
      <c r="AX362" s="65">
        <f t="shared" si="173"/>
        <v>0</v>
      </c>
      <c r="AY362" s="65">
        <f t="shared" si="173"/>
        <v>0</v>
      </c>
      <c r="AZ362" s="65">
        <f t="shared" si="173"/>
        <v>0</v>
      </c>
      <c r="BA362" s="65">
        <f t="shared" si="173"/>
        <v>0</v>
      </c>
      <c r="BB362" s="65">
        <f t="shared" si="173"/>
        <v>0</v>
      </c>
      <c r="BC362" s="65">
        <f t="shared" si="173"/>
        <v>0</v>
      </c>
      <c r="BD362" s="65">
        <f t="shared" si="173"/>
        <v>0</v>
      </c>
    </row>
    <row r="363" spans="2:56" ht="15" customHeight="1">
      <c r="B363" s="39">
        <f>IF(Inputs!$E$54=1,Inputs!E111,IF(Inputs!$E$53=0,0,MIN(1/Inputs!$E$53,1-SUM($B$358:B362))))</f>
        <v>0</v>
      </c>
      <c r="C363" s="21">
        <f t="shared" si="168"/>
        <v>0</v>
      </c>
      <c r="D363" s="40" t="s">
        <v>217</v>
      </c>
      <c r="E363" s="18" t="s">
        <v>333</v>
      </c>
      <c r="G363" s="1"/>
      <c r="H363" s="1"/>
      <c r="I363" s="1"/>
      <c r="J363" s="1"/>
      <c r="K363" s="1"/>
      <c r="L363" s="65">
        <f>G$357*$B363</f>
        <v>0</v>
      </c>
      <c r="M363" s="65">
        <f t="shared" ref="M363:BD363" si="174">H$357*$B363</f>
        <v>0</v>
      </c>
      <c r="N363" s="65">
        <f t="shared" si="174"/>
        <v>0</v>
      </c>
      <c r="O363" s="65">
        <f t="shared" si="174"/>
        <v>0</v>
      </c>
      <c r="P363" s="65">
        <f t="shared" si="174"/>
        <v>0</v>
      </c>
      <c r="Q363" s="65">
        <f t="shared" si="174"/>
        <v>0</v>
      </c>
      <c r="R363" s="65">
        <f t="shared" si="174"/>
        <v>0</v>
      </c>
      <c r="S363" s="65">
        <f t="shared" si="174"/>
        <v>0</v>
      </c>
      <c r="T363" s="65">
        <f t="shared" si="174"/>
        <v>0</v>
      </c>
      <c r="U363" s="65">
        <f t="shared" si="174"/>
        <v>0</v>
      </c>
      <c r="V363" s="65">
        <f t="shared" si="174"/>
        <v>0</v>
      </c>
      <c r="W363" s="65">
        <f t="shared" si="174"/>
        <v>0</v>
      </c>
      <c r="X363" s="65">
        <f t="shared" si="174"/>
        <v>0</v>
      </c>
      <c r="Y363" s="65">
        <f t="shared" si="174"/>
        <v>0</v>
      </c>
      <c r="Z363" s="65">
        <f t="shared" si="174"/>
        <v>0</v>
      </c>
      <c r="AA363" s="65">
        <f t="shared" si="174"/>
        <v>0</v>
      </c>
      <c r="AB363" s="65">
        <f t="shared" si="174"/>
        <v>0</v>
      </c>
      <c r="AC363" s="65">
        <f t="shared" si="174"/>
        <v>0</v>
      </c>
      <c r="AD363" s="65">
        <f t="shared" si="174"/>
        <v>0</v>
      </c>
      <c r="AE363" s="65">
        <f t="shared" si="174"/>
        <v>0</v>
      </c>
      <c r="AF363" s="65">
        <f t="shared" si="174"/>
        <v>0</v>
      </c>
      <c r="AG363" s="65">
        <f t="shared" si="174"/>
        <v>0</v>
      </c>
      <c r="AH363" s="65">
        <f t="shared" si="174"/>
        <v>0</v>
      </c>
      <c r="AI363" s="65">
        <f t="shared" si="174"/>
        <v>0</v>
      </c>
      <c r="AJ363" s="65">
        <f t="shared" si="174"/>
        <v>0</v>
      </c>
      <c r="AK363" s="65">
        <f t="shared" si="174"/>
        <v>0</v>
      </c>
      <c r="AL363" s="65">
        <f t="shared" si="174"/>
        <v>0</v>
      </c>
      <c r="AM363" s="65">
        <f t="shared" si="174"/>
        <v>0</v>
      </c>
      <c r="AN363" s="65">
        <f t="shared" si="174"/>
        <v>0</v>
      </c>
      <c r="AO363" s="65">
        <f t="shared" si="174"/>
        <v>0</v>
      </c>
      <c r="AP363" s="65">
        <f t="shared" si="174"/>
        <v>0</v>
      </c>
      <c r="AQ363" s="65">
        <f t="shared" si="174"/>
        <v>0</v>
      </c>
      <c r="AR363" s="65">
        <f t="shared" si="174"/>
        <v>0</v>
      </c>
      <c r="AS363" s="65">
        <f t="shared" si="174"/>
        <v>0</v>
      </c>
      <c r="AT363" s="65">
        <f t="shared" si="174"/>
        <v>0</v>
      </c>
      <c r="AU363" s="65">
        <f t="shared" si="174"/>
        <v>0</v>
      </c>
      <c r="AV363" s="65">
        <f t="shared" si="174"/>
        <v>0</v>
      </c>
      <c r="AW363" s="65">
        <f t="shared" si="174"/>
        <v>0</v>
      </c>
      <c r="AX363" s="65">
        <f t="shared" si="174"/>
        <v>0</v>
      </c>
      <c r="AY363" s="65">
        <f t="shared" si="174"/>
        <v>0</v>
      </c>
      <c r="AZ363" s="65">
        <f t="shared" si="174"/>
        <v>0</v>
      </c>
      <c r="BA363" s="65">
        <f t="shared" si="174"/>
        <v>0</v>
      </c>
      <c r="BB363" s="65">
        <f t="shared" si="174"/>
        <v>0</v>
      </c>
      <c r="BC363" s="65">
        <f t="shared" si="174"/>
        <v>0</v>
      </c>
      <c r="BD363" s="65">
        <f t="shared" si="174"/>
        <v>0</v>
      </c>
    </row>
    <row r="364" spans="2:56" ht="15" customHeight="1">
      <c r="B364" s="39">
        <f>IF(Inputs!$E$54=1,Inputs!E112,IF(Inputs!$E$53=0,0,MIN(1/Inputs!$E$53,1-SUM($B$358:B363))))</f>
        <v>0</v>
      </c>
      <c r="C364" s="21">
        <f t="shared" si="168"/>
        <v>0</v>
      </c>
      <c r="D364" s="40" t="s">
        <v>218</v>
      </c>
      <c r="E364" s="18" t="s">
        <v>333</v>
      </c>
      <c r="G364" s="1"/>
      <c r="H364" s="1"/>
      <c r="I364" s="1"/>
      <c r="J364" s="1"/>
      <c r="K364" s="1"/>
      <c r="L364" s="1"/>
      <c r="M364" s="65">
        <f>G$357*$B364</f>
        <v>0</v>
      </c>
      <c r="N364" s="65">
        <f t="shared" ref="N364:BD364" si="175">H$357*$B364</f>
        <v>0</v>
      </c>
      <c r="O364" s="65">
        <f t="shared" si="175"/>
        <v>0</v>
      </c>
      <c r="P364" s="65">
        <f t="shared" si="175"/>
        <v>0</v>
      </c>
      <c r="Q364" s="65">
        <f t="shared" si="175"/>
        <v>0</v>
      </c>
      <c r="R364" s="65">
        <f t="shared" si="175"/>
        <v>0</v>
      </c>
      <c r="S364" s="65">
        <f t="shared" si="175"/>
        <v>0</v>
      </c>
      <c r="T364" s="65">
        <f t="shared" si="175"/>
        <v>0</v>
      </c>
      <c r="U364" s="65">
        <f t="shared" si="175"/>
        <v>0</v>
      </c>
      <c r="V364" s="65">
        <f t="shared" si="175"/>
        <v>0</v>
      </c>
      <c r="W364" s="65">
        <f t="shared" si="175"/>
        <v>0</v>
      </c>
      <c r="X364" s="65">
        <f t="shared" si="175"/>
        <v>0</v>
      </c>
      <c r="Y364" s="65">
        <f t="shared" si="175"/>
        <v>0</v>
      </c>
      <c r="Z364" s="65">
        <f t="shared" si="175"/>
        <v>0</v>
      </c>
      <c r="AA364" s="65">
        <f t="shared" si="175"/>
        <v>0</v>
      </c>
      <c r="AB364" s="65">
        <f t="shared" si="175"/>
        <v>0</v>
      </c>
      <c r="AC364" s="65">
        <f t="shared" si="175"/>
        <v>0</v>
      </c>
      <c r="AD364" s="65">
        <f t="shared" si="175"/>
        <v>0</v>
      </c>
      <c r="AE364" s="65">
        <f t="shared" si="175"/>
        <v>0</v>
      </c>
      <c r="AF364" s="65">
        <f t="shared" si="175"/>
        <v>0</v>
      </c>
      <c r="AG364" s="65">
        <f t="shared" si="175"/>
        <v>0</v>
      </c>
      <c r="AH364" s="65">
        <f t="shared" si="175"/>
        <v>0</v>
      </c>
      <c r="AI364" s="65">
        <f t="shared" si="175"/>
        <v>0</v>
      </c>
      <c r="AJ364" s="65">
        <f t="shared" si="175"/>
        <v>0</v>
      </c>
      <c r="AK364" s="65">
        <f t="shared" si="175"/>
        <v>0</v>
      </c>
      <c r="AL364" s="65">
        <f t="shared" si="175"/>
        <v>0</v>
      </c>
      <c r="AM364" s="65">
        <f t="shared" si="175"/>
        <v>0</v>
      </c>
      <c r="AN364" s="65">
        <f t="shared" si="175"/>
        <v>0</v>
      </c>
      <c r="AO364" s="65">
        <f t="shared" si="175"/>
        <v>0</v>
      </c>
      <c r="AP364" s="65">
        <f t="shared" si="175"/>
        <v>0</v>
      </c>
      <c r="AQ364" s="65">
        <f t="shared" si="175"/>
        <v>0</v>
      </c>
      <c r="AR364" s="65">
        <f t="shared" si="175"/>
        <v>0</v>
      </c>
      <c r="AS364" s="65">
        <f t="shared" si="175"/>
        <v>0</v>
      </c>
      <c r="AT364" s="65">
        <f t="shared" si="175"/>
        <v>0</v>
      </c>
      <c r="AU364" s="65">
        <f t="shared" si="175"/>
        <v>0</v>
      </c>
      <c r="AV364" s="65">
        <f t="shared" si="175"/>
        <v>0</v>
      </c>
      <c r="AW364" s="65">
        <f t="shared" si="175"/>
        <v>0</v>
      </c>
      <c r="AX364" s="65">
        <f t="shared" si="175"/>
        <v>0</v>
      </c>
      <c r="AY364" s="65">
        <f t="shared" si="175"/>
        <v>0</v>
      </c>
      <c r="AZ364" s="65">
        <f t="shared" si="175"/>
        <v>0</v>
      </c>
      <c r="BA364" s="65">
        <f t="shared" si="175"/>
        <v>0</v>
      </c>
      <c r="BB364" s="65">
        <f t="shared" si="175"/>
        <v>0</v>
      </c>
      <c r="BC364" s="65">
        <f t="shared" si="175"/>
        <v>0</v>
      </c>
      <c r="BD364" s="65">
        <f t="shared" si="175"/>
        <v>0</v>
      </c>
    </row>
    <row r="365" spans="2:56" ht="15" customHeight="1">
      <c r="B365" s="39">
        <f>IF(Inputs!$E$54=1,Inputs!E113,IF(Inputs!$E$53=0,0,MIN(1/Inputs!$E$53,1-SUM($B$358:B364))))</f>
        <v>0</v>
      </c>
      <c r="C365" s="21">
        <f t="shared" si="168"/>
        <v>0</v>
      </c>
      <c r="D365" s="40" t="s">
        <v>219</v>
      </c>
      <c r="E365" s="18" t="s">
        <v>333</v>
      </c>
      <c r="G365" s="1"/>
      <c r="H365" s="1"/>
      <c r="I365" s="1"/>
      <c r="J365" s="1"/>
      <c r="K365" s="1"/>
      <c r="L365" s="1"/>
      <c r="M365" s="1"/>
      <c r="N365" s="65">
        <f>G$357*$B365</f>
        <v>0</v>
      </c>
      <c r="O365" s="65">
        <f t="shared" ref="O365:BD365" si="176">H$357*$B365</f>
        <v>0</v>
      </c>
      <c r="P365" s="65">
        <f t="shared" si="176"/>
        <v>0</v>
      </c>
      <c r="Q365" s="65">
        <f t="shared" si="176"/>
        <v>0</v>
      </c>
      <c r="R365" s="65">
        <f t="shared" si="176"/>
        <v>0</v>
      </c>
      <c r="S365" s="65">
        <f t="shared" si="176"/>
        <v>0</v>
      </c>
      <c r="T365" s="65">
        <f t="shared" si="176"/>
        <v>0</v>
      </c>
      <c r="U365" s="65">
        <f t="shared" si="176"/>
        <v>0</v>
      </c>
      <c r="V365" s="65">
        <f t="shared" si="176"/>
        <v>0</v>
      </c>
      <c r="W365" s="65">
        <f t="shared" si="176"/>
        <v>0</v>
      </c>
      <c r="X365" s="65">
        <f t="shared" si="176"/>
        <v>0</v>
      </c>
      <c r="Y365" s="65">
        <f t="shared" si="176"/>
        <v>0</v>
      </c>
      <c r="Z365" s="65">
        <f t="shared" si="176"/>
        <v>0</v>
      </c>
      <c r="AA365" s="65">
        <f t="shared" si="176"/>
        <v>0</v>
      </c>
      <c r="AB365" s="65">
        <f t="shared" si="176"/>
        <v>0</v>
      </c>
      <c r="AC365" s="65">
        <f t="shared" si="176"/>
        <v>0</v>
      </c>
      <c r="AD365" s="65">
        <f t="shared" si="176"/>
        <v>0</v>
      </c>
      <c r="AE365" s="65">
        <f t="shared" si="176"/>
        <v>0</v>
      </c>
      <c r="AF365" s="65">
        <f t="shared" si="176"/>
        <v>0</v>
      </c>
      <c r="AG365" s="65">
        <f t="shared" si="176"/>
        <v>0</v>
      </c>
      <c r="AH365" s="65">
        <f t="shared" si="176"/>
        <v>0</v>
      </c>
      <c r="AI365" s="65">
        <f t="shared" si="176"/>
        <v>0</v>
      </c>
      <c r="AJ365" s="65">
        <f t="shared" si="176"/>
        <v>0</v>
      </c>
      <c r="AK365" s="65">
        <f t="shared" si="176"/>
        <v>0</v>
      </c>
      <c r="AL365" s="65">
        <f t="shared" si="176"/>
        <v>0</v>
      </c>
      <c r="AM365" s="65">
        <f t="shared" si="176"/>
        <v>0</v>
      </c>
      <c r="AN365" s="65">
        <f t="shared" si="176"/>
        <v>0</v>
      </c>
      <c r="AO365" s="65">
        <f t="shared" si="176"/>
        <v>0</v>
      </c>
      <c r="AP365" s="65">
        <f t="shared" si="176"/>
        <v>0</v>
      </c>
      <c r="AQ365" s="65">
        <f t="shared" si="176"/>
        <v>0</v>
      </c>
      <c r="AR365" s="65">
        <f t="shared" si="176"/>
        <v>0</v>
      </c>
      <c r="AS365" s="65">
        <f t="shared" si="176"/>
        <v>0</v>
      </c>
      <c r="AT365" s="65">
        <f t="shared" si="176"/>
        <v>0</v>
      </c>
      <c r="AU365" s="65">
        <f t="shared" si="176"/>
        <v>0</v>
      </c>
      <c r="AV365" s="65">
        <f t="shared" si="176"/>
        <v>0</v>
      </c>
      <c r="AW365" s="65">
        <f t="shared" si="176"/>
        <v>0</v>
      </c>
      <c r="AX365" s="65">
        <f t="shared" si="176"/>
        <v>0</v>
      </c>
      <c r="AY365" s="65">
        <f t="shared" si="176"/>
        <v>0</v>
      </c>
      <c r="AZ365" s="65">
        <f t="shared" si="176"/>
        <v>0</v>
      </c>
      <c r="BA365" s="65">
        <f t="shared" si="176"/>
        <v>0</v>
      </c>
      <c r="BB365" s="65">
        <f t="shared" si="176"/>
        <v>0</v>
      </c>
      <c r="BC365" s="65">
        <f t="shared" si="176"/>
        <v>0</v>
      </c>
      <c r="BD365" s="65">
        <f t="shared" si="176"/>
        <v>0</v>
      </c>
    </row>
    <row r="366" spans="2:56" ht="15" customHeight="1">
      <c r="B366" s="39">
        <f>IF(Inputs!$E$54=1,Inputs!E114,IF(Inputs!$E$53=0,0,MIN(1/Inputs!$E$53,1-SUM($B$358:B365))))</f>
        <v>0</v>
      </c>
      <c r="C366" s="21">
        <f t="shared" si="168"/>
        <v>0</v>
      </c>
      <c r="D366" s="40" t="s">
        <v>220</v>
      </c>
      <c r="E366" s="18" t="s">
        <v>333</v>
      </c>
      <c r="G366" s="1"/>
      <c r="H366" s="1"/>
      <c r="I366" s="1"/>
      <c r="J366" s="1"/>
      <c r="K366" s="1"/>
      <c r="L366" s="1"/>
      <c r="M366" s="1"/>
      <c r="N366" s="1"/>
      <c r="O366" s="65">
        <f>G$357*$B366</f>
        <v>0</v>
      </c>
      <c r="P366" s="65">
        <f t="shared" ref="P366:BD366" si="177">H$357*$B366</f>
        <v>0</v>
      </c>
      <c r="Q366" s="65">
        <f t="shared" si="177"/>
        <v>0</v>
      </c>
      <c r="R366" s="65">
        <f t="shared" si="177"/>
        <v>0</v>
      </c>
      <c r="S366" s="65">
        <f t="shared" si="177"/>
        <v>0</v>
      </c>
      <c r="T366" s="65">
        <f t="shared" si="177"/>
        <v>0</v>
      </c>
      <c r="U366" s="65">
        <f t="shared" si="177"/>
        <v>0</v>
      </c>
      <c r="V366" s="65">
        <f t="shared" si="177"/>
        <v>0</v>
      </c>
      <c r="W366" s="65">
        <f t="shared" si="177"/>
        <v>0</v>
      </c>
      <c r="X366" s="65">
        <f t="shared" si="177"/>
        <v>0</v>
      </c>
      <c r="Y366" s="65">
        <f t="shared" si="177"/>
        <v>0</v>
      </c>
      <c r="Z366" s="65">
        <f t="shared" si="177"/>
        <v>0</v>
      </c>
      <c r="AA366" s="65">
        <f t="shared" si="177"/>
        <v>0</v>
      </c>
      <c r="AB366" s="65">
        <f t="shared" si="177"/>
        <v>0</v>
      </c>
      <c r="AC366" s="65">
        <f t="shared" si="177"/>
        <v>0</v>
      </c>
      <c r="AD366" s="65">
        <f t="shared" si="177"/>
        <v>0</v>
      </c>
      <c r="AE366" s="65">
        <f t="shared" si="177"/>
        <v>0</v>
      </c>
      <c r="AF366" s="65">
        <f t="shared" si="177"/>
        <v>0</v>
      </c>
      <c r="AG366" s="65">
        <f t="shared" si="177"/>
        <v>0</v>
      </c>
      <c r="AH366" s="65">
        <f t="shared" si="177"/>
        <v>0</v>
      </c>
      <c r="AI366" s="65">
        <f t="shared" si="177"/>
        <v>0</v>
      </c>
      <c r="AJ366" s="65">
        <f t="shared" si="177"/>
        <v>0</v>
      </c>
      <c r="AK366" s="65">
        <f t="shared" si="177"/>
        <v>0</v>
      </c>
      <c r="AL366" s="65">
        <f t="shared" si="177"/>
        <v>0</v>
      </c>
      <c r="AM366" s="65">
        <f t="shared" si="177"/>
        <v>0</v>
      </c>
      <c r="AN366" s="65">
        <f t="shared" si="177"/>
        <v>0</v>
      </c>
      <c r="AO366" s="65">
        <f t="shared" si="177"/>
        <v>0</v>
      </c>
      <c r="AP366" s="65">
        <f t="shared" si="177"/>
        <v>0</v>
      </c>
      <c r="AQ366" s="65">
        <f t="shared" si="177"/>
        <v>0</v>
      </c>
      <c r="AR366" s="65">
        <f t="shared" si="177"/>
        <v>0</v>
      </c>
      <c r="AS366" s="65">
        <f t="shared" si="177"/>
        <v>0</v>
      </c>
      <c r="AT366" s="65">
        <f t="shared" si="177"/>
        <v>0</v>
      </c>
      <c r="AU366" s="65">
        <f t="shared" si="177"/>
        <v>0</v>
      </c>
      <c r="AV366" s="65">
        <f t="shared" si="177"/>
        <v>0</v>
      </c>
      <c r="AW366" s="65">
        <f t="shared" si="177"/>
        <v>0</v>
      </c>
      <c r="AX366" s="65">
        <f t="shared" si="177"/>
        <v>0</v>
      </c>
      <c r="AY366" s="65">
        <f t="shared" si="177"/>
        <v>0</v>
      </c>
      <c r="AZ366" s="65">
        <f t="shared" si="177"/>
        <v>0</v>
      </c>
      <c r="BA366" s="65">
        <f t="shared" si="177"/>
        <v>0</v>
      </c>
      <c r="BB366" s="65">
        <f t="shared" si="177"/>
        <v>0</v>
      </c>
      <c r="BC366" s="65">
        <f t="shared" si="177"/>
        <v>0</v>
      </c>
      <c r="BD366" s="65">
        <f t="shared" si="177"/>
        <v>0</v>
      </c>
    </row>
    <row r="367" spans="2:56" ht="15" customHeight="1">
      <c r="B367" s="39">
        <f>IF(Inputs!$E$54=1,Inputs!E115,IF(Inputs!$E$53=0,0,MIN(1/Inputs!$E$53,1-SUM($B$358:B366))))</f>
        <v>0</v>
      </c>
      <c r="C367" s="21">
        <f t="shared" si="168"/>
        <v>0</v>
      </c>
      <c r="D367" s="40" t="s">
        <v>221</v>
      </c>
      <c r="E367" s="18" t="s">
        <v>333</v>
      </c>
      <c r="G367" s="1"/>
      <c r="H367" s="1"/>
      <c r="I367" s="1"/>
      <c r="J367" s="1"/>
      <c r="K367" s="1"/>
      <c r="L367" s="1"/>
      <c r="M367" s="1"/>
      <c r="N367" s="1"/>
      <c r="O367" s="1"/>
      <c r="P367" s="65">
        <f>G$357*$B367</f>
        <v>0</v>
      </c>
      <c r="Q367" s="65">
        <f t="shared" ref="Q367:BD367" si="178">H$357*$B367</f>
        <v>0</v>
      </c>
      <c r="R367" s="65">
        <f t="shared" si="178"/>
        <v>0</v>
      </c>
      <c r="S367" s="65">
        <f t="shared" si="178"/>
        <v>0</v>
      </c>
      <c r="T367" s="65">
        <f t="shared" si="178"/>
        <v>0</v>
      </c>
      <c r="U367" s="65">
        <f t="shared" si="178"/>
        <v>0</v>
      </c>
      <c r="V367" s="65">
        <f t="shared" si="178"/>
        <v>0</v>
      </c>
      <c r="W367" s="65">
        <f t="shared" si="178"/>
        <v>0</v>
      </c>
      <c r="X367" s="65">
        <f t="shared" si="178"/>
        <v>0</v>
      </c>
      <c r="Y367" s="65">
        <f t="shared" si="178"/>
        <v>0</v>
      </c>
      <c r="Z367" s="65">
        <f t="shared" si="178"/>
        <v>0</v>
      </c>
      <c r="AA367" s="65">
        <f t="shared" si="178"/>
        <v>0</v>
      </c>
      <c r="AB367" s="65">
        <f t="shared" si="178"/>
        <v>0</v>
      </c>
      <c r="AC367" s="65">
        <f t="shared" si="178"/>
        <v>0</v>
      </c>
      <c r="AD367" s="65">
        <f t="shared" si="178"/>
        <v>0</v>
      </c>
      <c r="AE367" s="65">
        <f t="shared" si="178"/>
        <v>0</v>
      </c>
      <c r="AF367" s="65">
        <f t="shared" si="178"/>
        <v>0</v>
      </c>
      <c r="AG367" s="65">
        <f t="shared" si="178"/>
        <v>0</v>
      </c>
      <c r="AH367" s="65">
        <f t="shared" si="178"/>
        <v>0</v>
      </c>
      <c r="AI367" s="65">
        <f t="shared" si="178"/>
        <v>0</v>
      </c>
      <c r="AJ367" s="65">
        <f t="shared" si="178"/>
        <v>0</v>
      </c>
      <c r="AK367" s="65">
        <f t="shared" si="178"/>
        <v>0</v>
      </c>
      <c r="AL367" s="65">
        <f t="shared" si="178"/>
        <v>0</v>
      </c>
      <c r="AM367" s="65">
        <f t="shared" si="178"/>
        <v>0</v>
      </c>
      <c r="AN367" s="65">
        <f t="shared" si="178"/>
        <v>0</v>
      </c>
      <c r="AO367" s="65">
        <f t="shared" si="178"/>
        <v>0</v>
      </c>
      <c r="AP367" s="65">
        <f t="shared" si="178"/>
        <v>0</v>
      </c>
      <c r="AQ367" s="65">
        <f t="shared" si="178"/>
        <v>0</v>
      </c>
      <c r="AR367" s="65">
        <f t="shared" si="178"/>
        <v>0</v>
      </c>
      <c r="AS367" s="65">
        <f t="shared" si="178"/>
        <v>0</v>
      </c>
      <c r="AT367" s="65">
        <f t="shared" si="178"/>
        <v>0</v>
      </c>
      <c r="AU367" s="65">
        <f t="shared" si="178"/>
        <v>0</v>
      </c>
      <c r="AV367" s="65">
        <f t="shared" si="178"/>
        <v>0</v>
      </c>
      <c r="AW367" s="65">
        <f t="shared" si="178"/>
        <v>0</v>
      </c>
      <c r="AX367" s="65">
        <f t="shared" si="178"/>
        <v>0</v>
      </c>
      <c r="AY367" s="65">
        <f t="shared" si="178"/>
        <v>0</v>
      </c>
      <c r="AZ367" s="65">
        <f t="shared" si="178"/>
        <v>0</v>
      </c>
      <c r="BA367" s="65">
        <f t="shared" si="178"/>
        <v>0</v>
      </c>
      <c r="BB367" s="65">
        <f t="shared" si="178"/>
        <v>0</v>
      </c>
      <c r="BC367" s="65">
        <f t="shared" si="178"/>
        <v>0</v>
      </c>
      <c r="BD367" s="65">
        <f t="shared" si="178"/>
        <v>0</v>
      </c>
    </row>
    <row r="368" spans="2:56" ht="15" customHeight="1">
      <c r="B368" s="39">
        <f>IF(Inputs!$E$54=1,Inputs!E116,IF(Inputs!$E$53=0,0,MIN(1/Inputs!$E$53,1-SUM($B$358:B367))))</f>
        <v>0</v>
      </c>
      <c r="C368" s="21">
        <f t="shared" ref="C368:C377" si="179">SUM(G368:BD368)</f>
        <v>0</v>
      </c>
      <c r="D368" s="40" t="s">
        <v>222</v>
      </c>
      <c r="E368" s="18" t="s">
        <v>333</v>
      </c>
      <c r="G368" s="1"/>
      <c r="H368" s="1"/>
      <c r="I368" s="1"/>
      <c r="J368" s="1"/>
      <c r="K368" s="1"/>
      <c r="L368" s="1"/>
      <c r="M368" s="1"/>
      <c r="N368" s="1"/>
      <c r="O368" s="1"/>
      <c r="P368" s="1"/>
      <c r="Q368" s="65">
        <f>G$357*$B368</f>
        <v>0</v>
      </c>
      <c r="R368" s="65">
        <f t="shared" ref="R368:BD368" si="180">H$357*$B368</f>
        <v>0</v>
      </c>
      <c r="S368" s="65">
        <f t="shared" si="180"/>
        <v>0</v>
      </c>
      <c r="T368" s="65">
        <f t="shared" si="180"/>
        <v>0</v>
      </c>
      <c r="U368" s="65">
        <f t="shared" si="180"/>
        <v>0</v>
      </c>
      <c r="V368" s="65">
        <f t="shared" si="180"/>
        <v>0</v>
      </c>
      <c r="W368" s="65">
        <f t="shared" si="180"/>
        <v>0</v>
      </c>
      <c r="X368" s="65">
        <f t="shared" si="180"/>
        <v>0</v>
      </c>
      <c r="Y368" s="65">
        <f t="shared" si="180"/>
        <v>0</v>
      </c>
      <c r="Z368" s="65">
        <f t="shared" si="180"/>
        <v>0</v>
      </c>
      <c r="AA368" s="65">
        <f t="shared" si="180"/>
        <v>0</v>
      </c>
      <c r="AB368" s="65">
        <f t="shared" si="180"/>
        <v>0</v>
      </c>
      <c r="AC368" s="65">
        <f t="shared" si="180"/>
        <v>0</v>
      </c>
      <c r="AD368" s="65">
        <f t="shared" si="180"/>
        <v>0</v>
      </c>
      <c r="AE368" s="65">
        <f t="shared" si="180"/>
        <v>0</v>
      </c>
      <c r="AF368" s="65">
        <f t="shared" si="180"/>
        <v>0</v>
      </c>
      <c r="AG368" s="65">
        <f t="shared" si="180"/>
        <v>0</v>
      </c>
      <c r="AH368" s="65">
        <f t="shared" si="180"/>
        <v>0</v>
      </c>
      <c r="AI368" s="65">
        <f t="shared" si="180"/>
        <v>0</v>
      </c>
      <c r="AJ368" s="65">
        <f t="shared" si="180"/>
        <v>0</v>
      </c>
      <c r="AK368" s="65">
        <f t="shared" si="180"/>
        <v>0</v>
      </c>
      <c r="AL368" s="65">
        <f t="shared" si="180"/>
        <v>0</v>
      </c>
      <c r="AM368" s="65">
        <f t="shared" si="180"/>
        <v>0</v>
      </c>
      <c r="AN368" s="65">
        <f t="shared" si="180"/>
        <v>0</v>
      </c>
      <c r="AO368" s="65">
        <f t="shared" si="180"/>
        <v>0</v>
      </c>
      <c r="AP368" s="65">
        <f t="shared" si="180"/>
        <v>0</v>
      </c>
      <c r="AQ368" s="65">
        <f t="shared" si="180"/>
        <v>0</v>
      </c>
      <c r="AR368" s="65">
        <f t="shared" si="180"/>
        <v>0</v>
      </c>
      <c r="AS368" s="65">
        <f t="shared" si="180"/>
        <v>0</v>
      </c>
      <c r="AT368" s="65">
        <f t="shared" si="180"/>
        <v>0</v>
      </c>
      <c r="AU368" s="65">
        <f t="shared" si="180"/>
        <v>0</v>
      </c>
      <c r="AV368" s="65">
        <f t="shared" si="180"/>
        <v>0</v>
      </c>
      <c r="AW368" s="65">
        <f t="shared" si="180"/>
        <v>0</v>
      </c>
      <c r="AX368" s="65">
        <f t="shared" si="180"/>
        <v>0</v>
      </c>
      <c r="AY368" s="65">
        <f t="shared" si="180"/>
        <v>0</v>
      </c>
      <c r="AZ368" s="65">
        <f t="shared" si="180"/>
        <v>0</v>
      </c>
      <c r="BA368" s="65">
        <f t="shared" si="180"/>
        <v>0</v>
      </c>
      <c r="BB368" s="65">
        <f t="shared" si="180"/>
        <v>0</v>
      </c>
      <c r="BC368" s="65">
        <f t="shared" si="180"/>
        <v>0</v>
      </c>
      <c r="BD368" s="65">
        <f t="shared" si="180"/>
        <v>0</v>
      </c>
    </row>
    <row r="369" spans="2:56 16384:16384" ht="15" customHeight="1">
      <c r="B369" s="39">
        <f>IF(Inputs!$E$54=1,Inputs!E117,IF(Inputs!$E$53=0,0,MIN(1/Inputs!$E$53,1-SUM($B$358:B368))))</f>
        <v>0</v>
      </c>
      <c r="C369" s="21">
        <f t="shared" si="179"/>
        <v>0</v>
      </c>
      <c r="D369" s="40" t="s">
        <v>223</v>
      </c>
      <c r="E369" s="18" t="s">
        <v>333</v>
      </c>
      <c r="G369" s="1"/>
      <c r="H369" s="1"/>
      <c r="I369" s="1"/>
      <c r="J369" s="1"/>
      <c r="K369" s="1"/>
      <c r="L369" s="1"/>
      <c r="M369" s="1"/>
      <c r="N369" s="1"/>
      <c r="O369" s="1"/>
      <c r="P369" s="1"/>
      <c r="Q369" s="1"/>
      <c r="R369" s="65">
        <f>G$357*$B369</f>
        <v>0</v>
      </c>
      <c r="S369" s="65">
        <f t="shared" ref="S369:BD369" si="181">H$357*$B369</f>
        <v>0</v>
      </c>
      <c r="T369" s="65">
        <f t="shared" si="181"/>
        <v>0</v>
      </c>
      <c r="U369" s="65">
        <f t="shared" si="181"/>
        <v>0</v>
      </c>
      <c r="V369" s="65">
        <f t="shared" si="181"/>
        <v>0</v>
      </c>
      <c r="W369" s="65">
        <f t="shared" si="181"/>
        <v>0</v>
      </c>
      <c r="X369" s="65">
        <f t="shared" si="181"/>
        <v>0</v>
      </c>
      <c r="Y369" s="65">
        <f t="shared" si="181"/>
        <v>0</v>
      </c>
      <c r="Z369" s="65">
        <f t="shared" si="181"/>
        <v>0</v>
      </c>
      <c r="AA369" s="65">
        <f t="shared" si="181"/>
        <v>0</v>
      </c>
      <c r="AB369" s="65">
        <f t="shared" si="181"/>
        <v>0</v>
      </c>
      <c r="AC369" s="65">
        <f t="shared" si="181"/>
        <v>0</v>
      </c>
      <c r="AD369" s="65">
        <f t="shared" si="181"/>
        <v>0</v>
      </c>
      <c r="AE369" s="65">
        <f t="shared" si="181"/>
        <v>0</v>
      </c>
      <c r="AF369" s="65">
        <f t="shared" si="181"/>
        <v>0</v>
      </c>
      <c r="AG369" s="65">
        <f t="shared" si="181"/>
        <v>0</v>
      </c>
      <c r="AH369" s="65">
        <f t="shared" si="181"/>
        <v>0</v>
      </c>
      <c r="AI369" s="65">
        <f t="shared" si="181"/>
        <v>0</v>
      </c>
      <c r="AJ369" s="65">
        <f t="shared" si="181"/>
        <v>0</v>
      </c>
      <c r="AK369" s="65">
        <f t="shared" si="181"/>
        <v>0</v>
      </c>
      <c r="AL369" s="65">
        <f t="shared" si="181"/>
        <v>0</v>
      </c>
      <c r="AM369" s="65">
        <f t="shared" si="181"/>
        <v>0</v>
      </c>
      <c r="AN369" s="65">
        <f t="shared" si="181"/>
        <v>0</v>
      </c>
      <c r="AO369" s="65">
        <f t="shared" si="181"/>
        <v>0</v>
      </c>
      <c r="AP369" s="65">
        <f t="shared" si="181"/>
        <v>0</v>
      </c>
      <c r="AQ369" s="65">
        <f t="shared" si="181"/>
        <v>0</v>
      </c>
      <c r="AR369" s="65">
        <f t="shared" si="181"/>
        <v>0</v>
      </c>
      <c r="AS369" s="65">
        <f t="shared" si="181"/>
        <v>0</v>
      </c>
      <c r="AT369" s="65">
        <f t="shared" si="181"/>
        <v>0</v>
      </c>
      <c r="AU369" s="65">
        <f t="shared" si="181"/>
        <v>0</v>
      </c>
      <c r="AV369" s="65">
        <f t="shared" si="181"/>
        <v>0</v>
      </c>
      <c r="AW369" s="65">
        <f t="shared" si="181"/>
        <v>0</v>
      </c>
      <c r="AX369" s="65">
        <f t="shared" si="181"/>
        <v>0</v>
      </c>
      <c r="AY369" s="65">
        <f t="shared" si="181"/>
        <v>0</v>
      </c>
      <c r="AZ369" s="65">
        <f t="shared" si="181"/>
        <v>0</v>
      </c>
      <c r="BA369" s="65">
        <f t="shared" si="181"/>
        <v>0</v>
      </c>
      <c r="BB369" s="65">
        <f t="shared" si="181"/>
        <v>0</v>
      </c>
      <c r="BC369" s="65">
        <f t="shared" si="181"/>
        <v>0</v>
      </c>
      <c r="BD369" s="65">
        <f t="shared" si="181"/>
        <v>0</v>
      </c>
    </row>
    <row r="370" spans="2:56 16384:16384" ht="15" customHeight="1">
      <c r="B370" s="39">
        <f>IF(Inputs!$E$54=1,Inputs!E118,IF(Inputs!$E$53=0,0,MIN(1/Inputs!$E$53,1-SUM($B$358:B369))))</f>
        <v>0</v>
      </c>
      <c r="C370" s="21">
        <f t="shared" si="179"/>
        <v>0</v>
      </c>
      <c r="D370" s="40" t="s">
        <v>224</v>
      </c>
      <c r="E370" s="18" t="s">
        <v>333</v>
      </c>
      <c r="G370" s="1"/>
      <c r="H370" s="1"/>
      <c r="I370" s="1"/>
      <c r="J370" s="1"/>
      <c r="K370" s="1"/>
      <c r="L370" s="1"/>
      <c r="M370" s="1"/>
      <c r="N370" s="1"/>
      <c r="O370" s="1"/>
      <c r="P370" s="1"/>
      <c r="Q370" s="1"/>
      <c r="R370" s="1"/>
      <c r="S370" s="65">
        <f>G$357*$B370</f>
        <v>0</v>
      </c>
      <c r="T370" s="65">
        <f t="shared" ref="T370:BD370" si="182">H$357*$B370</f>
        <v>0</v>
      </c>
      <c r="U370" s="65">
        <f t="shared" si="182"/>
        <v>0</v>
      </c>
      <c r="V370" s="65">
        <f t="shared" si="182"/>
        <v>0</v>
      </c>
      <c r="W370" s="65">
        <f t="shared" si="182"/>
        <v>0</v>
      </c>
      <c r="X370" s="65">
        <f t="shared" si="182"/>
        <v>0</v>
      </c>
      <c r="Y370" s="65">
        <f t="shared" si="182"/>
        <v>0</v>
      </c>
      <c r="Z370" s="65">
        <f t="shared" si="182"/>
        <v>0</v>
      </c>
      <c r="AA370" s="65">
        <f t="shared" si="182"/>
        <v>0</v>
      </c>
      <c r="AB370" s="65">
        <f t="shared" si="182"/>
        <v>0</v>
      </c>
      <c r="AC370" s="65">
        <f t="shared" si="182"/>
        <v>0</v>
      </c>
      <c r="AD370" s="65">
        <f t="shared" si="182"/>
        <v>0</v>
      </c>
      <c r="AE370" s="65">
        <f t="shared" si="182"/>
        <v>0</v>
      </c>
      <c r="AF370" s="65">
        <f t="shared" si="182"/>
        <v>0</v>
      </c>
      <c r="AG370" s="65">
        <f t="shared" si="182"/>
        <v>0</v>
      </c>
      <c r="AH370" s="65">
        <f t="shared" si="182"/>
        <v>0</v>
      </c>
      <c r="AI370" s="65">
        <f t="shared" si="182"/>
        <v>0</v>
      </c>
      <c r="AJ370" s="65">
        <f t="shared" si="182"/>
        <v>0</v>
      </c>
      <c r="AK370" s="65">
        <f t="shared" si="182"/>
        <v>0</v>
      </c>
      <c r="AL370" s="65">
        <f t="shared" si="182"/>
        <v>0</v>
      </c>
      <c r="AM370" s="65">
        <f t="shared" si="182"/>
        <v>0</v>
      </c>
      <c r="AN370" s="65">
        <f t="shared" si="182"/>
        <v>0</v>
      </c>
      <c r="AO370" s="65">
        <f t="shared" si="182"/>
        <v>0</v>
      </c>
      <c r="AP370" s="65">
        <f t="shared" si="182"/>
        <v>0</v>
      </c>
      <c r="AQ370" s="65">
        <f t="shared" si="182"/>
        <v>0</v>
      </c>
      <c r="AR370" s="65">
        <f t="shared" si="182"/>
        <v>0</v>
      </c>
      <c r="AS370" s="65">
        <f t="shared" si="182"/>
        <v>0</v>
      </c>
      <c r="AT370" s="65">
        <f t="shared" si="182"/>
        <v>0</v>
      </c>
      <c r="AU370" s="65">
        <f t="shared" si="182"/>
        <v>0</v>
      </c>
      <c r="AV370" s="65">
        <f t="shared" si="182"/>
        <v>0</v>
      </c>
      <c r="AW370" s="65">
        <f t="shared" si="182"/>
        <v>0</v>
      </c>
      <c r="AX370" s="65">
        <f t="shared" si="182"/>
        <v>0</v>
      </c>
      <c r="AY370" s="65">
        <f t="shared" si="182"/>
        <v>0</v>
      </c>
      <c r="AZ370" s="65">
        <f t="shared" si="182"/>
        <v>0</v>
      </c>
      <c r="BA370" s="65">
        <f t="shared" si="182"/>
        <v>0</v>
      </c>
      <c r="BB370" s="65">
        <f t="shared" si="182"/>
        <v>0</v>
      </c>
      <c r="BC370" s="65">
        <f t="shared" si="182"/>
        <v>0</v>
      </c>
      <c r="BD370" s="65">
        <f t="shared" si="182"/>
        <v>0</v>
      </c>
    </row>
    <row r="371" spans="2:56 16384:16384" ht="15" customHeight="1">
      <c r="B371" s="39">
        <f>IF(Inputs!$E$54=1,Inputs!E119,IF(Inputs!$E$53=0,0,MIN(1/Inputs!$E$53,1-SUM($B$358:B370))))</f>
        <v>0</v>
      </c>
      <c r="C371" s="21">
        <f t="shared" si="179"/>
        <v>0</v>
      </c>
      <c r="D371" s="40" t="s">
        <v>225</v>
      </c>
      <c r="E371" s="18" t="s">
        <v>333</v>
      </c>
      <c r="G371" s="1"/>
      <c r="H371" s="1"/>
      <c r="I371" s="1"/>
      <c r="J371" s="1"/>
      <c r="K371" s="1"/>
      <c r="L371" s="1"/>
      <c r="M371" s="1"/>
      <c r="N371" s="1"/>
      <c r="O371" s="1"/>
      <c r="P371" s="1"/>
      <c r="Q371" s="1"/>
      <c r="R371" s="1"/>
      <c r="S371" s="1"/>
      <c r="T371" s="65">
        <f>G$357*$B371</f>
        <v>0</v>
      </c>
      <c r="U371" s="65">
        <f t="shared" ref="U371:BD371" si="183">H$357*$B371</f>
        <v>0</v>
      </c>
      <c r="V371" s="65">
        <f t="shared" si="183"/>
        <v>0</v>
      </c>
      <c r="W371" s="65">
        <f t="shared" si="183"/>
        <v>0</v>
      </c>
      <c r="X371" s="65">
        <f t="shared" si="183"/>
        <v>0</v>
      </c>
      <c r="Y371" s="65">
        <f t="shared" si="183"/>
        <v>0</v>
      </c>
      <c r="Z371" s="65">
        <f t="shared" si="183"/>
        <v>0</v>
      </c>
      <c r="AA371" s="65">
        <f t="shared" si="183"/>
        <v>0</v>
      </c>
      <c r="AB371" s="65">
        <f t="shared" si="183"/>
        <v>0</v>
      </c>
      <c r="AC371" s="65">
        <f t="shared" si="183"/>
        <v>0</v>
      </c>
      <c r="AD371" s="65">
        <f t="shared" si="183"/>
        <v>0</v>
      </c>
      <c r="AE371" s="65">
        <f t="shared" si="183"/>
        <v>0</v>
      </c>
      <c r="AF371" s="65">
        <f t="shared" si="183"/>
        <v>0</v>
      </c>
      <c r="AG371" s="65">
        <f t="shared" si="183"/>
        <v>0</v>
      </c>
      <c r="AH371" s="65">
        <f t="shared" si="183"/>
        <v>0</v>
      </c>
      <c r="AI371" s="65">
        <f t="shared" si="183"/>
        <v>0</v>
      </c>
      <c r="AJ371" s="65">
        <f t="shared" si="183"/>
        <v>0</v>
      </c>
      <c r="AK371" s="65">
        <f t="shared" si="183"/>
        <v>0</v>
      </c>
      <c r="AL371" s="65">
        <f t="shared" si="183"/>
        <v>0</v>
      </c>
      <c r="AM371" s="65">
        <f t="shared" si="183"/>
        <v>0</v>
      </c>
      <c r="AN371" s="65">
        <f t="shared" si="183"/>
        <v>0</v>
      </c>
      <c r="AO371" s="65">
        <f t="shared" si="183"/>
        <v>0</v>
      </c>
      <c r="AP371" s="65">
        <f t="shared" si="183"/>
        <v>0</v>
      </c>
      <c r="AQ371" s="65">
        <f t="shared" si="183"/>
        <v>0</v>
      </c>
      <c r="AR371" s="65">
        <f t="shared" si="183"/>
        <v>0</v>
      </c>
      <c r="AS371" s="65">
        <f t="shared" si="183"/>
        <v>0</v>
      </c>
      <c r="AT371" s="65">
        <f t="shared" si="183"/>
        <v>0</v>
      </c>
      <c r="AU371" s="65">
        <f t="shared" si="183"/>
        <v>0</v>
      </c>
      <c r="AV371" s="65">
        <f t="shared" si="183"/>
        <v>0</v>
      </c>
      <c r="AW371" s="65">
        <f t="shared" si="183"/>
        <v>0</v>
      </c>
      <c r="AX371" s="65">
        <f t="shared" si="183"/>
        <v>0</v>
      </c>
      <c r="AY371" s="65">
        <f t="shared" si="183"/>
        <v>0</v>
      </c>
      <c r="AZ371" s="65">
        <f t="shared" si="183"/>
        <v>0</v>
      </c>
      <c r="BA371" s="65">
        <f t="shared" si="183"/>
        <v>0</v>
      </c>
      <c r="BB371" s="65">
        <f t="shared" si="183"/>
        <v>0</v>
      </c>
      <c r="BC371" s="65">
        <f t="shared" si="183"/>
        <v>0</v>
      </c>
      <c r="BD371" s="65">
        <f t="shared" si="183"/>
        <v>0</v>
      </c>
    </row>
    <row r="372" spans="2:56 16384:16384" ht="15" customHeight="1">
      <c r="B372" s="39">
        <f>IF(Inputs!$E$54=1,Inputs!E120,IF(Inputs!$E$53=0,0,MIN(1/Inputs!$E$53,1-SUM($B$358:B371))))</f>
        <v>0</v>
      </c>
      <c r="C372" s="21">
        <f t="shared" si="179"/>
        <v>0</v>
      </c>
      <c r="D372" s="40" t="s">
        <v>226</v>
      </c>
      <c r="E372" s="18" t="s">
        <v>333</v>
      </c>
      <c r="G372" s="1"/>
      <c r="H372" s="1"/>
      <c r="I372" s="1"/>
      <c r="J372" s="1"/>
      <c r="K372" s="1"/>
      <c r="L372" s="1"/>
      <c r="M372" s="1"/>
      <c r="N372" s="1"/>
      <c r="O372" s="1"/>
      <c r="P372" s="1"/>
      <c r="Q372" s="1"/>
      <c r="R372" s="1"/>
      <c r="S372" s="1"/>
      <c r="T372" s="1"/>
      <c r="U372" s="65">
        <f>G$357*$B372</f>
        <v>0</v>
      </c>
      <c r="V372" s="65">
        <f t="shared" ref="V372:BD372" si="184">H$357*$B372</f>
        <v>0</v>
      </c>
      <c r="W372" s="65">
        <f t="shared" si="184"/>
        <v>0</v>
      </c>
      <c r="X372" s="65">
        <f t="shared" si="184"/>
        <v>0</v>
      </c>
      <c r="Y372" s="65">
        <f t="shared" si="184"/>
        <v>0</v>
      </c>
      <c r="Z372" s="65">
        <f t="shared" si="184"/>
        <v>0</v>
      </c>
      <c r="AA372" s="65">
        <f t="shared" si="184"/>
        <v>0</v>
      </c>
      <c r="AB372" s="65">
        <f t="shared" si="184"/>
        <v>0</v>
      </c>
      <c r="AC372" s="65">
        <f t="shared" si="184"/>
        <v>0</v>
      </c>
      <c r="AD372" s="65">
        <f t="shared" si="184"/>
        <v>0</v>
      </c>
      <c r="AE372" s="65">
        <f t="shared" si="184"/>
        <v>0</v>
      </c>
      <c r="AF372" s="65">
        <f t="shared" si="184"/>
        <v>0</v>
      </c>
      <c r="AG372" s="65">
        <f t="shared" si="184"/>
        <v>0</v>
      </c>
      <c r="AH372" s="65">
        <f t="shared" si="184"/>
        <v>0</v>
      </c>
      <c r="AI372" s="65">
        <f t="shared" si="184"/>
        <v>0</v>
      </c>
      <c r="AJ372" s="65">
        <f t="shared" si="184"/>
        <v>0</v>
      </c>
      <c r="AK372" s="65">
        <f t="shared" si="184"/>
        <v>0</v>
      </c>
      <c r="AL372" s="65">
        <f t="shared" si="184"/>
        <v>0</v>
      </c>
      <c r="AM372" s="65">
        <f t="shared" si="184"/>
        <v>0</v>
      </c>
      <c r="AN372" s="65">
        <f t="shared" si="184"/>
        <v>0</v>
      </c>
      <c r="AO372" s="65">
        <f t="shared" si="184"/>
        <v>0</v>
      </c>
      <c r="AP372" s="65">
        <f t="shared" si="184"/>
        <v>0</v>
      </c>
      <c r="AQ372" s="65">
        <f t="shared" si="184"/>
        <v>0</v>
      </c>
      <c r="AR372" s="65">
        <f t="shared" si="184"/>
        <v>0</v>
      </c>
      <c r="AS372" s="65">
        <f t="shared" si="184"/>
        <v>0</v>
      </c>
      <c r="AT372" s="65">
        <f t="shared" si="184"/>
        <v>0</v>
      </c>
      <c r="AU372" s="65">
        <f t="shared" si="184"/>
        <v>0</v>
      </c>
      <c r="AV372" s="65">
        <f t="shared" si="184"/>
        <v>0</v>
      </c>
      <c r="AW372" s="65">
        <f t="shared" si="184"/>
        <v>0</v>
      </c>
      <c r="AX372" s="65">
        <f t="shared" si="184"/>
        <v>0</v>
      </c>
      <c r="AY372" s="65">
        <f t="shared" si="184"/>
        <v>0</v>
      </c>
      <c r="AZ372" s="65">
        <f t="shared" si="184"/>
        <v>0</v>
      </c>
      <c r="BA372" s="65">
        <f t="shared" si="184"/>
        <v>0</v>
      </c>
      <c r="BB372" s="65">
        <f t="shared" si="184"/>
        <v>0</v>
      </c>
      <c r="BC372" s="65">
        <f t="shared" si="184"/>
        <v>0</v>
      </c>
      <c r="BD372" s="65">
        <f t="shared" si="184"/>
        <v>0</v>
      </c>
    </row>
    <row r="373" spans="2:56 16384:16384" ht="15" customHeight="1">
      <c r="B373" s="39">
        <f>IF(Inputs!$E$54=1,Inputs!E121,IF(Inputs!$E$53=0,0,MIN(1/Inputs!$E$53,1-SUM($B$358:B372))))</f>
        <v>0</v>
      </c>
      <c r="C373" s="21">
        <f t="shared" si="179"/>
        <v>0</v>
      </c>
      <c r="D373" s="40" t="s">
        <v>227</v>
      </c>
      <c r="E373" s="18" t="s">
        <v>333</v>
      </c>
      <c r="G373" s="1"/>
      <c r="H373" s="1"/>
      <c r="I373" s="1"/>
      <c r="J373" s="1"/>
      <c r="K373" s="1"/>
      <c r="L373" s="1"/>
      <c r="M373" s="1"/>
      <c r="N373" s="1"/>
      <c r="O373" s="1"/>
      <c r="P373" s="1"/>
      <c r="Q373" s="1"/>
      <c r="R373" s="1"/>
      <c r="S373" s="1"/>
      <c r="T373" s="1"/>
      <c r="U373" s="1"/>
      <c r="V373" s="65">
        <f>G$357*$B373</f>
        <v>0</v>
      </c>
      <c r="W373" s="65">
        <f t="shared" ref="W373:BD373" si="185">H$357*$B373</f>
        <v>0</v>
      </c>
      <c r="X373" s="65">
        <f t="shared" si="185"/>
        <v>0</v>
      </c>
      <c r="Y373" s="65">
        <f t="shared" si="185"/>
        <v>0</v>
      </c>
      <c r="Z373" s="65">
        <f t="shared" si="185"/>
        <v>0</v>
      </c>
      <c r="AA373" s="65">
        <f t="shared" si="185"/>
        <v>0</v>
      </c>
      <c r="AB373" s="65">
        <f t="shared" si="185"/>
        <v>0</v>
      </c>
      <c r="AC373" s="65">
        <f t="shared" si="185"/>
        <v>0</v>
      </c>
      <c r="AD373" s="65">
        <f t="shared" si="185"/>
        <v>0</v>
      </c>
      <c r="AE373" s="65">
        <f t="shared" si="185"/>
        <v>0</v>
      </c>
      <c r="AF373" s="65">
        <f t="shared" si="185"/>
        <v>0</v>
      </c>
      <c r="AG373" s="65">
        <f t="shared" si="185"/>
        <v>0</v>
      </c>
      <c r="AH373" s="65">
        <f t="shared" si="185"/>
        <v>0</v>
      </c>
      <c r="AI373" s="65">
        <f t="shared" si="185"/>
        <v>0</v>
      </c>
      <c r="AJ373" s="65">
        <f t="shared" si="185"/>
        <v>0</v>
      </c>
      <c r="AK373" s="65">
        <f t="shared" si="185"/>
        <v>0</v>
      </c>
      <c r="AL373" s="65">
        <f t="shared" si="185"/>
        <v>0</v>
      </c>
      <c r="AM373" s="65">
        <f t="shared" si="185"/>
        <v>0</v>
      </c>
      <c r="AN373" s="65">
        <f t="shared" si="185"/>
        <v>0</v>
      </c>
      <c r="AO373" s="65">
        <f t="shared" si="185"/>
        <v>0</v>
      </c>
      <c r="AP373" s="65">
        <f t="shared" si="185"/>
        <v>0</v>
      </c>
      <c r="AQ373" s="65">
        <f t="shared" si="185"/>
        <v>0</v>
      </c>
      <c r="AR373" s="65">
        <f t="shared" si="185"/>
        <v>0</v>
      </c>
      <c r="AS373" s="65">
        <f t="shared" si="185"/>
        <v>0</v>
      </c>
      <c r="AT373" s="65">
        <f t="shared" si="185"/>
        <v>0</v>
      </c>
      <c r="AU373" s="65">
        <f t="shared" si="185"/>
        <v>0</v>
      </c>
      <c r="AV373" s="65">
        <f t="shared" si="185"/>
        <v>0</v>
      </c>
      <c r="AW373" s="65">
        <f t="shared" si="185"/>
        <v>0</v>
      </c>
      <c r="AX373" s="65">
        <f t="shared" si="185"/>
        <v>0</v>
      </c>
      <c r="AY373" s="65">
        <f t="shared" si="185"/>
        <v>0</v>
      </c>
      <c r="AZ373" s="65">
        <f t="shared" si="185"/>
        <v>0</v>
      </c>
      <c r="BA373" s="65">
        <f t="shared" si="185"/>
        <v>0</v>
      </c>
      <c r="BB373" s="65">
        <f t="shared" si="185"/>
        <v>0</v>
      </c>
      <c r="BC373" s="65">
        <f t="shared" si="185"/>
        <v>0</v>
      </c>
      <c r="BD373" s="65">
        <f t="shared" si="185"/>
        <v>0</v>
      </c>
    </row>
    <row r="374" spans="2:56 16384:16384" ht="15" customHeight="1">
      <c r="B374" s="39">
        <f>IF(Inputs!$E$54=1,Inputs!E122,IF(Inputs!$E$53=0,0,MIN(1/Inputs!$E$53,1-SUM($B$358:B373))))</f>
        <v>0</v>
      </c>
      <c r="C374" s="21">
        <f t="shared" si="179"/>
        <v>0</v>
      </c>
      <c r="D374" s="40" t="s">
        <v>228</v>
      </c>
      <c r="E374" s="18" t="s">
        <v>333</v>
      </c>
      <c r="G374" s="1"/>
      <c r="H374" s="1"/>
      <c r="I374" s="1"/>
      <c r="J374" s="1"/>
      <c r="K374" s="1"/>
      <c r="L374" s="1"/>
      <c r="M374" s="1"/>
      <c r="N374" s="1"/>
      <c r="O374" s="1"/>
      <c r="P374" s="1"/>
      <c r="Q374" s="1"/>
      <c r="R374" s="1"/>
      <c r="S374" s="1"/>
      <c r="T374" s="1"/>
      <c r="U374" s="1"/>
      <c r="V374" s="1"/>
      <c r="W374" s="65">
        <f>G$357*$B374</f>
        <v>0</v>
      </c>
      <c r="X374" s="65">
        <f t="shared" ref="X374:BD374" si="186">H$357*$B374</f>
        <v>0</v>
      </c>
      <c r="Y374" s="65">
        <f t="shared" si="186"/>
        <v>0</v>
      </c>
      <c r="Z374" s="65">
        <f t="shared" si="186"/>
        <v>0</v>
      </c>
      <c r="AA374" s="65">
        <f t="shared" si="186"/>
        <v>0</v>
      </c>
      <c r="AB374" s="65">
        <f t="shared" si="186"/>
        <v>0</v>
      </c>
      <c r="AC374" s="65">
        <f t="shared" si="186"/>
        <v>0</v>
      </c>
      <c r="AD374" s="65">
        <f t="shared" si="186"/>
        <v>0</v>
      </c>
      <c r="AE374" s="65">
        <f t="shared" si="186"/>
        <v>0</v>
      </c>
      <c r="AF374" s="65">
        <f t="shared" si="186"/>
        <v>0</v>
      </c>
      <c r="AG374" s="65">
        <f t="shared" si="186"/>
        <v>0</v>
      </c>
      <c r="AH374" s="65">
        <f t="shared" si="186"/>
        <v>0</v>
      </c>
      <c r="AI374" s="65">
        <f t="shared" si="186"/>
        <v>0</v>
      </c>
      <c r="AJ374" s="65">
        <f t="shared" si="186"/>
        <v>0</v>
      </c>
      <c r="AK374" s="65">
        <f t="shared" si="186"/>
        <v>0</v>
      </c>
      <c r="AL374" s="65">
        <f t="shared" si="186"/>
        <v>0</v>
      </c>
      <c r="AM374" s="65">
        <f t="shared" si="186"/>
        <v>0</v>
      </c>
      <c r="AN374" s="65">
        <f t="shared" si="186"/>
        <v>0</v>
      </c>
      <c r="AO374" s="65">
        <f t="shared" si="186"/>
        <v>0</v>
      </c>
      <c r="AP374" s="65">
        <f t="shared" si="186"/>
        <v>0</v>
      </c>
      <c r="AQ374" s="65">
        <f t="shared" si="186"/>
        <v>0</v>
      </c>
      <c r="AR374" s="65">
        <f t="shared" si="186"/>
        <v>0</v>
      </c>
      <c r="AS374" s="65">
        <f t="shared" si="186"/>
        <v>0</v>
      </c>
      <c r="AT374" s="65">
        <f t="shared" si="186"/>
        <v>0</v>
      </c>
      <c r="AU374" s="65">
        <f t="shared" si="186"/>
        <v>0</v>
      </c>
      <c r="AV374" s="65">
        <f t="shared" si="186"/>
        <v>0</v>
      </c>
      <c r="AW374" s="65">
        <f t="shared" si="186"/>
        <v>0</v>
      </c>
      <c r="AX374" s="65">
        <f t="shared" si="186"/>
        <v>0</v>
      </c>
      <c r="AY374" s="65">
        <f t="shared" si="186"/>
        <v>0</v>
      </c>
      <c r="AZ374" s="65">
        <f t="shared" si="186"/>
        <v>0</v>
      </c>
      <c r="BA374" s="65">
        <f t="shared" si="186"/>
        <v>0</v>
      </c>
      <c r="BB374" s="65">
        <f t="shared" si="186"/>
        <v>0</v>
      </c>
      <c r="BC374" s="65">
        <f t="shared" si="186"/>
        <v>0</v>
      </c>
      <c r="BD374" s="65">
        <f t="shared" si="186"/>
        <v>0</v>
      </c>
    </row>
    <row r="375" spans="2:56 16384:16384" ht="15" customHeight="1">
      <c r="B375" s="39">
        <f>IF(Inputs!$E$54=1,Inputs!E123,IF(Inputs!$E$53=0,0,MIN(1/Inputs!$E$53,1-SUM($B$358:B374))))</f>
        <v>0</v>
      </c>
      <c r="C375" s="21">
        <f t="shared" si="179"/>
        <v>0</v>
      </c>
      <c r="D375" s="40" t="s">
        <v>229</v>
      </c>
      <c r="E375" s="18" t="s">
        <v>333</v>
      </c>
      <c r="G375" s="1"/>
      <c r="H375" s="1"/>
      <c r="I375" s="1"/>
      <c r="J375" s="1"/>
      <c r="K375" s="1"/>
      <c r="L375" s="1"/>
      <c r="M375" s="1"/>
      <c r="N375" s="1"/>
      <c r="O375" s="1"/>
      <c r="P375" s="1"/>
      <c r="Q375" s="1"/>
      <c r="R375" s="1"/>
      <c r="S375" s="1"/>
      <c r="T375" s="1"/>
      <c r="U375" s="1"/>
      <c r="V375" s="1"/>
      <c r="W375" s="1"/>
      <c r="X375" s="65">
        <f>G$357*$B375</f>
        <v>0</v>
      </c>
      <c r="Y375" s="65">
        <f t="shared" ref="Y375:BD375" si="187">H$357*$B375</f>
        <v>0</v>
      </c>
      <c r="Z375" s="65">
        <f t="shared" si="187"/>
        <v>0</v>
      </c>
      <c r="AA375" s="65">
        <f t="shared" si="187"/>
        <v>0</v>
      </c>
      <c r="AB375" s="65">
        <f t="shared" si="187"/>
        <v>0</v>
      </c>
      <c r="AC375" s="65">
        <f t="shared" si="187"/>
        <v>0</v>
      </c>
      <c r="AD375" s="65">
        <f t="shared" si="187"/>
        <v>0</v>
      </c>
      <c r="AE375" s="65">
        <f t="shared" si="187"/>
        <v>0</v>
      </c>
      <c r="AF375" s="65">
        <f t="shared" si="187"/>
        <v>0</v>
      </c>
      <c r="AG375" s="65">
        <f t="shared" si="187"/>
        <v>0</v>
      </c>
      <c r="AH375" s="65">
        <f t="shared" si="187"/>
        <v>0</v>
      </c>
      <c r="AI375" s="65">
        <f t="shared" si="187"/>
        <v>0</v>
      </c>
      <c r="AJ375" s="65">
        <f t="shared" si="187"/>
        <v>0</v>
      </c>
      <c r="AK375" s="65">
        <f t="shared" si="187"/>
        <v>0</v>
      </c>
      <c r="AL375" s="65">
        <f t="shared" si="187"/>
        <v>0</v>
      </c>
      <c r="AM375" s="65">
        <f t="shared" si="187"/>
        <v>0</v>
      </c>
      <c r="AN375" s="65">
        <f t="shared" si="187"/>
        <v>0</v>
      </c>
      <c r="AO375" s="65">
        <f t="shared" si="187"/>
        <v>0</v>
      </c>
      <c r="AP375" s="65">
        <f t="shared" si="187"/>
        <v>0</v>
      </c>
      <c r="AQ375" s="65">
        <f t="shared" si="187"/>
        <v>0</v>
      </c>
      <c r="AR375" s="65">
        <f t="shared" si="187"/>
        <v>0</v>
      </c>
      <c r="AS375" s="65">
        <f t="shared" si="187"/>
        <v>0</v>
      </c>
      <c r="AT375" s="65">
        <f t="shared" si="187"/>
        <v>0</v>
      </c>
      <c r="AU375" s="65">
        <f t="shared" si="187"/>
        <v>0</v>
      </c>
      <c r="AV375" s="65">
        <f t="shared" si="187"/>
        <v>0</v>
      </c>
      <c r="AW375" s="65">
        <f t="shared" si="187"/>
        <v>0</v>
      </c>
      <c r="AX375" s="65">
        <f t="shared" si="187"/>
        <v>0</v>
      </c>
      <c r="AY375" s="65">
        <f t="shared" si="187"/>
        <v>0</v>
      </c>
      <c r="AZ375" s="65">
        <f t="shared" si="187"/>
        <v>0</v>
      </c>
      <c r="BA375" s="65">
        <f t="shared" si="187"/>
        <v>0</v>
      </c>
      <c r="BB375" s="65">
        <f t="shared" si="187"/>
        <v>0</v>
      </c>
      <c r="BC375" s="65">
        <f t="shared" si="187"/>
        <v>0</v>
      </c>
      <c r="BD375" s="65">
        <f t="shared" si="187"/>
        <v>0</v>
      </c>
    </row>
    <row r="376" spans="2:56 16384:16384" ht="15" customHeight="1">
      <c r="B376" s="39">
        <f>IF(Inputs!$E$54=1,Inputs!E124,IF(Inputs!$E$53=0,0,MIN(1/Inputs!$E$53,1-SUM($B$358:B375))))</f>
        <v>0</v>
      </c>
      <c r="C376" s="21">
        <f t="shared" si="179"/>
        <v>0</v>
      </c>
      <c r="D376" s="40" t="s">
        <v>230</v>
      </c>
      <c r="E376" s="18" t="s">
        <v>333</v>
      </c>
      <c r="G376" s="1"/>
      <c r="H376" s="1"/>
      <c r="I376" s="1"/>
      <c r="J376" s="1"/>
      <c r="K376" s="1"/>
      <c r="L376" s="1"/>
      <c r="M376" s="1"/>
      <c r="N376" s="1"/>
      <c r="O376" s="1"/>
      <c r="P376" s="1"/>
      <c r="Q376" s="1"/>
      <c r="R376" s="1"/>
      <c r="S376" s="1"/>
      <c r="T376" s="1"/>
      <c r="U376" s="1"/>
      <c r="V376" s="1"/>
      <c r="W376" s="1"/>
      <c r="X376" s="1"/>
      <c r="Y376" s="65">
        <f>G$357*$B376</f>
        <v>0</v>
      </c>
      <c r="Z376" s="65">
        <f t="shared" ref="Z376:BD376" si="188">H$357*$B376</f>
        <v>0</v>
      </c>
      <c r="AA376" s="65">
        <f t="shared" si="188"/>
        <v>0</v>
      </c>
      <c r="AB376" s="65">
        <f t="shared" si="188"/>
        <v>0</v>
      </c>
      <c r="AC376" s="65">
        <f t="shared" si="188"/>
        <v>0</v>
      </c>
      <c r="AD376" s="65">
        <f t="shared" si="188"/>
        <v>0</v>
      </c>
      <c r="AE376" s="65">
        <f t="shared" si="188"/>
        <v>0</v>
      </c>
      <c r="AF376" s="65">
        <f t="shared" si="188"/>
        <v>0</v>
      </c>
      <c r="AG376" s="65">
        <f t="shared" si="188"/>
        <v>0</v>
      </c>
      <c r="AH376" s="65">
        <f t="shared" si="188"/>
        <v>0</v>
      </c>
      <c r="AI376" s="65">
        <f t="shared" si="188"/>
        <v>0</v>
      </c>
      <c r="AJ376" s="65">
        <f t="shared" si="188"/>
        <v>0</v>
      </c>
      <c r="AK376" s="65">
        <f t="shared" si="188"/>
        <v>0</v>
      </c>
      <c r="AL376" s="65">
        <f t="shared" si="188"/>
        <v>0</v>
      </c>
      <c r="AM376" s="65">
        <f t="shared" si="188"/>
        <v>0</v>
      </c>
      <c r="AN376" s="65">
        <f t="shared" si="188"/>
        <v>0</v>
      </c>
      <c r="AO376" s="65">
        <f t="shared" si="188"/>
        <v>0</v>
      </c>
      <c r="AP376" s="65">
        <f t="shared" si="188"/>
        <v>0</v>
      </c>
      <c r="AQ376" s="65">
        <f t="shared" si="188"/>
        <v>0</v>
      </c>
      <c r="AR376" s="65">
        <f t="shared" si="188"/>
        <v>0</v>
      </c>
      <c r="AS376" s="65">
        <f t="shared" si="188"/>
        <v>0</v>
      </c>
      <c r="AT376" s="65">
        <f t="shared" si="188"/>
        <v>0</v>
      </c>
      <c r="AU376" s="65">
        <f t="shared" si="188"/>
        <v>0</v>
      </c>
      <c r="AV376" s="65">
        <f t="shared" si="188"/>
        <v>0</v>
      </c>
      <c r="AW376" s="65">
        <f t="shared" si="188"/>
        <v>0</v>
      </c>
      <c r="AX376" s="65">
        <f t="shared" si="188"/>
        <v>0</v>
      </c>
      <c r="AY376" s="65">
        <f t="shared" si="188"/>
        <v>0</v>
      </c>
      <c r="AZ376" s="65">
        <f t="shared" si="188"/>
        <v>0</v>
      </c>
      <c r="BA376" s="65">
        <f t="shared" si="188"/>
        <v>0</v>
      </c>
      <c r="BB376" s="65">
        <f t="shared" si="188"/>
        <v>0</v>
      </c>
      <c r="BC376" s="65">
        <f t="shared" si="188"/>
        <v>0</v>
      </c>
      <c r="BD376" s="65">
        <f t="shared" si="188"/>
        <v>0</v>
      </c>
    </row>
    <row r="377" spans="2:56 16384:16384" ht="15" customHeight="1">
      <c r="B377" s="39">
        <f>IF(Inputs!$E$54=1,Inputs!E125,IF(Inputs!$E$53=0,0,MIN(1/Inputs!$E$53,1-SUM($B$358:B376))))</f>
        <v>0</v>
      </c>
      <c r="C377" s="21">
        <f t="shared" si="179"/>
        <v>0</v>
      </c>
      <c r="D377" s="40" t="s">
        <v>231</v>
      </c>
      <c r="E377" s="18" t="s">
        <v>333</v>
      </c>
      <c r="G377" s="1"/>
      <c r="H377" s="1"/>
      <c r="I377" s="1"/>
      <c r="J377" s="1"/>
      <c r="K377" s="1"/>
      <c r="L377" s="1"/>
      <c r="M377" s="1"/>
      <c r="N377" s="1"/>
      <c r="O377" s="1"/>
      <c r="P377" s="1"/>
      <c r="Q377" s="1"/>
      <c r="R377" s="1"/>
      <c r="S377" s="1"/>
      <c r="T377" s="1"/>
      <c r="U377" s="1"/>
      <c r="V377" s="1"/>
      <c r="W377" s="1"/>
      <c r="X377" s="1"/>
      <c r="Y377" s="1"/>
      <c r="Z377" s="65">
        <f>G$357*$B377</f>
        <v>0</v>
      </c>
      <c r="AA377" s="65">
        <f t="shared" ref="AA377:BD377" si="189">H$357*$B377</f>
        <v>0</v>
      </c>
      <c r="AB377" s="65">
        <f t="shared" si="189"/>
        <v>0</v>
      </c>
      <c r="AC377" s="65">
        <f t="shared" si="189"/>
        <v>0</v>
      </c>
      <c r="AD377" s="65">
        <f t="shared" si="189"/>
        <v>0</v>
      </c>
      <c r="AE377" s="65">
        <f t="shared" si="189"/>
        <v>0</v>
      </c>
      <c r="AF377" s="65">
        <f t="shared" si="189"/>
        <v>0</v>
      </c>
      <c r="AG377" s="65">
        <f t="shared" si="189"/>
        <v>0</v>
      </c>
      <c r="AH377" s="65">
        <f t="shared" si="189"/>
        <v>0</v>
      </c>
      <c r="AI377" s="65">
        <f t="shared" si="189"/>
        <v>0</v>
      </c>
      <c r="AJ377" s="65">
        <f t="shared" si="189"/>
        <v>0</v>
      </c>
      <c r="AK377" s="65">
        <f t="shared" si="189"/>
        <v>0</v>
      </c>
      <c r="AL377" s="65">
        <f t="shared" si="189"/>
        <v>0</v>
      </c>
      <c r="AM377" s="65">
        <f t="shared" si="189"/>
        <v>0</v>
      </c>
      <c r="AN377" s="65">
        <f t="shared" si="189"/>
        <v>0</v>
      </c>
      <c r="AO377" s="65">
        <f t="shared" si="189"/>
        <v>0</v>
      </c>
      <c r="AP377" s="65">
        <f t="shared" si="189"/>
        <v>0</v>
      </c>
      <c r="AQ377" s="65">
        <f t="shared" si="189"/>
        <v>0</v>
      </c>
      <c r="AR377" s="65">
        <f t="shared" si="189"/>
        <v>0</v>
      </c>
      <c r="AS377" s="65">
        <f t="shared" si="189"/>
        <v>0</v>
      </c>
      <c r="AT377" s="65">
        <f t="shared" si="189"/>
        <v>0</v>
      </c>
      <c r="AU377" s="65">
        <f t="shared" si="189"/>
        <v>0</v>
      </c>
      <c r="AV377" s="65">
        <f t="shared" si="189"/>
        <v>0</v>
      </c>
      <c r="AW377" s="65">
        <f t="shared" si="189"/>
        <v>0</v>
      </c>
      <c r="AX377" s="65">
        <f t="shared" si="189"/>
        <v>0</v>
      </c>
      <c r="AY377" s="65">
        <f t="shared" si="189"/>
        <v>0</v>
      </c>
      <c r="AZ377" s="65">
        <f t="shared" si="189"/>
        <v>0</v>
      </c>
      <c r="BA377" s="65">
        <f t="shared" si="189"/>
        <v>0</v>
      </c>
      <c r="BB377" s="65">
        <f t="shared" si="189"/>
        <v>0</v>
      </c>
      <c r="BC377" s="65">
        <f t="shared" si="189"/>
        <v>0</v>
      </c>
      <c r="BD377" s="65">
        <f t="shared" si="189"/>
        <v>0</v>
      </c>
    </row>
    <row r="378" spans="2:56 16384:16384" ht="15" customHeight="1">
      <c r="B378" s="41"/>
      <c r="C378" s="21">
        <f>SUM(G378:BD378)</f>
        <v>1172.1429845951295</v>
      </c>
      <c r="D378" s="42" t="s">
        <v>488</v>
      </c>
      <c r="E378" s="18" t="s">
        <v>333</v>
      </c>
      <c r="G378" s="19">
        <f>SUM(G358:G377)</f>
        <v>0</v>
      </c>
      <c r="H378" s="19">
        <f t="shared" ref="H378:BD378" si="190">SUM(H358:H377)</f>
        <v>0</v>
      </c>
      <c r="I378" s="19">
        <f t="shared" si="190"/>
        <v>0</v>
      </c>
      <c r="J378" s="19">
        <f t="shared" si="190"/>
        <v>0</v>
      </c>
      <c r="K378" s="19">
        <f t="shared" si="190"/>
        <v>0</v>
      </c>
      <c r="L378" s="19">
        <f t="shared" si="190"/>
        <v>8.8326464256000019</v>
      </c>
      <c r="M378" s="19">
        <f t="shared" si="190"/>
        <v>17.841945779712002</v>
      </c>
      <c r="N378" s="19">
        <f t="shared" si="190"/>
        <v>27.031431120906241</v>
      </c>
      <c r="O378" s="19">
        <f t="shared" si="190"/>
        <v>36.404706168924371</v>
      </c>
      <c r="P378" s="19">
        <f t="shared" si="190"/>
        <v>45.96544671790285</v>
      </c>
      <c r="Q378" s="19">
        <f t="shared" si="190"/>
        <v>46.884755652260907</v>
      </c>
      <c r="R378" s="19">
        <f t="shared" si="190"/>
        <v>47.822450765306122</v>
      </c>
      <c r="S378" s="19">
        <f t="shared" si="190"/>
        <v>48.77889978061225</v>
      </c>
      <c r="T378" s="19">
        <f t="shared" si="190"/>
        <v>49.754477776224498</v>
      </c>
      <c r="U378" s="19">
        <f t="shared" si="190"/>
        <v>50.749567331748985</v>
      </c>
      <c r="V378" s="19">
        <f t="shared" si="190"/>
        <v>51.764558678383963</v>
      </c>
      <c r="W378" s="19">
        <f t="shared" si="190"/>
        <v>52.799849851951635</v>
      </c>
      <c r="X378" s="19">
        <f t="shared" si="190"/>
        <v>53.855846848990666</v>
      </c>
      <c r="Y378" s="19">
        <f t="shared" si="190"/>
        <v>54.932963785970479</v>
      </c>
      <c r="Z378" s="19">
        <f t="shared" si="190"/>
        <v>56.031623061689892</v>
      </c>
      <c r="AA378" s="19">
        <f t="shared" si="190"/>
        <v>57.152255522923696</v>
      </c>
      <c r="AB378" s="19">
        <f t="shared" si="190"/>
        <v>58.295300633382169</v>
      </c>
      <c r="AC378" s="19">
        <f t="shared" si="190"/>
        <v>59.461206646049817</v>
      </c>
      <c r="AD378" s="19">
        <f t="shared" si="190"/>
        <v>60.650430778970801</v>
      </c>
      <c r="AE378" s="19">
        <f t="shared" si="190"/>
        <v>61.863439394550227</v>
      </c>
      <c r="AF378" s="19">
        <f t="shared" si="190"/>
        <v>63.100708182441224</v>
      </c>
      <c r="AG378" s="19">
        <f t="shared" si="190"/>
        <v>57.669049888673946</v>
      </c>
      <c r="AH378" s="19">
        <f t="shared" si="190"/>
        <v>45.301212522466912</v>
      </c>
      <c r="AI378" s="19">
        <f t="shared" si="190"/>
        <v>32.686018408935738</v>
      </c>
      <c r="AJ378" s="19">
        <f t="shared" si="190"/>
        <v>19.818520413133932</v>
      </c>
      <c r="AK378" s="19">
        <f t="shared" si="190"/>
        <v>6.6936724574160964</v>
      </c>
      <c r="AL378" s="19">
        <f t="shared" si="190"/>
        <v>0</v>
      </c>
      <c r="AM378" s="19">
        <f t="shared" si="190"/>
        <v>0</v>
      </c>
      <c r="AN378" s="19">
        <f t="shared" si="190"/>
        <v>0</v>
      </c>
      <c r="AO378" s="19">
        <f t="shared" si="190"/>
        <v>0</v>
      </c>
      <c r="AP378" s="19">
        <f t="shared" si="190"/>
        <v>0</v>
      </c>
      <c r="AQ378" s="19">
        <f t="shared" si="190"/>
        <v>0</v>
      </c>
      <c r="AR378" s="19">
        <f t="shared" si="190"/>
        <v>0</v>
      </c>
      <c r="AS378" s="19">
        <f t="shared" si="190"/>
        <v>0</v>
      </c>
      <c r="AT378" s="19">
        <f t="shared" si="190"/>
        <v>0</v>
      </c>
      <c r="AU378" s="19">
        <f t="shared" si="190"/>
        <v>0</v>
      </c>
      <c r="AV378" s="19">
        <f t="shared" si="190"/>
        <v>0</v>
      </c>
      <c r="AW378" s="19">
        <f t="shared" si="190"/>
        <v>0</v>
      </c>
      <c r="AX378" s="19">
        <f t="shared" si="190"/>
        <v>0</v>
      </c>
      <c r="AY378" s="19">
        <f t="shared" si="190"/>
        <v>0</v>
      </c>
      <c r="AZ378" s="19">
        <f t="shared" si="190"/>
        <v>0</v>
      </c>
      <c r="BA378" s="19">
        <f t="shared" si="190"/>
        <v>0</v>
      </c>
      <c r="BB378" s="19">
        <f t="shared" si="190"/>
        <v>0</v>
      </c>
      <c r="BC378" s="19">
        <f t="shared" si="190"/>
        <v>0</v>
      </c>
      <c r="BD378" s="19">
        <f t="shared" si="190"/>
        <v>0</v>
      </c>
    </row>
    <row r="379" spans="2:56 16384:16384" ht="15" customHeight="1">
      <c r="B379" s="41"/>
      <c r="C379" s="21"/>
      <c r="D379" s="42"/>
      <c r="E379" s="18"/>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row>
    <row r="380" spans="2:56 16384:16384" ht="15" customHeight="1">
      <c r="B380" s="41"/>
      <c r="C380" s="21">
        <f>SUM(G380:BD380)</f>
        <v>1649.7177965951294</v>
      </c>
      <c r="D380" s="42" t="s">
        <v>489</v>
      </c>
      <c r="E380" s="18" t="s">
        <v>333</v>
      </c>
      <c r="G380" s="19">
        <f>G333 + G357</f>
        <v>0</v>
      </c>
      <c r="H380" s="19">
        <f t="shared" ref="H380:BD380" si="191">H333 + H357</f>
        <v>0</v>
      </c>
      <c r="I380" s="19">
        <f t="shared" si="191"/>
        <v>0</v>
      </c>
      <c r="J380" s="19">
        <f t="shared" si="191"/>
        <v>0</v>
      </c>
      <c r="K380" s="19">
        <f t="shared" si="191"/>
        <v>477.57481199999995</v>
      </c>
      <c r="L380" s="19">
        <f t="shared" si="191"/>
        <v>44.163232128000004</v>
      </c>
      <c r="M380" s="19">
        <f t="shared" si="191"/>
        <v>45.046496770560005</v>
      </c>
      <c r="N380" s="19">
        <f t="shared" si="191"/>
        <v>45.947426705971196</v>
      </c>
      <c r="O380" s="19">
        <f t="shared" si="191"/>
        <v>46.866375240090619</v>
      </c>
      <c r="P380" s="19">
        <f t="shared" si="191"/>
        <v>47.803702744892433</v>
      </c>
      <c r="Q380" s="19">
        <f t="shared" si="191"/>
        <v>48.759776799790288</v>
      </c>
      <c r="R380" s="19">
        <f t="shared" si="191"/>
        <v>49.734972335786082</v>
      </c>
      <c r="S380" s="19">
        <f t="shared" si="191"/>
        <v>50.729671782501811</v>
      </c>
      <c r="T380" s="19">
        <f t="shared" si="191"/>
        <v>51.744265218151845</v>
      </c>
      <c r="U380" s="19">
        <f t="shared" si="191"/>
        <v>52.779150522514882</v>
      </c>
      <c r="V380" s="19">
        <f t="shared" si="191"/>
        <v>53.834733532965167</v>
      </c>
      <c r="W380" s="19">
        <f t="shared" si="191"/>
        <v>54.911428203624482</v>
      </c>
      <c r="X380" s="19">
        <f t="shared" si="191"/>
        <v>56.009656767696974</v>
      </c>
      <c r="Y380" s="19">
        <f t="shared" si="191"/>
        <v>57.129849903050911</v>
      </c>
      <c r="Z380" s="19">
        <f t="shared" si="191"/>
        <v>58.272446901111927</v>
      </c>
      <c r="AA380" s="19">
        <f t="shared" si="191"/>
        <v>59.437895839134171</v>
      </c>
      <c r="AB380" s="19">
        <f t="shared" si="191"/>
        <v>60.626653755916848</v>
      </c>
      <c r="AC380" s="19">
        <f t="shared" si="191"/>
        <v>61.839186831035192</v>
      </c>
      <c r="AD380" s="19">
        <f t="shared" si="191"/>
        <v>63.07597056765588</v>
      </c>
      <c r="AE380" s="19">
        <f t="shared" si="191"/>
        <v>64.337489979009007</v>
      </c>
      <c r="AF380" s="19">
        <f t="shared" si="191"/>
        <v>65.624239778589185</v>
      </c>
      <c r="AG380" s="19">
        <f t="shared" si="191"/>
        <v>33.468362287080488</v>
      </c>
      <c r="AH380" s="19">
        <f t="shared" si="191"/>
        <v>0</v>
      </c>
      <c r="AI380" s="19">
        <f t="shared" si="191"/>
        <v>0</v>
      </c>
      <c r="AJ380" s="19">
        <f t="shared" si="191"/>
        <v>0</v>
      </c>
      <c r="AK380" s="19">
        <f t="shared" si="191"/>
        <v>0</v>
      </c>
      <c r="AL380" s="19">
        <f t="shared" si="191"/>
        <v>0</v>
      </c>
      <c r="AM380" s="19">
        <f t="shared" si="191"/>
        <v>0</v>
      </c>
      <c r="AN380" s="19">
        <f t="shared" si="191"/>
        <v>0</v>
      </c>
      <c r="AO380" s="19">
        <f t="shared" si="191"/>
        <v>0</v>
      </c>
      <c r="AP380" s="19">
        <f t="shared" si="191"/>
        <v>0</v>
      </c>
      <c r="AQ380" s="19">
        <f t="shared" si="191"/>
        <v>0</v>
      </c>
      <c r="AR380" s="19">
        <f t="shared" si="191"/>
        <v>0</v>
      </c>
      <c r="AS380" s="19">
        <f t="shared" si="191"/>
        <v>0</v>
      </c>
      <c r="AT380" s="19">
        <f t="shared" si="191"/>
        <v>0</v>
      </c>
      <c r="AU380" s="19">
        <f t="shared" si="191"/>
        <v>0</v>
      </c>
      <c r="AV380" s="19">
        <f t="shared" si="191"/>
        <v>0</v>
      </c>
      <c r="AW380" s="19">
        <f t="shared" si="191"/>
        <v>0</v>
      </c>
      <c r="AX380" s="19">
        <f t="shared" si="191"/>
        <v>0</v>
      </c>
      <c r="AY380" s="19">
        <f t="shared" si="191"/>
        <v>0</v>
      </c>
      <c r="AZ380" s="19">
        <f t="shared" si="191"/>
        <v>0</v>
      </c>
      <c r="BA380" s="19">
        <f t="shared" si="191"/>
        <v>0</v>
      </c>
      <c r="BB380" s="19">
        <f t="shared" si="191"/>
        <v>0</v>
      </c>
      <c r="BC380" s="19">
        <f t="shared" si="191"/>
        <v>0</v>
      </c>
      <c r="BD380" s="19">
        <f t="shared" si="191"/>
        <v>0</v>
      </c>
      <c r="XFD380" s="53"/>
    </row>
    <row r="381" spans="2:56 16384:16384" ht="15" customHeight="1">
      <c r="B381" s="41"/>
      <c r="C381" s="21">
        <f>SUM(G381:BD381)</f>
        <v>1649.7177965951291</v>
      </c>
      <c r="D381" s="42" t="s">
        <v>490</v>
      </c>
      <c r="E381" s="18" t="s">
        <v>333</v>
      </c>
      <c r="G381" s="19">
        <f>G354 + G378</f>
        <v>0</v>
      </c>
      <c r="H381" s="19">
        <f t="shared" ref="H381:BD381" si="192">H354 + H378</f>
        <v>0</v>
      </c>
      <c r="I381" s="19">
        <f t="shared" si="192"/>
        <v>0</v>
      </c>
      <c r="J381" s="19">
        <f t="shared" si="192"/>
        <v>0</v>
      </c>
      <c r="K381" s="19">
        <f t="shared" si="192"/>
        <v>95.514962400000002</v>
      </c>
      <c r="L381" s="19">
        <f t="shared" si="192"/>
        <v>104.34760882560001</v>
      </c>
      <c r="M381" s="19">
        <f t="shared" si="192"/>
        <v>113.35690817971201</v>
      </c>
      <c r="N381" s="19">
        <f t="shared" si="192"/>
        <v>122.54639352090624</v>
      </c>
      <c r="O381" s="19">
        <f t="shared" si="192"/>
        <v>131.91966856892435</v>
      </c>
      <c r="P381" s="19">
        <f t="shared" si="192"/>
        <v>45.96544671790285</v>
      </c>
      <c r="Q381" s="19">
        <f t="shared" si="192"/>
        <v>46.884755652260907</v>
      </c>
      <c r="R381" s="19">
        <f t="shared" si="192"/>
        <v>47.822450765306122</v>
      </c>
      <c r="S381" s="19">
        <f t="shared" si="192"/>
        <v>48.77889978061225</v>
      </c>
      <c r="T381" s="19">
        <f t="shared" si="192"/>
        <v>49.754477776224498</v>
      </c>
      <c r="U381" s="19">
        <f t="shared" si="192"/>
        <v>50.749567331748985</v>
      </c>
      <c r="V381" s="19">
        <f t="shared" si="192"/>
        <v>51.764558678383963</v>
      </c>
      <c r="W381" s="19">
        <f t="shared" si="192"/>
        <v>52.799849851951635</v>
      </c>
      <c r="X381" s="19">
        <f t="shared" si="192"/>
        <v>53.855846848990666</v>
      </c>
      <c r="Y381" s="19">
        <f t="shared" si="192"/>
        <v>54.932963785970479</v>
      </c>
      <c r="Z381" s="19">
        <f t="shared" si="192"/>
        <v>56.031623061689892</v>
      </c>
      <c r="AA381" s="19">
        <f t="shared" si="192"/>
        <v>57.152255522923696</v>
      </c>
      <c r="AB381" s="19">
        <f t="shared" si="192"/>
        <v>58.295300633382169</v>
      </c>
      <c r="AC381" s="19">
        <f t="shared" si="192"/>
        <v>59.461206646049817</v>
      </c>
      <c r="AD381" s="19">
        <f t="shared" si="192"/>
        <v>60.650430778970801</v>
      </c>
      <c r="AE381" s="19">
        <f t="shared" si="192"/>
        <v>61.863439394550227</v>
      </c>
      <c r="AF381" s="19">
        <f t="shared" si="192"/>
        <v>63.100708182441224</v>
      </c>
      <c r="AG381" s="19">
        <f t="shared" si="192"/>
        <v>57.669049888673946</v>
      </c>
      <c r="AH381" s="19">
        <f t="shared" si="192"/>
        <v>45.301212522466912</v>
      </c>
      <c r="AI381" s="19">
        <f t="shared" si="192"/>
        <v>32.686018408935738</v>
      </c>
      <c r="AJ381" s="19">
        <f t="shared" si="192"/>
        <v>19.818520413133932</v>
      </c>
      <c r="AK381" s="19">
        <f t="shared" si="192"/>
        <v>6.6936724574160964</v>
      </c>
      <c r="AL381" s="19">
        <f t="shared" si="192"/>
        <v>0</v>
      </c>
      <c r="AM381" s="19">
        <f t="shared" si="192"/>
        <v>0</v>
      </c>
      <c r="AN381" s="19">
        <f t="shared" si="192"/>
        <v>0</v>
      </c>
      <c r="AO381" s="19">
        <f t="shared" si="192"/>
        <v>0</v>
      </c>
      <c r="AP381" s="19">
        <f t="shared" si="192"/>
        <v>0</v>
      </c>
      <c r="AQ381" s="19">
        <f t="shared" si="192"/>
        <v>0</v>
      </c>
      <c r="AR381" s="19">
        <f t="shared" si="192"/>
        <v>0</v>
      </c>
      <c r="AS381" s="19">
        <f t="shared" si="192"/>
        <v>0</v>
      </c>
      <c r="AT381" s="19">
        <f t="shared" si="192"/>
        <v>0</v>
      </c>
      <c r="AU381" s="19">
        <f t="shared" si="192"/>
        <v>0</v>
      </c>
      <c r="AV381" s="19">
        <f t="shared" si="192"/>
        <v>0</v>
      </c>
      <c r="AW381" s="19">
        <f t="shared" si="192"/>
        <v>0</v>
      </c>
      <c r="AX381" s="19">
        <f t="shared" si="192"/>
        <v>0</v>
      </c>
      <c r="AY381" s="19">
        <f t="shared" si="192"/>
        <v>0</v>
      </c>
      <c r="AZ381" s="19">
        <f t="shared" si="192"/>
        <v>0</v>
      </c>
      <c r="BA381" s="19">
        <f t="shared" si="192"/>
        <v>0</v>
      </c>
      <c r="BB381" s="19">
        <f t="shared" si="192"/>
        <v>0</v>
      </c>
      <c r="BC381" s="19">
        <f t="shared" si="192"/>
        <v>0</v>
      </c>
      <c r="BD381" s="19">
        <f t="shared" si="192"/>
        <v>0</v>
      </c>
      <c r="XFD381" s="53"/>
    </row>
    <row r="382" spans="2:56 16384:16384" ht="15" customHeight="1">
      <c r="B382" s="41"/>
      <c r="C382" s="21"/>
      <c r="D382" s="42"/>
      <c r="E382" s="18"/>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row>
    <row r="383" spans="2:56 16384:16384" ht="15" customHeight="1">
      <c r="B383" s="41"/>
      <c r="C383" s="21"/>
      <c r="D383" s="42" t="s">
        <v>491</v>
      </c>
      <c r="E383" s="18" t="s">
        <v>333</v>
      </c>
      <c r="G383" s="19">
        <f>SUM($G$380:G380)</f>
        <v>0</v>
      </c>
      <c r="H383" s="19">
        <f>SUM($G$380:H380)</f>
        <v>0</v>
      </c>
      <c r="I383" s="19">
        <f>SUM($G$380:I380)</f>
        <v>0</v>
      </c>
      <c r="J383" s="19">
        <f>SUM($G$380:J380)</f>
        <v>0</v>
      </c>
      <c r="K383" s="19">
        <f>SUM($G$380:K380)</f>
        <v>477.57481199999995</v>
      </c>
      <c r="L383" s="19">
        <f>SUM($G$380:L380)</f>
        <v>521.73804412799996</v>
      </c>
      <c r="M383" s="19">
        <f>SUM($G$380:M380)</f>
        <v>566.78454089855995</v>
      </c>
      <c r="N383" s="19">
        <f>SUM($G$380:N380)</f>
        <v>612.73196760453118</v>
      </c>
      <c r="O383" s="19">
        <f>SUM($G$380:O380)</f>
        <v>659.59834284462181</v>
      </c>
      <c r="P383" s="19">
        <f>SUM($G$380:P380)</f>
        <v>707.40204558951427</v>
      </c>
      <c r="Q383" s="19">
        <f>SUM($G$380:Q380)</f>
        <v>756.16182238930458</v>
      </c>
      <c r="R383" s="19">
        <f>SUM($G$380:R380)</f>
        <v>805.89679472509067</v>
      </c>
      <c r="S383" s="19">
        <f>SUM($G$380:S380)</f>
        <v>856.62646650759245</v>
      </c>
      <c r="T383" s="19">
        <f>SUM($G$380:T380)</f>
        <v>908.37073172574435</v>
      </c>
      <c r="U383" s="19">
        <f>SUM($G$380:U380)</f>
        <v>961.14988224825925</v>
      </c>
      <c r="V383" s="19">
        <f>SUM($G$380:V380)</f>
        <v>1014.9846157812244</v>
      </c>
      <c r="W383" s="19">
        <f>SUM($G$380:W380)</f>
        <v>1069.8960439848488</v>
      </c>
      <c r="X383" s="19">
        <f>SUM($G$380:X380)</f>
        <v>1125.9057007525457</v>
      </c>
      <c r="Y383" s="19">
        <f>SUM($G$380:Y380)</f>
        <v>1183.0355506555966</v>
      </c>
      <c r="Z383" s="19">
        <f>SUM($G$380:Z380)</f>
        <v>1241.3079975567084</v>
      </c>
      <c r="AA383" s="19">
        <f>SUM($G$380:AA380)</f>
        <v>1300.7458933958426</v>
      </c>
      <c r="AB383" s="19">
        <f>SUM($G$380:AB380)</f>
        <v>1361.3725471517594</v>
      </c>
      <c r="AC383" s="19">
        <f>SUM($G$380:AC380)</f>
        <v>1423.2117339827946</v>
      </c>
      <c r="AD383" s="19">
        <f>SUM($G$380:AD380)</f>
        <v>1486.2877045504506</v>
      </c>
      <c r="AE383" s="19">
        <f>SUM($G$380:AE380)</f>
        <v>1550.6251945294596</v>
      </c>
      <c r="AF383" s="19">
        <f>SUM($G$380:AF380)</f>
        <v>1616.2494343080489</v>
      </c>
      <c r="AG383" s="19">
        <f>SUM($G$380:AG380)</f>
        <v>1649.7177965951294</v>
      </c>
      <c r="AH383" s="19">
        <f>SUM($G$380:AH380)</f>
        <v>1649.7177965951294</v>
      </c>
      <c r="AI383" s="19">
        <f>SUM($G$380:AI380)</f>
        <v>1649.7177965951294</v>
      </c>
      <c r="AJ383" s="19">
        <f>SUM($G$380:AJ380)</f>
        <v>1649.7177965951294</v>
      </c>
      <c r="AK383" s="19">
        <f>SUM($G$380:AK380)</f>
        <v>1649.7177965951294</v>
      </c>
      <c r="AL383" s="19">
        <f>SUM($G$380:AL380)</f>
        <v>1649.7177965951294</v>
      </c>
      <c r="AM383" s="19">
        <f>SUM($G$380:AM380)</f>
        <v>1649.7177965951294</v>
      </c>
      <c r="AN383" s="19">
        <f>SUM($G$380:AN380)</f>
        <v>1649.7177965951294</v>
      </c>
      <c r="AO383" s="19">
        <f>SUM($G$380:AO380)</f>
        <v>1649.7177965951294</v>
      </c>
      <c r="AP383" s="19">
        <f>SUM($G$380:AP380)</f>
        <v>1649.7177965951294</v>
      </c>
      <c r="AQ383" s="19">
        <f>SUM($G$380:AQ380)</f>
        <v>1649.7177965951294</v>
      </c>
      <c r="AR383" s="19">
        <f>SUM($G$380:AR380)</f>
        <v>1649.7177965951294</v>
      </c>
      <c r="AS383" s="19">
        <f>SUM($G$380:AS380)</f>
        <v>1649.7177965951294</v>
      </c>
      <c r="AT383" s="19">
        <f>SUM($G$380:AT380)</f>
        <v>1649.7177965951294</v>
      </c>
      <c r="AU383" s="19">
        <f>SUM($G$380:AU380)</f>
        <v>1649.7177965951294</v>
      </c>
      <c r="AV383" s="19">
        <f>SUM($G$380:AV380)</f>
        <v>1649.7177965951294</v>
      </c>
      <c r="AW383" s="19">
        <f>SUM($G$380:AW380)</f>
        <v>1649.7177965951294</v>
      </c>
      <c r="AX383" s="19">
        <f>SUM($G$380:AX380)</f>
        <v>1649.7177965951294</v>
      </c>
      <c r="AY383" s="19">
        <f>SUM($G$380:AY380)</f>
        <v>1649.7177965951294</v>
      </c>
      <c r="AZ383" s="19">
        <f>SUM($G$380:AZ380)</f>
        <v>1649.7177965951294</v>
      </c>
      <c r="BA383" s="19">
        <f>SUM($G$380:BA380)</f>
        <v>1649.7177965951294</v>
      </c>
      <c r="BB383" s="19">
        <f>SUM($G$380:BB380)</f>
        <v>1649.7177965951294</v>
      </c>
      <c r="BC383" s="19">
        <f>SUM($G$380:BC380)</f>
        <v>1649.7177965951294</v>
      </c>
      <c r="BD383" s="19">
        <f>SUM($G$380:BD380)</f>
        <v>1649.7177965951294</v>
      </c>
    </row>
    <row r="384" spans="2:56 16384:16384" ht="15" customHeight="1">
      <c r="B384" s="41"/>
      <c r="C384" s="21"/>
      <c r="D384" s="42" t="s">
        <v>492</v>
      </c>
      <c r="E384" s="18" t="s">
        <v>333</v>
      </c>
      <c r="G384" s="19">
        <f>SUM($G$381:G381)</f>
        <v>0</v>
      </c>
      <c r="H384" s="19">
        <f>SUM($G$381:H381)</f>
        <v>0</v>
      </c>
      <c r="I384" s="19">
        <f>SUM($G$381:I381)</f>
        <v>0</v>
      </c>
      <c r="J384" s="19">
        <f>SUM($G$381:J381)</f>
        <v>0</v>
      </c>
      <c r="K384" s="19">
        <f>SUM($G$381:K381)</f>
        <v>95.514962400000002</v>
      </c>
      <c r="L384" s="19">
        <f>SUM($G$381:L381)</f>
        <v>199.86257122559999</v>
      </c>
      <c r="M384" s="19">
        <f>SUM($G$381:M381)</f>
        <v>313.21947940531197</v>
      </c>
      <c r="N384" s="19">
        <f>SUM($G$381:N381)</f>
        <v>435.76587292621821</v>
      </c>
      <c r="O384" s="19">
        <f>SUM($G$381:O381)</f>
        <v>567.68554149514262</v>
      </c>
      <c r="P384" s="19">
        <f>SUM($G$381:P381)</f>
        <v>613.65098821304548</v>
      </c>
      <c r="Q384" s="19">
        <f>SUM($G$381:Q381)</f>
        <v>660.53574386530636</v>
      </c>
      <c r="R384" s="19">
        <f>SUM($G$381:R381)</f>
        <v>708.3581946306125</v>
      </c>
      <c r="S384" s="19">
        <f>SUM($G$381:S381)</f>
        <v>757.13709441122478</v>
      </c>
      <c r="T384" s="19">
        <f>SUM($G$381:T381)</f>
        <v>806.89157218744924</v>
      </c>
      <c r="U384" s="19">
        <f>SUM($G$381:U381)</f>
        <v>857.64113951919819</v>
      </c>
      <c r="V384" s="19">
        <f>SUM($G$381:V381)</f>
        <v>909.40569819758218</v>
      </c>
      <c r="W384" s="19">
        <f>SUM($G$381:W381)</f>
        <v>962.20554804953383</v>
      </c>
      <c r="X384" s="19">
        <f>SUM($G$381:X381)</f>
        <v>1016.0613948985244</v>
      </c>
      <c r="Y384" s="19">
        <f>SUM($G$381:Y381)</f>
        <v>1070.994358684495</v>
      </c>
      <c r="Z384" s="19">
        <f>SUM($G$381:Z381)</f>
        <v>1127.0259817461849</v>
      </c>
      <c r="AA384" s="19">
        <f>SUM($G$381:AA381)</f>
        <v>1184.1782372691086</v>
      </c>
      <c r="AB384" s="19">
        <f>SUM($G$381:AB381)</f>
        <v>1242.4735379024908</v>
      </c>
      <c r="AC384" s="19">
        <f>SUM($G$381:AC381)</f>
        <v>1301.9347445485405</v>
      </c>
      <c r="AD384" s="19">
        <f>SUM($G$381:AD381)</f>
        <v>1362.5851753275113</v>
      </c>
      <c r="AE384" s="19">
        <f>SUM($G$381:AE381)</f>
        <v>1424.4486147220614</v>
      </c>
      <c r="AF384" s="19">
        <f>SUM($G$381:AF381)</f>
        <v>1487.5493229045026</v>
      </c>
      <c r="AG384" s="19">
        <f>SUM($G$381:AG381)</f>
        <v>1545.2183727931765</v>
      </c>
      <c r="AH384" s="19">
        <f>SUM($G$381:AH381)</f>
        <v>1590.5195853156433</v>
      </c>
      <c r="AI384" s="19">
        <f>SUM($G$381:AI381)</f>
        <v>1623.2056037245791</v>
      </c>
      <c r="AJ384" s="19">
        <f>SUM($G$381:AJ381)</f>
        <v>1643.024124137713</v>
      </c>
      <c r="AK384" s="19">
        <f>SUM($G$381:AK381)</f>
        <v>1649.7177965951291</v>
      </c>
      <c r="AL384" s="19">
        <f>SUM($G$381:AL381)</f>
        <v>1649.7177965951291</v>
      </c>
      <c r="AM384" s="19">
        <f>SUM($G$381:AM381)</f>
        <v>1649.7177965951291</v>
      </c>
      <c r="AN384" s="19">
        <f>SUM($G$381:AN381)</f>
        <v>1649.7177965951291</v>
      </c>
      <c r="AO384" s="19">
        <f>SUM($G$381:AO381)</f>
        <v>1649.7177965951291</v>
      </c>
      <c r="AP384" s="19">
        <f>SUM($G$381:AP381)</f>
        <v>1649.7177965951291</v>
      </c>
      <c r="AQ384" s="19">
        <f>SUM($G$381:AQ381)</f>
        <v>1649.7177965951291</v>
      </c>
      <c r="AR384" s="19">
        <f>SUM($G$381:AR381)</f>
        <v>1649.7177965951291</v>
      </c>
      <c r="AS384" s="19">
        <f>SUM($G$381:AS381)</f>
        <v>1649.7177965951291</v>
      </c>
      <c r="AT384" s="19">
        <f>SUM($G$381:AT381)</f>
        <v>1649.7177965951291</v>
      </c>
      <c r="AU384" s="19">
        <f>SUM($G$381:AU381)</f>
        <v>1649.7177965951291</v>
      </c>
      <c r="AV384" s="19">
        <f>SUM($G$381:AV381)</f>
        <v>1649.7177965951291</v>
      </c>
      <c r="AW384" s="19">
        <f>SUM($G$381:AW381)</f>
        <v>1649.7177965951291</v>
      </c>
      <c r="AX384" s="19">
        <f>SUM($G$381:AX381)</f>
        <v>1649.7177965951291</v>
      </c>
      <c r="AY384" s="19">
        <f>SUM($G$381:AY381)</f>
        <v>1649.7177965951291</v>
      </c>
      <c r="AZ384" s="19">
        <f>SUM($G$381:AZ381)</f>
        <v>1649.7177965951291</v>
      </c>
      <c r="BA384" s="19">
        <f>SUM($G$381:BA381)</f>
        <v>1649.7177965951291</v>
      </c>
      <c r="BB384" s="19">
        <f>SUM($G$381:BB381)</f>
        <v>1649.7177965951291</v>
      </c>
      <c r="BC384" s="19">
        <f>SUM($G$381:BC381)</f>
        <v>1649.7177965951291</v>
      </c>
      <c r="BD384" s="19">
        <f>SUM($G$381:BD381)</f>
        <v>1649.7177965951291</v>
      </c>
    </row>
    <row r="385" spans="2:56" ht="15" customHeight="1">
      <c r="B385" s="41"/>
      <c r="C385" s="21"/>
      <c r="D385" s="42" t="s">
        <v>493</v>
      </c>
      <c r="E385" s="18" t="s">
        <v>333</v>
      </c>
      <c r="G385" s="19">
        <f>1*AND(G31 = $C$36)</f>
        <v>0</v>
      </c>
      <c r="H385" s="19">
        <f t="shared" ref="H385:BD385" si="193">1*AND(H31 = $C$36)</f>
        <v>0</v>
      </c>
      <c r="I385" s="19">
        <f t="shared" si="193"/>
        <v>0</v>
      </c>
      <c r="J385" s="19">
        <f t="shared" si="193"/>
        <v>0</v>
      </c>
      <c r="K385" s="19">
        <f t="shared" si="193"/>
        <v>0</v>
      </c>
      <c r="L385" s="19">
        <f t="shared" si="193"/>
        <v>0</v>
      </c>
      <c r="M385" s="19">
        <f t="shared" si="193"/>
        <v>0</v>
      </c>
      <c r="N385" s="19">
        <f t="shared" si="193"/>
        <v>0</v>
      </c>
      <c r="O385" s="19">
        <f t="shared" si="193"/>
        <v>0</v>
      </c>
      <c r="P385" s="19">
        <f t="shared" si="193"/>
        <v>0</v>
      </c>
      <c r="Q385" s="19">
        <f t="shared" si="193"/>
        <v>0</v>
      </c>
      <c r="R385" s="19">
        <f t="shared" si="193"/>
        <v>0</v>
      </c>
      <c r="S385" s="19">
        <f t="shared" si="193"/>
        <v>0</v>
      </c>
      <c r="T385" s="19">
        <f t="shared" si="193"/>
        <v>0</v>
      </c>
      <c r="U385" s="19">
        <f t="shared" si="193"/>
        <v>0</v>
      </c>
      <c r="V385" s="19">
        <f t="shared" si="193"/>
        <v>0</v>
      </c>
      <c r="W385" s="19">
        <f t="shared" si="193"/>
        <v>0</v>
      </c>
      <c r="X385" s="19">
        <f t="shared" si="193"/>
        <v>0</v>
      </c>
      <c r="Y385" s="19">
        <f t="shared" si="193"/>
        <v>0</v>
      </c>
      <c r="Z385" s="19">
        <f t="shared" si="193"/>
        <v>0</v>
      </c>
      <c r="AA385" s="19">
        <f t="shared" si="193"/>
        <v>0</v>
      </c>
      <c r="AB385" s="19">
        <f t="shared" si="193"/>
        <v>0</v>
      </c>
      <c r="AC385" s="19">
        <f t="shared" si="193"/>
        <v>0</v>
      </c>
      <c r="AD385" s="19">
        <f t="shared" si="193"/>
        <v>0</v>
      </c>
      <c r="AE385" s="19">
        <f t="shared" si="193"/>
        <v>0</v>
      </c>
      <c r="AF385" s="19">
        <f t="shared" si="193"/>
        <v>0</v>
      </c>
      <c r="AG385" s="19">
        <f t="shared" si="193"/>
        <v>0</v>
      </c>
      <c r="AH385" s="19">
        <f t="shared" si="193"/>
        <v>1</v>
      </c>
      <c r="AI385" s="19">
        <f t="shared" si="193"/>
        <v>0</v>
      </c>
      <c r="AJ385" s="19">
        <f t="shared" si="193"/>
        <v>0</v>
      </c>
      <c r="AK385" s="19">
        <f t="shared" si="193"/>
        <v>0</v>
      </c>
      <c r="AL385" s="19">
        <f t="shared" si="193"/>
        <v>0</v>
      </c>
      <c r="AM385" s="19">
        <f t="shared" si="193"/>
        <v>0</v>
      </c>
      <c r="AN385" s="19">
        <f t="shared" si="193"/>
        <v>0</v>
      </c>
      <c r="AO385" s="19">
        <f t="shared" si="193"/>
        <v>0</v>
      </c>
      <c r="AP385" s="19">
        <f t="shared" si="193"/>
        <v>0</v>
      </c>
      <c r="AQ385" s="19">
        <f t="shared" si="193"/>
        <v>0</v>
      </c>
      <c r="AR385" s="19">
        <f t="shared" si="193"/>
        <v>0</v>
      </c>
      <c r="AS385" s="19">
        <f t="shared" si="193"/>
        <v>0</v>
      </c>
      <c r="AT385" s="19">
        <f t="shared" si="193"/>
        <v>0</v>
      </c>
      <c r="AU385" s="19">
        <f t="shared" si="193"/>
        <v>0</v>
      </c>
      <c r="AV385" s="19">
        <f t="shared" si="193"/>
        <v>0</v>
      </c>
      <c r="AW385" s="19">
        <f t="shared" si="193"/>
        <v>0</v>
      </c>
      <c r="AX385" s="19">
        <f t="shared" si="193"/>
        <v>0</v>
      </c>
      <c r="AY385" s="19">
        <f t="shared" si="193"/>
        <v>0</v>
      </c>
      <c r="AZ385" s="19">
        <f t="shared" si="193"/>
        <v>0</v>
      </c>
      <c r="BA385" s="19">
        <f t="shared" si="193"/>
        <v>0</v>
      </c>
      <c r="BB385" s="19">
        <f t="shared" si="193"/>
        <v>0</v>
      </c>
      <c r="BC385" s="19">
        <f t="shared" si="193"/>
        <v>0</v>
      </c>
      <c r="BD385" s="19">
        <f t="shared" si="193"/>
        <v>0</v>
      </c>
    </row>
    <row r="386" spans="2:56" ht="15" customHeight="1">
      <c r="B386" s="41"/>
      <c r="C386" s="21">
        <f>SUM(G386:BD386)</f>
        <v>59.198211279486031</v>
      </c>
      <c r="D386" s="42" t="s">
        <v>494</v>
      </c>
      <c r="E386" s="18" t="s">
        <v>333</v>
      </c>
      <c r="G386" s="19">
        <f>G385*(G383-G384)</f>
        <v>0</v>
      </c>
      <c r="H386" s="19">
        <f t="shared" ref="H386:BD386" si="194">H385*(H383-H384)</f>
        <v>0</v>
      </c>
      <c r="I386" s="19">
        <f t="shared" si="194"/>
        <v>0</v>
      </c>
      <c r="J386" s="19">
        <f t="shared" si="194"/>
        <v>0</v>
      </c>
      <c r="K386" s="19">
        <f t="shared" si="194"/>
        <v>0</v>
      </c>
      <c r="L386" s="19">
        <f t="shared" si="194"/>
        <v>0</v>
      </c>
      <c r="M386" s="19">
        <f t="shared" si="194"/>
        <v>0</v>
      </c>
      <c r="N386" s="19">
        <f t="shared" si="194"/>
        <v>0</v>
      </c>
      <c r="O386" s="19">
        <f t="shared" si="194"/>
        <v>0</v>
      </c>
      <c r="P386" s="19">
        <f t="shared" si="194"/>
        <v>0</v>
      </c>
      <c r="Q386" s="19">
        <f t="shared" si="194"/>
        <v>0</v>
      </c>
      <c r="R386" s="19">
        <f t="shared" si="194"/>
        <v>0</v>
      </c>
      <c r="S386" s="19">
        <f t="shared" si="194"/>
        <v>0</v>
      </c>
      <c r="T386" s="19">
        <f t="shared" si="194"/>
        <v>0</v>
      </c>
      <c r="U386" s="19">
        <f t="shared" si="194"/>
        <v>0</v>
      </c>
      <c r="V386" s="19">
        <f t="shared" si="194"/>
        <v>0</v>
      </c>
      <c r="W386" s="19">
        <f t="shared" si="194"/>
        <v>0</v>
      </c>
      <c r="X386" s="19">
        <f t="shared" si="194"/>
        <v>0</v>
      </c>
      <c r="Y386" s="19">
        <f t="shared" si="194"/>
        <v>0</v>
      </c>
      <c r="Z386" s="19">
        <f t="shared" si="194"/>
        <v>0</v>
      </c>
      <c r="AA386" s="19">
        <f t="shared" si="194"/>
        <v>0</v>
      </c>
      <c r="AB386" s="19">
        <f t="shared" si="194"/>
        <v>0</v>
      </c>
      <c r="AC386" s="19">
        <f t="shared" si="194"/>
        <v>0</v>
      </c>
      <c r="AD386" s="19">
        <f t="shared" si="194"/>
        <v>0</v>
      </c>
      <c r="AE386" s="19">
        <f t="shared" si="194"/>
        <v>0</v>
      </c>
      <c r="AF386" s="19">
        <f t="shared" si="194"/>
        <v>0</v>
      </c>
      <c r="AG386" s="19">
        <f t="shared" si="194"/>
        <v>0</v>
      </c>
      <c r="AH386" s="19">
        <f t="shared" si="194"/>
        <v>59.198211279486031</v>
      </c>
      <c r="AI386" s="19">
        <f t="shared" si="194"/>
        <v>0</v>
      </c>
      <c r="AJ386" s="19">
        <f t="shared" si="194"/>
        <v>0</v>
      </c>
      <c r="AK386" s="19">
        <f t="shared" si="194"/>
        <v>0</v>
      </c>
      <c r="AL386" s="19">
        <f t="shared" si="194"/>
        <v>0</v>
      </c>
      <c r="AM386" s="19">
        <f t="shared" si="194"/>
        <v>0</v>
      </c>
      <c r="AN386" s="19">
        <f t="shared" si="194"/>
        <v>0</v>
      </c>
      <c r="AO386" s="19">
        <f t="shared" si="194"/>
        <v>0</v>
      </c>
      <c r="AP386" s="19">
        <f t="shared" si="194"/>
        <v>0</v>
      </c>
      <c r="AQ386" s="19">
        <f t="shared" si="194"/>
        <v>0</v>
      </c>
      <c r="AR386" s="19">
        <f t="shared" si="194"/>
        <v>0</v>
      </c>
      <c r="AS386" s="19">
        <f t="shared" si="194"/>
        <v>0</v>
      </c>
      <c r="AT386" s="19">
        <f t="shared" si="194"/>
        <v>0</v>
      </c>
      <c r="AU386" s="19">
        <f t="shared" si="194"/>
        <v>0</v>
      </c>
      <c r="AV386" s="19">
        <f t="shared" si="194"/>
        <v>0</v>
      </c>
      <c r="AW386" s="19">
        <f t="shared" si="194"/>
        <v>0</v>
      </c>
      <c r="AX386" s="19">
        <f t="shared" si="194"/>
        <v>0</v>
      </c>
      <c r="AY386" s="19">
        <f t="shared" si="194"/>
        <v>0</v>
      </c>
      <c r="AZ386" s="19">
        <f t="shared" si="194"/>
        <v>0</v>
      </c>
      <c r="BA386" s="19">
        <f t="shared" si="194"/>
        <v>0</v>
      </c>
      <c r="BB386" s="19">
        <f t="shared" si="194"/>
        <v>0</v>
      </c>
      <c r="BC386" s="19">
        <f t="shared" si="194"/>
        <v>0</v>
      </c>
      <c r="BD386" s="19">
        <f t="shared" si="194"/>
        <v>0</v>
      </c>
    </row>
    <row r="387" spans="2:56" ht="15" customHeight="1">
      <c r="B387" s="41"/>
      <c r="C387" s="21"/>
      <c r="D387" s="42"/>
      <c r="E387" s="18"/>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row>
    <row r="388" spans="2:56" ht="15" customHeight="1">
      <c r="B388" s="41"/>
      <c r="C388" s="21">
        <f t="shared" ref="C388" si="195">SUM(G388:BD388)</f>
        <v>1649.7177965951294</v>
      </c>
      <c r="D388" s="42" t="s">
        <v>495</v>
      </c>
      <c r="E388" s="18" t="s">
        <v>333</v>
      </c>
      <c r="G388" s="19">
        <f>IF(G31 &lt;= $C$36, G381 + G386, 0)</f>
        <v>0</v>
      </c>
      <c r="H388" s="19">
        <f t="shared" ref="H388:BD388" si="196">IF(H31 &lt;= $C$36, H381 + H386, 0)</f>
        <v>0</v>
      </c>
      <c r="I388" s="19">
        <f t="shared" si="196"/>
        <v>0</v>
      </c>
      <c r="J388" s="19">
        <f t="shared" si="196"/>
        <v>0</v>
      </c>
      <c r="K388" s="19">
        <f t="shared" si="196"/>
        <v>95.514962400000002</v>
      </c>
      <c r="L388" s="19">
        <f t="shared" si="196"/>
        <v>104.34760882560001</v>
      </c>
      <c r="M388" s="19">
        <f t="shared" si="196"/>
        <v>113.35690817971201</v>
      </c>
      <c r="N388" s="19">
        <f t="shared" si="196"/>
        <v>122.54639352090624</v>
      </c>
      <c r="O388" s="19">
        <f t="shared" si="196"/>
        <v>131.91966856892435</v>
      </c>
      <c r="P388" s="19">
        <f t="shared" si="196"/>
        <v>45.96544671790285</v>
      </c>
      <c r="Q388" s="19">
        <f t="shared" si="196"/>
        <v>46.884755652260907</v>
      </c>
      <c r="R388" s="19">
        <f t="shared" si="196"/>
        <v>47.822450765306122</v>
      </c>
      <c r="S388" s="19">
        <f t="shared" si="196"/>
        <v>48.77889978061225</v>
      </c>
      <c r="T388" s="19">
        <f t="shared" si="196"/>
        <v>49.754477776224498</v>
      </c>
      <c r="U388" s="19">
        <f t="shared" si="196"/>
        <v>50.749567331748985</v>
      </c>
      <c r="V388" s="19">
        <f t="shared" si="196"/>
        <v>51.764558678383963</v>
      </c>
      <c r="W388" s="19">
        <f t="shared" si="196"/>
        <v>52.799849851951635</v>
      </c>
      <c r="X388" s="19">
        <f t="shared" si="196"/>
        <v>53.855846848990666</v>
      </c>
      <c r="Y388" s="19">
        <f t="shared" si="196"/>
        <v>54.932963785970479</v>
      </c>
      <c r="Z388" s="19">
        <f t="shared" si="196"/>
        <v>56.031623061689892</v>
      </c>
      <c r="AA388" s="19">
        <f t="shared" si="196"/>
        <v>57.152255522923696</v>
      </c>
      <c r="AB388" s="19">
        <f t="shared" si="196"/>
        <v>58.295300633382169</v>
      </c>
      <c r="AC388" s="19">
        <f t="shared" si="196"/>
        <v>59.461206646049817</v>
      </c>
      <c r="AD388" s="19">
        <f t="shared" si="196"/>
        <v>60.650430778970801</v>
      </c>
      <c r="AE388" s="19">
        <f t="shared" si="196"/>
        <v>61.863439394550227</v>
      </c>
      <c r="AF388" s="19">
        <f t="shared" si="196"/>
        <v>63.100708182441224</v>
      </c>
      <c r="AG388" s="19">
        <f t="shared" si="196"/>
        <v>57.669049888673946</v>
      </c>
      <c r="AH388" s="19">
        <f t="shared" si="196"/>
        <v>104.49942380195294</v>
      </c>
      <c r="AI388" s="19">
        <f t="shared" si="196"/>
        <v>0</v>
      </c>
      <c r="AJ388" s="19">
        <f t="shared" si="196"/>
        <v>0</v>
      </c>
      <c r="AK388" s="19">
        <f t="shared" si="196"/>
        <v>0</v>
      </c>
      <c r="AL388" s="19">
        <f t="shared" si="196"/>
        <v>0</v>
      </c>
      <c r="AM388" s="19">
        <f t="shared" si="196"/>
        <v>0</v>
      </c>
      <c r="AN388" s="19">
        <f t="shared" si="196"/>
        <v>0</v>
      </c>
      <c r="AO388" s="19">
        <f t="shared" si="196"/>
        <v>0</v>
      </c>
      <c r="AP388" s="19">
        <f t="shared" si="196"/>
        <v>0</v>
      </c>
      <c r="AQ388" s="19">
        <f t="shared" si="196"/>
        <v>0</v>
      </c>
      <c r="AR388" s="19">
        <f t="shared" si="196"/>
        <v>0</v>
      </c>
      <c r="AS388" s="19">
        <f t="shared" si="196"/>
        <v>0</v>
      </c>
      <c r="AT388" s="19">
        <f t="shared" si="196"/>
        <v>0</v>
      </c>
      <c r="AU388" s="19">
        <f t="shared" si="196"/>
        <v>0</v>
      </c>
      <c r="AV388" s="19">
        <f t="shared" si="196"/>
        <v>0</v>
      </c>
      <c r="AW388" s="19">
        <f t="shared" si="196"/>
        <v>0</v>
      </c>
      <c r="AX388" s="19">
        <f t="shared" si="196"/>
        <v>0</v>
      </c>
      <c r="AY388" s="19">
        <f t="shared" si="196"/>
        <v>0</v>
      </c>
      <c r="AZ388" s="19">
        <f t="shared" si="196"/>
        <v>0</v>
      </c>
      <c r="BA388" s="19">
        <f t="shared" si="196"/>
        <v>0</v>
      </c>
      <c r="BB388" s="19">
        <f t="shared" si="196"/>
        <v>0</v>
      </c>
      <c r="BC388" s="19">
        <f t="shared" si="196"/>
        <v>0</v>
      </c>
      <c r="BD388" s="19">
        <f t="shared" si="196"/>
        <v>0</v>
      </c>
    </row>
    <row r="389" spans="2:56" ht="15" customHeight="1">
      <c r="D389" s="213"/>
    </row>
    <row r="390" spans="2:56" ht="15" customHeight="1">
      <c r="C390" s="299"/>
      <c r="D390" s="166"/>
      <c r="E390" s="238"/>
      <c r="F390" s="166"/>
      <c r="G390" s="298"/>
      <c r="H390" s="298"/>
      <c r="I390" s="298"/>
      <c r="J390" s="298"/>
      <c r="K390" s="298"/>
      <c r="L390" s="298"/>
      <c r="M390" s="298"/>
      <c r="N390" s="298"/>
      <c r="O390" s="298"/>
      <c r="P390" s="298"/>
      <c r="Q390" s="298"/>
      <c r="R390" s="298"/>
      <c r="S390" s="298"/>
      <c r="T390" s="298"/>
      <c r="U390" s="298"/>
      <c r="V390" s="298"/>
      <c r="W390" s="298"/>
      <c r="X390" s="298"/>
      <c r="Y390" s="298"/>
      <c r="Z390" s="298"/>
      <c r="AA390" s="298"/>
      <c r="AB390" s="298"/>
      <c r="AC390" s="298"/>
      <c r="AD390" s="298"/>
      <c r="AE390" s="298"/>
      <c r="AF390" s="298"/>
      <c r="AG390" s="298"/>
      <c r="AH390" s="298"/>
      <c r="AI390" s="298"/>
      <c r="AJ390" s="298"/>
      <c r="AK390" s="298"/>
      <c r="AL390" s="298"/>
      <c r="AM390" s="298"/>
      <c r="AN390" s="298"/>
      <c r="AO390" s="298"/>
      <c r="AP390" s="298"/>
      <c r="AQ390" s="298"/>
      <c r="AR390" s="298"/>
      <c r="AS390" s="298"/>
      <c r="AT390" s="298"/>
      <c r="AU390" s="298"/>
      <c r="AV390" s="298"/>
      <c r="AW390" s="298"/>
      <c r="AX390" s="298"/>
      <c r="AY390" s="298"/>
      <c r="AZ390" s="298"/>
      <c r="BA390" s="298"/>
      <c r="BB390" s="298"/>
      <c r="BC390" s="298"/>
      <c r="BD390" s="298"/>
    </row>
    <row r="391" spans="2:56" ht="15" customHeight="1">
      <c r="B391" s="41"/>
      <c r="C391" s="21"/>
      <c r="D391" s="213" t="s">
        <v>159</v>
      </c>
      <c r="E391" s="18"/>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row>
    <row r="392" spans="2:56" ht="15" customHeight="1">
      <c r="B392" s="41"/>
      <c r="C392" s="21"/>
      <c r="D392" s="42"/>
      <c r="E392" s="18"/>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row>
    <row r="393" spans="2:56" ht="15" customHeight="1">
      <c r="D393" s="11" t="s">
        <v>496</v>
      </c>
      <c r="E393" s="388">
        <f>IF(AND(Inputs!E80 = 2, Inputs!E81 &lt; 3), Inputs!E79, 0%)</f>
        <v>0</v>
      </c>
    </row>
    <row r="394" spans="2:56" ht="15" customHeight="1">
      <c r="B394" s="396"/>
      <c r="D394" s="11" t="s">
        <v>447</v>
      </c>
      <c r="E394" s="307">
        <f>Inputs!E82</f>
        <v>2</v>
      </c>
    </row>
    <row r="395" spans="2:56" ht="15" customHeight="1">
      <c r="B395" s="396"/>
      <c r="D395" s="11" t="s">
        <v>464</v>
      </c>
      <c r="E395" s="389">
        <f>100% - E393</f>
        <v>1</v>
      </c>
    </row>
    <row r="396" spans="2:56" ht="15" customHeight="1">
      <c r="B396" s="396"/>
      <c r="E396" s="389"/>
    </row>
    <row r="397" spans="2:56" ht="15" customHeight="1">
      <c r="B397" s="396"/>
      <c r="D397" s="11" t="s">
        <v>497</v>
      </c>
      <c r="E397" s="413">
        <f>Inputs!E57</f>
        <v>1</v>
      </c>
    </row>
    <row r="398" spans="2:56" ht="15" customHeight="1">
      <c r="B398" s="396"/>
      <c r="E398" s="413"/>
    </row>
    <row r="399" spans="2:56" ht="15" customHeight="1">
      <c r="B399" s="396"/>
      <c r="D399" s="11" t="s">
        <v>160</v>
      </c>
      <c r="E399" s="413">
        <f>Inputs!E76</f>
        <v>0</v>
      </c>
    </row>
    <row r="400" spans="2:56" ht="15" customHeight="1">
      <c r="B400" s="396"/>
    </row>
    <row r="401" spans="1:56" ht="15" customHeight="1">
      <c r="A401" s="11"/>
      <c r="C401" s="21">
        <f>SUM(G401:BD401)</f>
        <v>17497.377173577093</v>
      </c>
      <c r="D401" s="17" t="s">
        <v>316</v>
      </c>
      <c r="E401" s="18" t="s">
        <v>333</v>
      </c>
      <c r="G401" s="19">
        <f>G51 - G254</f>
        <v>0</v>
      </c>
      <c r="H401" s="19">
        <f t="shared" ref="H401:BD401" si="197">H51 - H254</f>
        <v>0</v>
      </c>
      <c r="I401" s="19">
        <f t="shared" si="197"/>
        <v>0</v>
      </c>
      <c r="J401" s="19">
        <f t="shared" si="197"/>
        <v>0</v>
      </c>
      <c r="K401" s="19">
        <f t="shared" si="197"/>
        <v>259.29662392800003</v>
      </c>
      <c r="L401" s="19">
        <f t="shared" si="197"/>
        <v>617.1259649486401</v>
      </c>
      <c r="M401" s="19">
        <f t="shared" si="197"/>
        <v>629.46848424761288</v>
      </c>
      <c r="N401" s="19">
        <f t="shared" si="197"/>
        <v>642.05785393256497</v>
      </c>
      <c r="O401" s="19">
        <f t="shared" si="197"/>
        <v>654.89901101121632</v>
      </c>
      <c r="P401" s="19">
        <f t="shared" si="197"/>
        <v>667.99699123144069</v>
      </c>
      <c r="Q401" s="19">
        <f t="shared" si="197"/>
        <v>681.35693105606958</v>
      </c>
      <c r="R401" s="19">
        <f t="shared" si="197"/>
        <v>694.98406967719075</v>
      </c>
      <c r="S401" s="19">
        <f t="shared" si="197"/>
        <v>708.88375107073477</v>
      </c>
      <c r="T401" s="19">
        <f t="shared" si="197"/>
        <v>723.06142609214942</v>
      </c>
      <c r="U401" s="19">
        <f t="shared" si="197"/>
        <v>737.52265461399247</v>
      </c>
      <c r="V401" s="19">
        <f t="shared" si="197"/>
        <v>752.27310770627207</v>
      </c>
      <c r="W401" s="19">
        <f t="shared" si="197"/>
        <v>767.3185698603977</v>
      </c>
      <c r="X401" s="19">
        <f t="shared" si="197"/>
        <v>782.66494125760573</v>
      </c>
      <c r="Y401" s="19">
        <f t="shared" si="197"/>
        <v>798.31824008275771</v>
      </c>
      <c r="Z401" s="19">
        <f t="shared" si="197"/>
        <v>814.28460488441283</v>
      </c>
      <c r="AA401" s="19">
        <f t="shared" si="197"/>
        <v>830.57029698210113</v>
      </c>
      <c r="AB401" s="19">
        <f t="shared" si="197"/>
        <v>847.18170292174318</v>
      </c>
      <c r="AC401" s="19">
        <f t="shared" si="197"/>
        <v>864.12533698017808</v>
      </c>
      <c r="AD401" s="19">
        <f t="shared" si="197"/>
        <v>877.54444052251245</v>
      </c>
      <c r="AE401" s="19">
        <f t="shared" si="197"/>
        <v>895.09532933296271</v>
      </c>
      <c r="AF401" s="19">
        <f t="shared" si="197"/>
        <v>912.99723591962197</v>
      </c>
      <c r="AG401" s="19">
        <f t="shared" si="197"/>
        <v>931.25718063801457</v>
      </c>
      <c r="AH401" s="19">
        <f t="shared" si="197"/>
        <v>407.0924246789034</v>
      </c>
      <c r="AI401" s="19">
        <f t="shared" si="197"/>
        <v>0</v>
      </c>
      <c r="AJ401" s="19">
        <f t="shared" si="197"/>
        <v>0</v>
      </c>
      <c r="AK401" s="19">
        <f t="shared" si="197"/>
        <v>0</v>
      </c>
      <c r="AL401" s="19">
        <f t="shared" si="197"/>
        <v>0</v>
      </c>
      <c r="AM401" s="19">
        <f t="shared" si="197"/>
        <v>0</v>
      </c>
      <c r="AN401" s="19">
        <f t="shared" si="197"/>
        <v>0</v>
      </c>
      <c r="AO401" s="19">
        <f t="shared" si="197"/>
        <v>0</v>
      </c>
      <c r="AP401" s="19">
        <f t="shared" si="197"/>
        <v>0</v>
      </c>
      <c r="AQ401" s="19">
        <f t="shared" si="197"/>
        <v>0</v>
      </c>
      <c r="AR401" s="19">
        <f t="shared" si="197"/>
        <v>0</v>
      </c>
      <c r="AS401" s="19">
        <f t="shared" si="197"/>
        <v>0</v>
      </c>
      <c r="AT401" s="19">
        <f t="shared" si="197"/>
        <v>0</v>
      </c>
      <c r="AU401" s="19">
        <f t="shared" si="197"/>
        <v>0</v>
      </c>
      <c r="AV401" s="19">
        <f t="shared" si="197"/>
        <v>0</v>
      </c>
      <c r="AW401" s="19">
        <f t="shared" si="197"/>
        <v>0</v>
      </c>
      <c r="AX401" s="19">
        <f t="shared" si="197"/>
        <v>0</v>
      </c>
      <c r="AY401" s="19">
        <f t="shared" si="197"/>
        <v>0</v>
      </c>
      <c r="AZ401" s="19">
        <f t="shared" si="197"/>
        <v>0</v>
      </c>
      <c r="BA401" s="19">
        <f t="shared" si="197"/>
        <v>0</v>
      </c>
      <c r="BB401" s="19">
        <f t="shared" si="197"/>
        <v>0</v>
      </c>
      <c r="BC401" s="19">
        <f t="shared" si="197"/>
        <v>0</v>
      </c>
      <c r="BD401" s="19">
        <f t="shared" si="197"/>
        <v>0</v>
      </c>
    </row>
    <row r="402" spans="1:56" ht="15" customHeight="1">
      <c r="A402" s="11"/>
      <c r="C402" s="21">
        <f>SUM(G402:BD402)</f>
        <v>1543.5732729769816</v>
      </c>
      <c r="D402" s="17" t="s">
        <v>498</v>
      </c>
      <c r="E402" s="18" t="s">
        <v>333</v>
      </c>
      <c r="G402" s="19">
        <f>(G236 + G240 + G244 + IF(Inputs!$E$56 = 1, G210, 0) + G311 + G313) * $E$395</f>
        <v>0</v>
      </c>
      <c r="H402" s="19">
        <f>(H236 + H240 + H244 + IF(Inputs!$E$56 = 1, H210, 0) + H311 + H313) * $E$395</f>
        <v>0</v>
      </c>
      <c r="I402" s="19">
        <f>(I236 + I240 + I244 + IF(Inputs!$E$56 = 1, I210, 0) + I311 + I313) * $E$395</f>
        <v>2.9261250000000003</v>
      </c>
      <c r="J402" s="19">
        <f>(J236 + J240 + J244 + IF(Inputs!$E$56 = 1, J210, 0) + J311 + J313) * $E$395</f>
        <v>11.93859</v>
      </c>
      <c r="K402" s="19">
        <f>(K236 + K240 + K244 + IF(Inputs!$E$56 = 1, K210, 0) + K311 + K313) * $E$395</f>
        <v>24.979828172400001</v>
      </c>
      <c r="L402" s="19">
        <f>(L236 + L240 + L244 + IF(Inputs!$E$56 = 1, L210, 0) + L311 + L313) * $E$395</f>
        <v>53.862581984111998</v>
      </c>
      <c r="M402" s="19">
        <f>(M236 + M240 + M244 + IF(Inputs!$E$56 = 1, M210, 0) + M311 + M313) * $E$395</f>
        <v>54.939833623794243</v>
      </c>
      <c r="N402" s="19">
        <f>(N236 + N240 + N244 + IF(Inputs!$E$56 = 1, N210, 0) + N311 + N313) * $E$395</f>
        <v>56.038630296270114</v>
      </c>
      <c r="O402" s="19">
        <f>(O236 + O240 + O244 + IF(Inputs!$E$56 = 1, O210, 0) + O311 + O313) * $E$395</f>
        <v>57.159402902195509</v>
      </c>
      <c r="P402" s="19">
        <f>(P236 + P240 + P244 + IF(Inputs!$E$56 = 1, P210, 0) + P311 + P313) * $E$395</f>
        <v>58.302590960239428</v>
      </c>
      <c r="Q402" s="19">
        <f>(Q236 + Q240 + Q244 + IF(Inputs!$E$56 = 1, Q210, 0) + Q311 + Q313) * $E$395</f>
        <v>59.468642779444217</v>
      </c>
      <c r="R402" s="19">
        <f>(R236 + R240 + R244 + IF(Inputs!$E$56 = 1, R210, 0) + R311 + R313) * $E$395</f>
        <v>60.658015635033095</v>
      </c>
      <c r="S402" s="19">
        <f>(S236 + S240 + S244 + IF(Inputs!$E$56 = 1, S210, 0) + S311 + S313) * $E$395</f>
        <v>61.871175947733775</v>
      </c>
      <c r="T402" s="19">
        <f>(T236 + T240 + T244 + IF(Inputs!$E$56 = 1, T210, 0) + T311 + T313) * $E$395</f>
        <v>63.108599466688439</v>
      </c>
      <c r="U402" s="19">
        <f>(U236 + U240 + U244 + IF(Inputs!$E$56 = 1, U210, 0) + U311 + U313) * $E$395</f>
        <v>64.370771456022212</v>
      </c>
      <c r="V402" s="19">
        <f>(V236 + V240 + V244 + IF(Inputs!$E$56 = 1, V210, 0) + V311 + V313) * $E$395</f>
        <v>65.658186885142641</v>
      </c>
      <c r="W402" s="19">
        <f>(W236 + W240 + W244 + IF(Inputs!$E$56 = 1, W210, 0) + W311 + W313) * $E$395</f>
        <v>66.971350622845506</v>
      </c>
      <c r="X402" s="19">
        <f>(X236 + X240 + X244 + IF(Inputs!$E$56 = 1, X210, 0) + X311 + X313) * $E$395</f>
        <v>68.310777635302415</v>
      </c>
      <c r="Y402" s="19">
        <f>(Y236 + Y240 + Y244 + IF(Inputs!$E$56 = 1, Y210, 0) + Y311 + Y313) * $E$395</f>
        <v>69.676993188008467</v>
      </c>
      <c r="Z402" s="19">
        <f>(Z236 + Z240 + Z244 + IF(Inputs!$E$56 = 1, Z210, 0) + Z311 + Z313) * $E$395</f>
        <v>71.070533051768621</v>
      </c>
      <c r="AA402" s="19">
        <f>(AA236 + AA240 + AA244 + IF(Inputs!$E$56 = 1, AA210, 0) + AA311 + AA313) * $E$395</f>
        <v>72.491943712804002</v>
      </c>
      <c r="AB402" s="19">
        <f>(AB236 + AB240 + AB244 + IF(Inputs!$E$56 = 1, AB210, 0) + AB311 + AB313) * $E$395</f>
        <v>73.941782587060075</v>
      </c>
      <c r="AC402" s="19">
        <f>(AC236 + AC240 + AC244 + IF(Inputs!$E$56 = 1, AC210, 0) + AC311 + AC313) * $E$395</f>
        <v>75.420618238801296</v>
      </c>
      <c r="AD402" s="19">
        <f>(AD236 + AD240 + AD244 + IF(Inputs!$E$56 = 1, AD210, 0) + AD311 + AD313) * $E$395</f>
        <v>76.929030603577303</v>
      </c>
      <c r="AE402" s="19">
        <f>(AE236 + AE240 + AE244 + IF(Inputs!$E$56 = 1, AE210, 0) + AE311 + AE313) * $E$395</f>
        <v>78.467611215648844</v>
      </c>
      <c r="AF402" s="19">
        <f>(AF236 + AF240 + AF244 + IF(Inputs!$E$56 = 1, AF210, 0) + AF311 + AF313) * $E$395</f>
        <v>80.036963439961823</v>
      </c>
      <c r="AG402" s="19">
        <f>(AG236 + AG240 + AG244 + IF(Inputs!$E$56 = 1, AG210, 0) + AG311 + AG313) * $E$395</f>
        <v>80.382639122995542</v>
      </c>
      <c r="AH402" s="19">
        <f>(AH236 + AH240 + AH244 + IF(Inputs!$E$56 = 1, AH210, 0) + AH311 + AH313) * $E$395</f>
        <v>34.590054449131983</v>
      </c>
      <c r="AI402" s="19">
        <f>(AI236 + AI240 + AI244 + IF(Inputs!$E$56 = 1, AI210, 0) + AI311 + AI313) * $E$395</f>
        <v>0</v>
      </c>
      <c r="AJ402" s="19">
        <f>(AJ236 + AJ240 + AJ244 + IF(Inputs!$E$56 = 1, AJ210, 0) + AJ311 + AJ313) * $E$395</f>
        <v>0</v>
      </c>
      <c r="AK402" s="19">
        <f>(AK236 + AK240 + AK244 + IF(Inputs!$E$56 = 1, AK210, 0) + AK311 + AK313) * $E$395</f>
        <v>0</v>
      </c>
      <c r="AL402" s="19">
        <f>(AL236 + AL240 + AL244 + IF(Inputs!$E$56 = 1, AL210, 0) + AL311 + AL313) * $E$395</f>
        <v>0</v>
      </c>
      <c r="AM402" s="19">
        <f>(AM236 + AM240 + AM244 + IF(Inputs!$E$56 = 1, AM210, 0) + AM311 + AM313) * $E$395</f>
        <v>0</v>
      </c>
      <c r="AN402" s="19">
        <f>(AN236 + AN240 + AN244 + IF(Inputs!$E$56 = 1, AN210, 0) + AN311 + AN313) * $E$395</f>
        <v>0</v>
      </c>
      <c r="AO402" s="19">
        <f>(AO236 + AO240 + AO244 + IF(Inputs!$E$56 = 1, AO210, 0) + AO311 + AO313) * $E$395</f>
        <v>0</v>
      </c>
      <c r="AP402" s="19">
        <f>(AP236 + AP240 + AP244 + IF(Inputs!$E$56 = 1, AP210, 0) + AP311 + AP313) * $E$395</f>
        <v>0</v>
      </c>
      <c r="AQ402" s="19">
        <f>(AQ236 + AQ240 + AQ244 + IF(Inputs!$E$56 = 1, AQ210, 0) + AQ311 + AQ313) * $E$395</f>
        <v>0</v>
      </c>
      <c r="AR402" s="19">
        <f>(AR236 + AR240 + AR244 + IF(Inputs!$E$56 = 1, AR210, 0) + AR311 + AR313) * $E$395</f>
        <v>0</v>
      </c>
      <c r="AS402" s="19">
        <f>(AS236 + AS240 + AS244 + IF(Inputs!$E$56 = 1, AS210, 0) + AS311 + AS313) * $E$395</f>
        <v>0</v>
      </c>
      <c r="AT402" s="19">
        <f>(AT236 + AT240 + AT244 + IF(Inputs!$E$56 = 1, AT210, 0) + AT311 + AT313) * $E$395</f>
        <v>0</v>
      </c>
      <c r="AU402" s="19">
        <f>(AU236 + AU240 + AU244 + IF(Inputs!$E$56 = 1, AU210, 0) + AU311 + AU313) * $E$395</f>
        <v>0</v>
      </c>
      <c r="AV402" s="19">
        <f>(AV236 + AV240 + AV244 + IF(Inputs!$E$56 = 1, AV210, 0) + AV311 + AV313) * $E$395</f>
        <v>0</v>
      </c>
      <c r="AW402" s="19">
        <f>(AW236 + AW240 + AW244 + IF(Inputs!$E$56 = 1, AW210, 0) + AW311 + AW313) * $E$395</f>
        <v>0</v>
      </c>
      <c r="AX402" s="19">
        <f>(AX236 + AX240 + AX244 + IF(Inputs!$E$56 = 1, AX210, 0) + AX311 + AX313) * $E$395</f>
        <v>0</v>
      </c>
      <c r="AY402" s="19">
        <f>(AY236 + AY240 + AY244 + IF(Inputs!$E$56 = 1, AY210, 0) + AY311 + AY313) * $E$395</f>
        <v>0</v>
      </c>
      <c r="AZ402" s="19">
        <f>(AZ236 + AZ240 + AZ244 + IF(Inputs!$E$56 = 1, AZ210, 0) + AZ311 + AZ313) * $E$395</f>
        <v>0</v>
      </c>
      <c r="BA402" s="19">
        <f>(BA236 + BA240 + BA244 + IF(Inputs!$E$56 = 1, BA210, 0) + BA311 + BA313) * $E$395</f>
        <v>0</v>
      </c>
      <c r="BB402" s="19">
        <f>(BB236 + BB240 + BB244 + IF(Inputs!$E$56 = 1, BB210, 0) + BB311 + BB313) * $E$395</f>
        <v>0</v>
      </c>
      <c r="BC402" s="19">
        <f>(BC236 + BC240 + BC244 + IF(Inputs!$E$56 = 1, BC210, 0) + BC311 + BC313) * $E$395</f>
        <v>0</v>
      </c>
      <c r="BD402" s="19">
        <f>(BD236 + BD240 + BD244 + IF(Inputs!$E$56 = 1, BD210, 0) + BD311 + BD313) * $E$395</f>
        <v>0</v>
      </c>
    </row>
    <row r="403" spans="1:56" ht="15" customHeight="1">
      <c r="A403" s="11"/>
      <c r="C403" s="21">
        <f t="shared" ref="C403:C405" si="198">SUM(G403:BD403)</f>
        <v>40.4</v>
      </c>
      <c r="D403" s="17" t="s">
        <v>317</v>
      </c>
      <c r="E403" s="18" t="s">
        <v>333</v>
      </c>
      <c r="G403" s="19">
        <f>IF($E$394 = 1, G327 * $E$395, G327)</f>
        <v>0</v>
      </c>
      <c r="H403" s="19">
        <f t="shared" ref="H403:BD403" si="199">IF($E$394 = 1, H327 * $E$395, H327)</f>
        <v>0</v>
      </c>
      <c r="I403" s="19">
        <f t="shared" si="199"/>
        <v>0</v>
      </c>
      <c r="J403" s="19">
        <f t="shared" si="199"/>
        <v>0</v>
      </c>
      <c r="K403" s="19">
        <f t="shared" si="199"/>
        <v>40.4</v>
      </c>
      <c r="L403" s="19">
        <f t="shared" si="199"/>
        <v>0</v>
      </c>
      <c r="M403" s="19">
        <f t="shared" si="199"/>
        <v>0</v>
      </c>
      <c r="N403" s="19">
        <f t="shared" si="199"/>
        <v>0</v>
      </c>
      <c r="O403" s="19">
        <f t="shared" si="199"/>
        <v>0</v>
      </c>
      <c r="P403" s="19">
        <f t="shared" si="199"/>
        <v>0</v>
      </c>
      <c r="Q403" s="19">
        <f t="shared" si="199"/>
        <v>0</v>
      </c>
      <c r="R403" s="19">
        <f t="shared" si="199"/>
        <v>0</v>
      </c>
      <c r="S403" s="19">
        <f t="shared" si="199"/>
        <v>0</v>
      </c>
      <c r="T403" s="19">
        <f t="shared" si="199"/>
        <v>0</v>
      </c>
      <c r="U403" s="19">
        <f t="shared" si="199"/>
        <v>0</v>
      </c>
      <c r="V403" s="19">
        <f t="shared" si="199"/>
        <v>0</v>
      </c>
      <c r="W403" s="19">
        <f t="shared" si="199"/>
        <v>0</v>
      </c>
      <c r="X403" s="19">
        <f t="shared" si="199"/>
        <v>0</v>
      </c>
      <c r="Y403" s="19">
        <f t="shared" si="199"/>
        <v>0</v>
      </c>
      <c r="Z403" s="19">
        <f t="shared" si="199"/>
        <v>0</v>
      </c>
      <c r="AA403" s="19">
        <f t="shared" si="199"/>
        <v>0</v>
      </c>
      <c r="AB403" s="19">
        <f t="shared" si="199"/>
        <v>0</v>
      </c>
      <c r="AC403" s="19">
        <f t="shared" si="199"/>
        <v>0</v>
      </c>
      <c r="AD403" s="19">
        <f t="shared" si="199"/>
        <v>0</v>
      </c>
      <c r="AE403" s="19">
        <f t="shared" si="199"/>
        <v>0</v>
      </c>
      <c r="AF403" s="19">
        <f t="shared" si="199"/>
        <v>0</v>
      </c>
      <c r="AG403" s="19">
        <f t="shared" si="199"/>
        <v>0</v>
      </c>
      <c r="AH403" s="19">
        <f t="shared" si="199"/>
        <v>0</v>
      </c>
      <c r="AI403" s="19">
        <f t="shared" si="199"/>
        <v>0</v>
      </c>
      <c r="AJ403" s="19">
        <f t="shared" si="199"/>
        <v>0</v>
      </c>
      <c r="AK403" s="19">
        <f t="shared" si="199"/>
        <v>0</v>
      </c>
      <c r="AL403" s="19">
        <f t="shared" si="199"/>
        <v>0</v>
      </c>
      <c r="AM403" s="19">
        <f t="shared" si="199"/>
        <v>0</v>
      </c>
      <c r="AN403" s="19">
        <f t="shared" si="199"/>
        <v>0</v>
      </c>
      <c r="AO403" s="19">
        <f t="shared" si="199"/>
        <v>0</v>
      </c>
      <c r="AP403" s="19">
        <f t="shared" si="199"/>
        <v>0</v>
      </c>
      <c r="AQ403" s="19">
        <f t="shared" si="199"/>
        <v>0</v>
      </c>
      <c r="AR403" s="19">
        <f t="shared" si="199"/>
        <v>0</v>
      </c>
      <c r="AS403" s="19">
        <f t="shared" si="199"/>
        <v>0</v>
      </c>
      <c r="AT403" s="19">
        <f t="shared" si="199"/>
        <v>0</v>
      </c>
      <c r="AU403" s="19">
        <f t="shared" si="199"/>
        <v>0</v>
      </c>
      <c r="AV403" s="19">
        <f t="shared" si="199"/>
        <v>0</v>
      </c>
      <c r="AW403" s="19">
        <f t="shared" si="199"/>
        <v>0</v>
      </c>
      <c r="AX403" s="19">
        <f t="shared" si="199"/>
        <v>0</v>
      </c>
      <c r="AY403" s="19">
        <f t="shared" si="199"/>
        <v>0</v>
      </c>
      <c r="AZ403" s="19">
        <f t="shared" si="199"/>
        <v>0</v>
      </c>
      <c r="BA403" s="19">
        <f t="shared" si="199"/>
        <v>0</v>
      </c>
      <c r="BB403" s="19">
        <f t="shared" si="199"/>
        <v>0</v>
      </c>
      <c r="BC403" s="19">
        <f t="shared" si="199"/>
        <v>0</v>
      </c>
      <c r="BD403" s="19">
        <f t="shared" si="199"/>
        <v>0</v>
      </c>
    </row>
    <row r="404" spans="1:56" ht="15" customHeight="1">
      <c r="A404" s="11"/>
      <c r="C404" s="21">
        <f t="shared" si="198"/>
        <v>0</v>
      </c>
      <c r="D404" s="17" t="s">
        <v>499</v>
      </c>
      <c r="E404" s="18" t="s">
        <v>333</v>
      </c>
      <c r="G404" s="19">
        <f>G330 * $E$395</f>
        <v>0</v>
      </c>
      <c r="H404" s="19">
        <f t="shared" ref="H404:BD404" si="200">H330 * $E$395</f>
        <v>0</v>
      </c>
      <c r="I404" s="19">
        <f t="shared" si="200"/>
        <v>0</v>
      </c>
      <c r="J404" s="19">
        <f t="shared" si="200"/>
        <v>0</v>
      </c>
      <c r="K404" s="19">
        <f t="shared" si="200"/>
        <v>0</v>
      </c>
      <c r="L404" s="19">
        <f t="shared" si="200"/>
        <v>0</v>
      </c>
      <c r="M404" s="19">
        <f t="shared" si="200"/>
        <v>0</v>
      </c>
      <c r="N404" s="19">
        <f t="shared" si="200"/>
        <v>0</v>
      </c>
      <c r="O404" s="19">
        <f t="shared" si="200"/>
        <v>0</v>
      </c>
      <c r="P404" s="19">
        <f t="shared" si="200"/>
        <v>0</v>
      </c>
      <c r="Q404" s="19">
        <f t="shared" si="200"/>
        <v>0</v>
      </c>
      <c r="R404" s="19">
        <f t="shared" si="200"/>
        <v>0</v>
      </c>
      <c r="S404" s="19">
        <f t="shared" si="200"/>
        <v>0</v>
      </c>
      <c r="T404" s="19">
        <f t="shared" si="200"/>
        <v>0</v>
      </c>
      <c r="U404" s="19">
        <f t="shared" si="200"/>
        <v>0</v>
      </c>
      <c r="V404" s="19">
        <f t="shared" si="200"/>
        <v>0</v>
      </c>
      <c r="W404" s="19">
        <f t="shared" si="200"/>
        <v>0</v>
      </c>
      <c r="X404" s="19">
        <f t="shared" si="200"/>
        <v>0</v>
      </c>
      <c r="Y404" s="19">
        <f t="shared" si="200"/>
        <v>0</v>
      </c>
      <c r="Z404" s="19">
        <f t="shared" si="200"/>
        <v>0</v>
      </c>
      <c r="AA404" s="19">
        <f t="shared" si="200"/>
        <v>0</v>
      </c>
      <c r="AB404" s="19">
        <f t="shared" si="200"/>
        <v>0</v>
      </c>
      <c r="AC404" s="19">
        <f t="shared" si="200"/>
        <v>0</v>
      </c>
      <c r="AD404" s="19">
        <f t="shared" si="200"/>
        <v>0</v>
      </c>
      <c r="AE404" s="19">
        <f t="shared" si="200"/>
        <v>0</v>
      </c>
      <c r="AF404" s="19">
        <f t="shared" si="200"/>
        <v>0</v>
      </c>
      <c r="AG404" s="19">
        <f t="shared" si="200"/>
        <v>0</v>
      </c>
      <c r="AH404" s="19">
        <f t="shared" si="200"/>
        <v>0</v>
      </c>
      <c r="AI404" s="19">
        <f t="shared" si="200"/>
        <v>0</v>
      </c>
      <c r="AJ404" s="19">
        <f t="shared" si="200"/>
        <v>0</v>
      </c>
      <c r="AK404" s="19">
        <f t="shared" si="200"/>
        <v>0</v>
      </c>
      <c r="AL404" s="19">
        <f t="shared" si="200"/>
        <v>0</v>
      </c>
      <c r="AM404" s="19">
        <f t="shared" si="200"/>
        <v>0</v>
      </c>
      <c r="AN404" s="19">
        <f t="shared" si="200"/>
        <v>0</v>
      </c>
      <c r="AO404" s="19">
        <f t="shared" si="200"/>
        <v>0</v>
      </c>
      <c r="AP404" s="19">
        <f t="shared" si="200"/>
        <v>0</v>
      </c>
      <c r="AQ404" s="19">
        <f t="shared" si="200"/>
        <v>0</v>
      </c>
      <c r="AR404" s="19">
        <f t="shared" si="200"/>
        <v>0</v>
      </c>
      <c r="AS404" s="19">
        <f t="shared" si="200"/>
        <v>0</v>
      </c>
      <c r="AT404" s="19">
        <f t="shared" si="200"/>
        <v>0</v>
      </c>
      <c r="AU404" s="19">
        <f t="shared" si="200"/>
        <v>0</v>
      </c>
      <c r="AV404" s="19">
        <f t="shared" si="200"/>
        <v>0</v>
      </c>
      <c r="AW404" s="19">
        <f t="shared" si="200"/>
        <v>0</v>
      </c>
      <c r="AX404" s="19">
        <f t="shared" si="200"/>
        <v>0</v>
      </c>
      <c r="AY404" s="19">
        <f t="shared" si="200"/>
        <v>0</v>
      </c>
      <c r="AZ404" s="19">
        <f t="shared" si="200"/>
        <v>0</v>
      </c>
      <c r="BA404" s="19">
        <f t="shared" si="200"/>
        <v>0</v>
      </c>
      <c r="BB404" s="19">
        <f t="shared" si="200"/>
        <v>0</v>
      </c>
      <c r="BC404" s="19">
        <f t="shared" si="200"/>
        <v>0</v>
      </c>
      <c r="BD404" s="19">
        <f t="shared" si="200"/>
        <v>0</v>
      </c>
    </row>
    <row r="405" spans="1:56" ht="15" customHeight="1">
      <c r="A405" s="11"/>
      <c r="C405" s="21">
        <f t="shared" si="198"/>
        <v>1649.7177965951294</v>
      </c>
      <c r="D405" s="11" t="s">
        <v>500</v>
      </c>
      <c r="E405" s="18" t="s">
        <v>333</v>
      </c>
      <c r="G405" s="19">
        <f>G388 * $E$395</f>
        <v>0</v>
      </c>
      <c r="H405" s="19">
        <f t="shared" ref="H405:BD405" si="201">H388 * $E$395</f>
        <v>0</v>
      </c>
      <c r="I405" s="19">
        <f t="shared" si="201"/>
        <v>0</v>
      </c>
      <c r="J405" s="19">
        <f t="shared" si="201"/>
        <v>0</v>
      </c>
      <c r="K405" s="19">
        <f t="shared" si="201"/>
        <v>95.514962400000002</v>
      </c>
      <c r="L405" s="19">
        <f t="shared" si="201"/>
        <v>104.34760882560001</v>
      </c>
      <c r="M405" s="19">
        <f t="shared" si="201"/>
        <v>113.35690817971201</v>
      </c>
      <c r="N405" s="19">
        <f t="shared" si="201"/>
        <v>122.54639352090624</v>
      </c>
      <c r="O405" s="19">
        <f t="shared" si="201"/>
        <v>131.91966856892435</v>
      </c>
      <c r="P405" s="19">
        <f t="shared" si="201"/>
        <v>45.96544671790285</v>
      </c>
      <c r="Q405" s="19">
        <f t="shared" si="201"/>
        <v>46.884755652260907</v>
      </c>
      <c r="R405" s="19">
        <f t="shared" si="201"/>
        <v>47.822450765306122</v>
      </c>
      <c r="S405" s="19">
        <f t="shared" si="201"/>
        <v>48.77889978061225</v>
      </c>
      <c r="T405" s="19">
        <f t="shared" si="201"/>
        <v>49.754477776224498</v>
      </c>
      <c r="U405" s="19">
        <f t="shared" si="201"/>
        <v>50.749567331748985</v>
      </c>
      <c r="V405" s="19">
        <f t="shared" si="201"/>
        <v>51.764558678383963</v>
      </c>
      <c r="W405" s="19">
        <f t="shared" si="201"/>
        <v>52.799849851951635</v>
      </c>
      <c r="X405" s="19">
        <f t="shared" si="201"/>
        <v>53.855846848990666</v>
      </c>
      <c r="Y405" s="19">
        <f t="shared" si="201"/>
        <v>54.932963785970479</v>
      </c>
      <c r="Z405" s="19">
        <f t="shared" si="201"/>
        <v>56.031623061689892</v>
      </c>
      <c r="AA405" s="19">
        <f t="shared" si="201"/>
        <v>57.152255522923696</v>
      </c>
      <c r="AB405" s="19">
        <f t="shared" si="201"/>
        <v>58.295300633382169</v>
      </c>
      <c r="AC405" s="19">
        <f t="shared" si="201"/>
        <v>59.461206646049817</v>
      </c>
      <c r="AD405" s="19">
        <f t="shared" si="201"/>
        <v>60.650430778970801</v>
      </c>
      <c r="AE405" s="19">
        <f t="shared" si="201"/>
        <v>61.863439394550227</v>
      </c>
      <c r="AF405" s="19">
        <f t="shared" si="201"/>
        <v>63.100708182441224</v>
      </c>
      <c r="AG405" s="19">
        <f t="shared" si="201"/>
        <v>57.669049888673946</v>
      </c>
      <c r="AH405" s="19">
        <f t="shared" si="201"/>
        <v>104.49942380195294</v>
      </c>
      <c r="AI405" s="19">
        <f t="shared" si="201"/>
        <v>0</v>
      </c>
      <c r="AJ405" s="19">
        <f t="shared" si="201"/>
        <v>0</v>
      </c>
      <c r="AK405" s="19">
        <f t="shared" si="201"/>
        <v>0</v>
      </c>
      <c r="AL405" s="19">
        <f t="shared" si="201"/>
        <v>0</v>
      </c>
      <c r="AM405" s="19">
        <f t="shared" si="201"/>
        <v>0</v>
      </c>
      <c r="AN405" s="19">
        <f t="shared" si="201"/>
        <v>0</v>
      </c>
      <c r="AO405" s="19">
        <f t="shared" si="201"/>
        <v>0</v>
      </c>
      <c r="AP405" s="19">
        <f t="shared" si="201"/>
        <v>0</v>
      </c>
      <c r="AQ405" s="19">
        <f t="shared" si="201"/>
        <v>0</v>
      </c>
      <c r="AR405" s="19">
        <f t="shared" si="201"/>
        <v>0</v>
      </c>
      <c r="AS405" s="19">
        <f t="shared" si="201"/>
        <v>0</v>
      </c>
      <c r="AT405" s="19">
        <f t="shared" si="201"/>
        <v>0</v>
      </c>
      <c r="AU405" s="19">
        <f t="shared" si="201"/>
        <v>0</v>
      </c>
      <c r="AV405" s="19">
        <f t="shared" si="201"/>
        <v>0</v>
      </c>
      <c r="AW405" s="19">
        <f t="shared" si="201"/>
        <v>0</v>
      </c>
      <c r="AX405" s="19">
        <f t="shared" si="201"/>
        <v>0</v>
      </c>
      <c r="AY405" s="19">
        <f t="shared" si="201"/>
        <v>0</v>
      </c>
      <c r="AZ405" s="19">
        <f t="shared" si="201"/>
        <v>0</v>
      </c>
      <c r="BA405" s="19">
        <f t="shared" si="201"/>
        <v>0</v>
      </c>
      <c r="BB405" s="19">
        <f t="shared" si="201"/>
        <v>0</v>
      </c>
      <c r="BC405" s="19">
        <f t="shared" si="201"/>
        <v>0</v>
      </c>
      <c r="BD405" s="19">
        <f t="shared" si="201"/>
        <v>0</v>
      </c>
    </row>
    <row r="406" spans="1:56" ht="15" customHeight="1">
      <c r="A406" s="11"/>
      <c r="C406" s="21">
        <f>SUM(G406:BD406)</f>
        <v>7677.2479565008516</v>
      </c>
      <c r="D406" s="17" t="s">
        <v>297</v>
      </c>
      <c r="E406" s="18" t="s">
        <v>333</v>
      </c>
      <c r="G406" s="19">
        <f>G56 * $E$395</f>
        <v>0</v>
      </c>
      <c r="H406" s="19">
        <f t="shared" ref="H406:BD406" si="202">H56 * $E$395</f>
        <v>0</v>
      </c>
      <c r="I406" s="19">
        <f t="shared" si="202"/>
        <v>0</v>
      </c>
      <c r="J406" s="19">
        <f t="shared" si="202"/>
        <v>0</v>
      </c>
      <c r="K406" s="19">
        <f t="shared" si="202"/>
        <v>113.6553768</v>
      </c>
      <c r="L406" s="19">
        <f t="shared" si="202"/>
        <v>270.49979678400001</v>
      </c>
      <c r="M406" s="19">
        <f t="shared" si="202"/>
        <v>275.90979271968001</v>
      </c>
      <c r="N406" s="19">
        <f t="shared" si="202"/>
        <v>281.42798857407354</v>
      </c>
      <c r="O406" s="19">
        <f t="shared" si="202"/>
        <v>287.05654834555503</v>
      </c>
      <c r="P406" s="19">
        <f t="shared" si="202"/>
        <v>292.79767931246613</v>
      </c>
      <c r="Q406" s="19">
        <f t="shared" si="202"/>
        <v>298.6536328987155</v>
      </c>
      <c r="R406" s="19">
        <f t="shared" si="202"/>
        <v>304.62670555668973</v>
      </c>
      <c r="S406" s="19">
        <f t="shared" si="202"/>
        <v>310.71923966782362</v>
      </c>
      <c r="T406" s="19">
        <f t="shared" si="202"/>
        <v>316.93362446118005</v>
      </c>
      <c r="U406" s="19">
        <f t="shared" si="202"/>
        <v>323.2722969504037</v>
      </c>
      <c r="V406" s="19">
        <f t="shared" si="202"/>
        <v>329.73774288941166</v>
      </c>
      <c r="W406" s="19">
        <f t="shared" si="202"/>
        <v>336.33249774719997</v>
      </c>
      <c r="X406" s="19">
        <f t="shared" si="202"/>
        <v>343.059147702144</v>
      </c>
      <c r="Y406" s="19">
        <f t="shared" si="202"/>
        <v>349.92033065618682</v>
      </c>
      <c r="Z406" s="19">
        <f t="shared" si="202"/>
        <v>356.91873726931055</v>
      </c>
      <c r="AA406" s="19">
        <f t="shared" si="202"/>
        <v>364.05711201469677</v>
      </c>
      <c r="AB406" s="19">
        <f t="shared" si="202"/>
        <v>371.33825425499072</v>
      </c>
      <c r="AC406" s="19">
        <f t="shared" si="202"/>
        <v>378.76501934009053</v>
      </c>
      <c r="AD406" s="19">
        <f t="shared" si="202"/>
        <v>386.34031972689229</v>
      </c>
      <c r="AE406" s="19">
        <f t="shared" si="202"/>
        <v>394.06712612143014</v>
      </c>
      <c r="AF406" s="19">
        <f t="shared" si="202"/>
        <v>401.94846864385875</v>
      </c>
      <c r="AG406" s="19">
        <f t="shared" si="202"/>
        <v>409.98743801673595</v>
      </c>
      <c r="AH406" s="19">
        <f t="shared" si="202"/>
        <v>179.22308004731596</v>
      </c>
      <c r="AI406" s="19">
        <f t="shared" si="202"/>
        <v>0</v>
      </c>
      <c r="AJ406" s="19">
        <f t="shared" si="202"/>
        <v>0</v>
      </c>
      <c r="AK406" s="19">
        <f t="shared" si="202"/>
        <v>0</v>
      </c>
      <c r="AL406" s="19">
        <f t="shared" si="202"/>
        <v>0</v>
      </c>
      <c r="AM406" s="19">
        <f t="shared" si="202"/>
        <v>0</v>
      </c>
      <c r="AN406" s="19">
        <f t="shared" si="202"/>
        <v>0</v>
      </c>
      <c r="AO406" s="19">
        <f t="shared" si="202"/>
        <v>0</v>
      </c>
      <c r="AP406" s="19">
        <f t="shared" si="202"/>
        <v>0</v>
      </c>
      <c r="AQ406" s="19">
        <f t="shared" si="202"/>
        <v>0</v>
      </c>
      <c r="AR406" s="19">
        <f t="shared" si="202"/>
        <v>0</v>
      </c>
      <c r="AS406" s="19">
        <f t="shared" si="202"/>
        <v>0</v>
      </c>
      <c r="AT406" s="19">
        <f t="shared" si="202"/>
        <v>0</v>
      </c>
      <c r="AU406" s="19">
        <f t="shared" si="202"/>
        <v>0</v>
      </c>
      <c r="AV406" s="19">
        <f t="shared" si="202"/>
        <v>0</v>
      </c>
      <c r="AW406" s="19">
        <f t="shared" si="202"/>
        <v>0</v>
      </c>
      <c r="AX406" s="19">
        <f t="shared" si="202"/>
        <v>0</v>
      </c>
      <c r="AY406" s="19">
        <f t="shared" si="202"/>
        <v>0</v>
      </c>
      <c r="AZ406" s="19">
        <f t="shared" si="202"/>
        <v>0</v>
      </c>
      <c r="BA406" s="19">
        <f t="shared" si="202"/>
        <v>0</v>
      </c>
      <c r="BB406" s="19">
        <f t="shared" si="202"/>
        <v>0</v>
      </c>
      <c r="BC406" s="19">
        <f t="shared" si="202"/>
        <v>0</v>
      </c>
      <c r="BD406" s="19">
        <f t="shared" si="202"/>
        <v>0</v>
      </c>
    </row>
    <row r="407" spans="1:56" ht="15" customHeight="1">
      <c r="A407" s="11"/>
      <c r="C407" s="21">
        <f>SUM(G407:BD407)</f>
        <v>26.115363092608906</v>
      </c>
      <c r="D407" s="17" t="s">
        <v>501</v>
      </c>
      <c r="E407" s="18" t="s">
        <v>333</v>
      </c>
      <c r="G407" s="19">
        <f>(G66+G78+G79+G80) * $E$395</f>
        <v>0</v>
      </c>
      <c r="H407" s="19">
        <f t="shared" ref="H407:BD407" si="203">(H66+H78+H79+H80) * $E$395</f>
        <v>0</v>
      </c>
      <c r="I407" s="19">
        <f t="shared" si="203"/>
        <v>0</v>
      </c>
      <c r="J407" s="19">
        <f t="shared" si="203"/>
        <v>0</v>
      </c>
      <c r="K407" s="19">
        <f t="shared" si="203"/>
        <v>0</v>
      </c>
      <c r="L407" s="19">
        <f t="shared" si="203"/>
        <v>0</v>
      </c>
      <c r="M407" s="19">
        <f t="shared" si="203"/>
        <v>0</v>
      </c>
      <c r="N407" s="19">
        <f t="shared" si="203"/>
        <v>0</v>
      </c>
      <c r="O407" s="19">
        <f t="shared" si="203"/>
        <v>0</v>
      </c>
      <c r="P407" s="19">
        <f t="shared" si="203"/>
        <v>0</v>
      </c>
      <c r="Q407" s="19">
        <f t="shared" si="203"/>
        <v>0</v>
      </c>
      <c r="R407" s="19">
        <f t="shared" si="203"/>
        <v>0</v>
      </c>
      <c r="S407" s="19">
        <f t="shared" si="203"/>
        <v>0</v>
      </c>
      <c r="T407" s="19">
        <f t="shared" si="203"/>
        <v>0</v>
      </c>
      <c r="U407" s="19">
        <f t="shared" si="203"/>
        <v>0</v>
      </c>
      <c r="V407" s="19">
        <f t="shared" si="203"/>
        <v>0</v>
      </c>
      <c r="W407" s="19">
        <f t="shared" si="203"/>
        <v>0</v>
      </c>
      <c r="X407" s="19">
        <f t="shared" si="203"/>
        <v>0</v>
      </c>
      <c r="Y407" s="19">
        <f t="shared" si="203"/>
        <v>2.2722099393258888</v>
      </c>
      <c r="Z407" s="19">
        <f t="shared" si="203"/>
        <v>2.3230458227141964</v>
      </c>
      <c r="AA407" s="19">
        <f t="shared" si="203"/>
        <v>2.3818785816047425</v>
      </c>
      <c r="AB407" s="19">
        <f t="shared" si="203"/>
        <v>2.4512227934170654</v>
      </c>
      <c r="AC407" s="19">
        <f t="shared" si="203"/>
        <v>2.5349833018956347</v>
      </c>
      <c r="AD407" s="19">
        <f t="shared" si="203"/>
        <v>2.6397109570127104</v>
      </c>
      <c r="AE407" s="19">
        <f t="shared" si="203"/>
        <v>2.7776896426294577</v>
      </c>
      <c r="AF407" s="19">
        <f t="shared" si="203"/>
        <v>2.9763789499175735</v>
      </c>
      <c r="AG407" s="19">
        <f t="shared" si="203"/>
        <v>3.3209062087551691</v>
      </c>
      <c r="AH407" s="19">
        <f t="shared" si="203"/>
        <v>1.9252709523441318</v>
      </c>
      <c r="AI407" s="19">
        <f t="shared" si="203"/>
        <v>0.51206594299233643</v>
      </c>
      <c r="AJ407" s="19">
        <f t="shared" si="203"/>
        <v>0</v>
      </c>
      <c r="AK407" s="19">
        <f t="shared" si="203"/>
        <v>0</v>
      </c>
      <c r="AL407" s="19">
        <f t="shared" si="203"/>
        <v>0</v>
      </c>
      <c r="AM407" s="19">
        <f t="shared" si="203"/>
        <v>0</v>
      </c>
      <c r="AN407" s="19">
        <f t="shared" si="203"/>
        <v>0</v>
      </c>
      <c r="AO407" s="19">
        <f t="shared" si="203"/>
        <v>0</v>
      </c>
      <c r="AP407" s="19">
        <f t="shared" si="203"/>
        <v>0</v>
      </c>
      <c r="AQ407" s="19">
        <f t="shared" si="203"/>
        <v>0</v>
      </c>
      <c r="AR407" s="19">
        <f t="shared" si="203"/>
        <v>0</v>
      </c>
      <c r="AS407" s="19">
        <f t="shared" si="203"/>
        <v>0</v>
      </c>
      <c r="AT407" s="19">
        <f t="shared" si="203"/>
        <v>0</v>
      </c>
      <c r="AU407" s="19">
        <f t="shared" si="203"/>
        <v>0</v>
      </c>
      <c r="AV407" s="19">
        <f t="shared" si="203"/>
        <v>0</v>
      </c>
      <c r="AW407" s="19">
        <f t="shared" si="203"/>
        <v>0</v>
      </c>
      <c r="AX407" s="19">
        <f t="shared" si="203"/>
        <v>0</v>
      </c>
      <c r="AY407" s="19">
        <f t="shared" si="203"/>
        <v>0</v>
      </c>
      <c r="AZ407" s="19">
        <f t="shared" si="203"/>
        <v>0</v>
      </c>
      <c r="BA407" s="19">
        <f t="shared" si="203"/>
        <v>0</v>
      </c>
      <c r="BB407" s="19">
        <f t="shared" si="203"/>
        <v>0</v>
      </c>
      <c r="BC407" s="19">
        <f t="shared" si="203"/>
        <v>0</v>
      </c>
      <c r="BD407" s="19">
        <f t="shared" si="203"/>
        <v>0</v>
      </c>
    </row>
    <row r="408" spans="1:56" ht="15" customHeight="1">
      <c r="A408" s="11"/>
      <c r="C408" s="21">
        <f t="shared" ref="C408" si="204">SUM(G408:BD408)</f>
        <v>50.248823040000005</v>
      </c>
      <c r="D408" s="11" t="s">
        <v>502</v>
      </c>
      <c r="E408" s="18" t="s">
        <v>333</v>
      </c>
      <c r="G408" s="19">
        <f>IF($E$397 = 1, G96, G96 * (1 - Inputs!$E$196)) * $E$395</f>
        <v>0</v>
      </c>
      <c r="H408" s="19">
        <f>IF($E$397 = 1, H96, H96 * (1 - Inputs!$E$196)) * $E$395</f>
        <v>0</v>
      </c>
      <c r="I408" s="19">
        <f>IF($E$397 = 1, I96, I96 * (1 - Inputs!$E$196)) * $E$395</f>
        <v>0</v>
      </c>
      <c r="J408" s="19">
        <f>IF($E$397 = 1, J96, J96 * (1 - Inputs!$E$196)) * $E$395</f>
        <v>0</v>
      </c>
      <c r="K408" s="19">
        <f>IF($E$397 = 1, K96, K96 * (1 - Inputs!$E$196)) * $E$395</f>
        <v>16.74960768</v>
      </c>
      <c r="L408" s="19">
        <f>IF($E$397 = 1, L96, L96 * (1 - Inputs!$E$196)) * $E$395</f>
        <v>13.399686144</v>
      </c>
      <c r="M408" s="19">
        <f>IF($E$397 = 1, M96, M96 * (1 - Inputs!$E$196)) * $E$395</f>
        <v>10.049764608000002</v>
      </c>
      <c r="N408" s="19">
        <f>IF($E$397 = 1, N96, N96 * (1 - Inputs!$E$196)) * $E$395</f>
        <v>6.6998430720000011</v>
      </c>
      <c r="O408" s="19">
        <f>IF($E$397 = 1, O96, O96 * (1 - Inputs!$E$196)) * $E$395</f>
        <v>3.3499215360000005</v>
      </c>
      <c r="P408" s="19">
        <f>IF($E$397 = 1, P96, P96 * (1 - Inputs!$E$196)) * $E$395</f>
        <v>0</v>
      </c>
      <c r="Q408" s="19">
        <f>IF($E$397 = 1, Q96, Q96 * (1 - Inputs!$E$196)) * $E$395</f>
        <v>0</v>
      </c>
      <c r="R408" s="19">
        <f>IF($E$397 = 1, R96, R96 * (1 - Inputs!$E$196)) * $E$395</f>
        <v>0</v>
      </c>
      <c r="S408" s="19">
        <f>IF($E$397 = 1, S96, S96 * (1 - Inputs!$E$196)) * $E$395</f>
        <v>0</v>
      </c>
      <c r="T408" s="19">
        <f>IF($E$397 = 1, T96, T96 * (1 - Inputs!$E$196)) * $E$395</f>
        <v>0</v>
      </c>
      <c r="U408" s="19">
        <f>IF($E$397 = 1, U96, U96 * (1 - Inputs!$E$196)) * $E$395</f>
        <v>0</v>
      </c>
      <c r="V408" s="19">
        <f>IF($E$397 = 1, V96, V96 * (1 - Inputs!$E$196)) * $E$395</f>
        <v>0</v>
      </c>
      <c r="W408" s="19">
        <f>IF($E$397 = 1, W96, W96 * (1 - Inputs!$E$196)) * $E$395</f>
        <v>0</v>
      </c>
      <c r="X408" s="19">
        <f>IF($E$397 = 1, X96, X96 * (1 - Inputs!$E$196)) * $E$395</f>
        <v>0</v>
      </c>
      <c r="Y408" s="19">
        <f>IF($E$397 = 1, Y96, Y96 * (1 - Inputs!$E$196)) * $E$395</f>
        <v>0</v>
      </c>
      <c r="Z408" s="19">
        <f>IF($E$397 = 1, Z96, Z96 * (1 - Inputs!$E$196)) * $E$395</f>
        <v>0</v>
      </c>
      <c r="AA408" s="19">
        <f>IF($E$397 = 1, AA96, AA96 * (1 - Inputs!$E$196)) * $E$395</f>
        <v>0</v>
      </c>
      <c r="AB408" s="19">
        <f>IF($E$397 = 1, AB96, AB96 * (1 - Inputs!$E$196)) * $E$395</f>
        <v>0</v>
      </c>
      <c r="AC408" s="19">
        <f>IF($E$397 = 1, AC96, AC96 * (1 - Inputs!$E$196)) * $E$395</f>
        <v>0</v>
      </c>
      <c r="AD408" s="19">
        <f>IF($E$397 = 1, AD96, AD96 * (1 - Inputs!$E$196)) * $E$395</f>
        <v>0</v>
      </c>
      <c r="AE408" s="19">
        <f>IF($E$397 = 1, AE96, AE96 * (1 - Inputs!$E$196)) * $E$395</f>
        <v>0</v>
      </c>
      <c r="AF408" s="19">
        <f>IF($E$397 = 1, AF96, AF96 * (1 - Inputs!$E$196)) * $E$395</f>
        <v>0</v>
      </c>
      <c r="AG408" s="19">
        <f>IF($E$397 = 1, AG96, AG96 * (1 - Inputs!$E$196)) * $E$395</f>
        <v>0</v>
      </c>
      <c r="AH408" s="19">
        <f>IF($E$397 = 1, AH96, AH96 * (1 - Inputs!$E$196)) * $E$395</f>
        <v>0</v>
      </c>
      <c r="AI408" s="19">
        <f>IF($E$397 = 1, AI96, AI96 * (1 - Inputs!$E$196)) * $E$395</f>
        <v>0</v>
      </c>
      <c r="AJ408" s="19">
        <f>IF($E$397 = 1, AJ96, AJ96 * (1 - Inputs!$E$196)) * $E$395</f>
        <v>0</v>
      </c>
      <c r="AK408" s="19">
        <f>IF($E$397 = 1, AK96, AK96 * (1 - Inputs!$E$196)) * $E$395</f>
        <v>0</v>
      </c>
      <c r="AL408" s="19">
        <f>IF($E$397 = 1, AL96, AL96 * (1 - Inputs!$E$196)) * $E$395</f>
        <v>0</v>
      </c>
      <c r="AM408" s="19">
        <f>IF($E$397 = 1, AM96, AM96 * (1 - Inputs!$E$196)) * $E$395</f>
        <v>0</v>
      </c>
      <c r="AN408" s="19">
        <f>IF($E$397 = 1, AN96, AN96 * (1 - Inputs!$E$196)) * $E$395</f>
        <v>0</v>
      </c>
      <c r="AO408" s="19">
        <f>IF($E$397 = 1, AO96, AO96 * (1 - Inputs!$E$196)) * $E$395</f>
        <v>0</v>
      </c>
      <c r="AP408" s="19">
        <f>IF($E$397 = 1, AP96, AP96 * (1 - Inputs!$E$196)) * $E$395</f>
        <v>0</v>
      </c>
      <c r="AQ408" s="19">
        <f>IF($E$397 = 1, AQ96, AQ96 * (1 - Inputs!$E$196)) * $E$395</f>
        <v>0</v>
      </c>
      <c r="AR408" s="19">
        <f>IF($E$397 = 1, AR96, AR96 * (1 - Inputs!$E$196)) * $E$395</f>
        <v>0</v>
      </c>
      <c r="AS408" s="19">
        <f>IF($E$397 = 1, AS96, AS96 * (1 - Inputs!$E$196)) * $E$395</f>
        <v>0</v>
      </c>
      <c r="AT408" s="19">
        <f>IF($E$397 = 1, AT96, AT96 * (1 - Inputs!$E$196)) * $E$395</f>
        <v>0</v>
      </c>
      <c r="AU408" s="19">
        <f>IF($E$397 = 1, AU96, AU96 * (1 - Inputs!$E$196)) * $E$395</f>
        <v>0</v>
      </c>
      <c r="AV408" s="19">
        <f>IF($E$397 = 1, AV96, AV96 * (1 - Inputs!$E$196)) * $E$395</f>
        <v>0</v>
      </c>
      <c r="AW408" s="19">
        <f>IF($E$397 = 1, AW96, AW96 * (1 - Inputs!$E$196)) * $E$395</f>
        <v>0</v>
      </c>
      <c r="AX408" s="19">
        <f>IF($E$397 = 1, AX96, AX96 * (1 - Inputs!$E$196)) * $E$395</f>
        <v>0</v>
      </c>
      <c r="AY408" s="19">
        <f>IF($E$397 = 1, AY96, AY96 * (1 - Inputs!$E$196)) * $E$395</f>
        <v>0</v>
      </c>
      <c r="AZ408" s="19">
        <f>IF($E$397 = 1, AZ96, AZ96 * (1 - Inputs!$E$196)) * $E$395</f>
        <v>0</v>
      </c>
      <c r="BA408" s="19">
        <f>IF($E$397 = 1, BA96, BA96 * (1 - Inputs!$E$196)) * $E$395</f>
        <v>0</v>
      </c>
      <c r="BB408" s="19">
        <f>IF($E$397 = 1, BB96, BB96 * (1 - Inputs!$E$196)) * $E$395</f>
        <v>0</v>
      </c>
      <c r="BC408" s="19">
        <f>IF($E$397 = 1, BC96, BC96 * (1 - Inputs!$E$196)) * $E$395</f>
        <v>0</v>
      </c>
      <c r="BD408" s="19">
        <f>IF($E$397 = 1, BD96, BD96 * (1 - Inputs!$E$196)) * $E$395</f>
        <v>0</v>
      </c>
    </row>
    <row r="409" spans="1:56" ht="15" customHeight="1">
      <c r="A409" s="11"/>
      <c r="C409" s="21">
        <f>SUM(G409:BD409)</f>
        <v>6510.073961371525</v>
      </c>
      <c r="D409" s="11" t="s">
        <v>503</v>
      </c>
      <c r="E409" s="18" t="s">
        <v>333</v>
      </c>
      <c r="G409" s="19">
        <f>G401-SUM(G402:G408)</f>
        <v>0</v>
      </c>
      <c r="H409" s="19">
        <f t="shared" ref="H409:BD409" si="205">H401-SUM(H402:H408)</f>
        <v>0</v>
      </c>
      <c r="I409" s="19">
        <f t="shared" si="205"/>
        <v>-2.9261250000000003</v>
      </c>
      <c r="J409" s="19">
        <f t="shared" si="205"/>
        <v>-11.93859</v>
      </c>
      <c r="K409" s="19">
        <f t="shared" si="205"/>
        <v>-32.003151124399949</v>
      </c>
      <c r="L409" s="19">
        <f t="shared" si="205"/>
        <v>175.0162912109281</v>
      </c>
      <c r="M409" s="19">
        <f t="shared" si="205"/>
        <v>175.21218511642661</v>
      </c>
      <c r="N409" s="19">
        <f t="shared" si="205"/>
        <v>175.34499846931504</v>
      </c>
      <c r="O409" s="19">
        <f t="shared" si="205"/>
        <v>175.41346965854143</v>
      </c>
      <c r="P409" s="19">
        <f t="shared" si="205"/>
        <v>270.93127424083229</v>
      </c>
      <c r="Q409" s="19">
        <f t="shared" si="205"/>
        <v>276.34989972564892</v>
      </c>
      <c r="R409" s="19">
        <f t="shared" si="205"/>
        <v>281.87689772016176</v>
      </c>
      <c r="S409" s="19">
        <f t="shared" si="205"/>
        <v>287.51443567456511</v>
      </c>
      <c r="T409" s="19">
        <f t="shared" si="205"/>
        <v>293.26472438805644</v>
      </c>
      <c r="U409" s="19">
        <f t="shared" si="205"/>
        <v>299.13001887581754</v>
      </c>
      <c r="V409" s="19">
        <f t="shared" si="205"/>
        <v>305.11261925333383</v>
      </c>
      <c r="W409" s="19">
        <f t="shared" si="205"/>
        <v>311.21487163840061</v>
      </c>
      <c r="X409" s="19">
        <f t="shared" si="205"/>
        <v>317.43916907116864</v>
      </c>
      <c r="Y409" s="19">
        <f t="shared" si="205"/>
        <v>321.5157425132661</v>
      </c>
      <c r="Z409" s="19">
        <f t="shared" si="205"/>
        <v>327.94066567892958</v>
      </c>
      <c r="AA409" s="19">
        <f t="shared" si="205"/>
        <v>334.48710715007195</v>
      </c>
      <c r="AB409" s="19">
        <f t="shared" si="205"/>
        <v>341.15514265289318</v>
      </c>
      <c r="AC409" s="19">
        <f t="shared" si="205"/>
        <v>347.94350945334077</v>
      </c>
      <c r="AD409" s="19">
        <f t="shared" si="205"/>
        <v>350.98494845605921</v>
      </c>
      <c r="AE409" s="19">
        <f t="shared" si="205"/>
        <v>357.91946295870412</v>
      </c>
      <c r="AF409" s="19">
        <f t="shared" si="205"/>
        <v>364.93471670344263</v>
      </c>
      <c r="AG409" s="19">
        <f t="shared" si="205"/>
        <v>379.8971474008539</v>
      </c>
      <c r="AH409" s="19">
        <f t="shared" si="205"/>
        <v>86.854595428158405</v>
      </c>
      <c r="AI409" s="19">
        <f t="shared" si="205"/>
        <v>-0.51206594299233643</v>
      </c>
      <c r="AJ409" s="19">
        <f t="shared" si="205"/>
        <v>0</v>
      </c>
      <c r="AK409" s="19">
        <f t="shared" si="205"/>
        <v>0</v>
      </c>
      <c r="AL409" s="19">
        <f t="shared" si="205"/>
        <v>0</v>
      </c>
      <c r="AM409" s="19">
        <f t="shared" si="205"/>
        <v>0</v>
      </c>
      <c r="AN409" s="19">
        <f t="shared" si="205"/>
        <v>0</v>
      </c>
      <c r="AO409" s="19">
        <f t="shared" si="205"/>
        <v>0</v>
      </c>
      <c r="AP409" s="19">
        <f t="shared" si="205"/>
        <v>0</v>
      </c>
      <c r="AQ409" s="19">
        <f t="shared" si="205"/>
        <v>0</v>
      </c>
      <c r="AR409" s="19">
        <f t="shared" si="205"/>
        <v>0</v>
      </c>
      <c r="AS409" s="19">
        <f t="shared" si="205"/>
        <v>0</v>
      </c>
      <c r="AT409" s="19">
        <f t="shared" si="205"/>
        <v>0</v>
      </c>
      <c r="AU409" s="19">
        <f t="shared" si="205"/>
        <v>0</v>
      </c>
      <c r="AV409" s="19">
        <f t="shared" si="205"/>
        <v>0</v>
      </c>
      <c r="AW409" s="19">
        <f t="shared" si="205"/>
        <v>0</v>
      </c>
      <c r="AX409" s="19">
        <f t="shared" si="205"/>
        <v>0</v>
      </c>
      <c r="AY409" s="19">
        <f t="shared" si="205"/>
        <v>0</v>
      </c>
      <c r="AZ409" s="19">
        <f t="shared" si="205"/>
        <v>0</v>
      </c>
      <c r="BA409" s="19">
        <f t="shared" si="205"/>
        <v>0</v>
      </c>
      <c r="BB409" s="19">
        <f t="shared" si="205"/>
        <v>0</v>
      </c>
      <c r="BC409" s="19">
        <f t="shared" si="205"/>
        <v>0</v>
      </c>
      <c r="BD409" s="19">
        <f t="shared" si="205"/>
        <v>0</v>
      </c>
    </row>
    <row r="410" spans="1:56" ht="15" customHeight="1">
      <c r="C410" s="21">
        <f>SUM(G410:BD410)</f>
        <v>0</v>
      </c>
      <c r="D410" s="11" t="s">
        <v>504</v>
      </c>
      <c r="E410" s="18" t="s">
        <v>333</v>
      </c>
      <c r="G410" s="19">
        <f>G409 * (G409 &gt; 0) * Inputs!$E$75</f>
        <v>0</v>
      </c>
      <c r="H410" s="19">
        <f>H409 * (H409 &gt; 0) * Inputs!$E$75</f>
        <v>0</v>
      </c>
      <c r="I410" s="19">
        <f>I409 * (I409 &gt; 0) * Inputs!$E$75</f>
        <v>0</v>
      </c>
      <c r="J410" s="19">
        <f>J409 * (J409 &gt; 0) * Inputs!$E$75</f>
        <v>0</v>
      </c>
      <c r="K410" s="19">
        <f>K409 * (K409 &gt; 0) * Inputs!$E$75</f>
        <v>0</v>
      </c>
      <c r="L410" s="19">
        <f>L409 * (L409 &gt; 0) * Inputs!$E$75</f>
        <v>0</v>
      </c>
      <c r="M410" s="19">
        <f>M409 * (M409 &gt; 0) * Inputs!$E$75</f>
        <v>0</v>
      </c>
      <c r="N410" s="19">
        <f>N409 * (N409 &gt; 0) * Inputs!$E$75</f>
        <v>0</v>
      </c>
      <c r="O410" s="19">
        <f>O409 * (O409 &gt; 0) * Inputs!$E$75</f>
        <v>0</v>
      </c>
      <c r="P410" s="19">
        <f>P409 * (P409 &gt; 0) * Inputs!$E$75</f>
        <v>0</v>
      </c>
      <c r="Q410" s="19">
        <f>Q409 * (Q409 &gt; 0) * Inputs!$E$75</f>
        <v>0</v>
      </c>
      <c r="R410" s="19">
        <f>R409 * (R409 &gt; 0) * Inputs!$E$75</f>
        <v>0</v>
      </c>
      <c r="S410" s="19">
        <f>S409 * (S409 &gt; 0) * Inputs!$E$75</f>
        <v>0</v>
      </c>
      <c r="T410" s="19">
        <f>T409 * (T409 &gt; 0) * Inputs!$E$75</f>
        <v>0</v>
      </c>
      <c r="U410" s="19">
        <f>U409 * (U409 &gt; 0) * Inputs!$E$75</f>
        <v>0</v>
      </c>
      <c r="V410" s="19">
        <f>V409 * (V409 &gt; 0) * Inputs!$E$75</f>
        <v>0</v>
      </c>
      <c r="W410" s="19">
        <f>W409 * (W409 &gt; 0) * Inputs!$E$75</f>
        <v>0</v>
      </c>
      <c r="X410" s="19">
        <f>X409 * (X409 &gt; 0) * Inputs!$E$75</f>
        <v>0</v>
      </c>
      <c r="Y410" s="19">
        <f>Y409 * (Y409 &gt; 0) * Inputs!$E$75</f>
        <v>0</v>
      </c>
      <c r="Z410" s="19">
        <f>Z409 * (Z409 &gt; 0) * Inputs!$E$75</f>
        <v>0</v>
      </c>
      <c r="AA410" s="19">
        <f>AA409 * (AA409 &gt; 0) * Inputs!$E$75</f>
        <v>0</v>
      </c>
      <c r="AB410" s="19">
        <f>AB409 * (AB409 &gt; 0) * Inputs!$E$75</f>
        <v>0</v>
      </c>
      <c r="AC410" s="19">
        <f>AC409 * (AC409 &gt; 0) * Inputs!$E$75</f>
        <v>0</v>
      </c>
      <c r="AD410" s="19">
        <f>AD409 * (AD409 &gt; 0) * Inputs!$E$75</f>
        <v>0</v>
      </c>
      <c r="AE410" s="19">
        <f>AE409 * (AE409 &gt; 0) * Inputs!$E$75</f>
        <v>0</v>
      </c>
      <c r="AF410" s="19">
        <f>AF409 * (AF409 &gt; 0) * Inputs!$E$75</f>
        <v>0</v>
      </c>
      <c r="AG410" s="19">
        <f>AG409 * (AG409 &gt; 0) * Inputs!$E$75</f>
        <v>0</v>
      </c>
      <c r="AH410" s="19">
        <f>AH409 * (AH409 &gt; 0) * Inputs!$E$75</f>
        <v>0</v>
      </c>
      <c r="AI410" s="19">
        <f>AI409 * (AI409 &gt; 0) * Inputs!$E$75</f>
        <v>0</v>
      </c>
      <c r="AJ410" s="19">
        <f>AJ409 * (AJ409 &gt; 0) * Inputs!$E$75</f>
        <v>0</v>
      </c>
      <c r="AK410" s="19">
        <f>AK409 * (AK409 &gt; 0) * Inputs!$E$75</f>
        <v>0</v>
      </c>
      <c r="AL410" s="19">
        <f>AL409 * (AL409 &gt; 0) * Inputs!$E$75</f>
        <v>0</v>
      </c>
      <c r="AM410" s="19">
        <f>AM409 * (AM409 &gt; 0) * Inputs!$E$75</f>
        <v>0</v>
      </c>
      <c r="AN410" s="19">
        <f>AN409 * (AN409 &gt; 0) * Inputs!$E$75</f>
        <v>0</v>
      </c>
      <c r="AO410" s="19">
        <f>AO409 * (AO409 &gt; 0) * Inputs!$E$75</f>
        <v>0</v>
      </c>
      <c r="AP410" s="19">
        <f>AP409 * (AP409 &gt; 0) * Inputs!$E$75</f>
        <v>0</v>
      </c>
      <c r="AQ410" s="19">
        <f>AQ409 * (AQ409 &gt; 0) * Inputs!$E$75</f>
        <v>0</v>
      </c>
      <c r="AR410" s="19">
        <f>AR409 * (AR409 &gt; 0) * Inputs!$E$75</f>
        <v>0</v>
      </c>
      <c r="AS410" s="19">
        <f>AS409 * (AS409 &gt; 0) * Inputs!$E$75</f>
        <v>0</v>
      </c>
      <c r="AT410" s="19">
        <f>AT409 * (AT409 &gt; 0) * Inputs!$E$75</f>
        <v>0</v>
      </c>
      <c r="AU410" s="19">
        <f>AU409 * (AU409 &gt; 0) * Inputs!$E$75</f>
        <v>0</v>
      </c>
      <c r="AV410" s="19">
        <f>AV409 * (AV409 &gt; 0) * Inputs!$E$75</f>
        <v>0</v>
      </c>
      <c r="AW410" s="19">
        <f>AW409 * (AW409 &gt; 0) * Inputs!$E$75</f>
        <v>0</v>
      </c>
      <c r="AX410" s="19">
        <f>AX409 * (AX409 &gt; 0) * Inputs!$E$75</f>
        <v>0</v>
      </c>
      <c r="AY410" s="19">
        <f>AY409 * (AY409 &gt; 0) * Inputs!$E$75</f>
        <v>0</v>
      </c>
      <c r="AZ410" s="19">
        <f>AZ409 * (AZ409 &gt; 0) * Inputs!$E$75</f>
        <v>0</v>
      </c>
      <c r="BA410" s="19">
        <f>BA409 * (BA409 &gt; 0) * Inputs!$E$75</f>
        <v>0</v>
      </c>
      <c r="BB410" s="19">
        <f>BB409 * (BB409 &gt; 0) * Inputs!$E$75</f>
        <v>0</v>
      </c>
      <c r="BC410" s="19">
        <f>BC409 * (BC409 &gt; 0) * Inputs!$E$75</f>
        <v>0</v>
      </c>
      <c r="BD410" s="19">
        <f>BD409 * (BD409 &gt; 0) * Inputs!$E$75</f>
        <v>0</v>
      </c>
    </row>
    <row r="411" spans="1:56" ht="15" customHeight="1">
      <c r="B411" s="41"/>
      <c r="C411" s="21">
        <f>SUM(G411:BD411)</f>
        <v>0</v>
      </c>
      <c r="D411" s="42" t="s">
        <v>505</v>
      </c>
      <c r="E411" s="18"/>
      <c r="G411" s="19">
        <f>G409 * (G409 &gt; 0) * $E$399 * Inputs!$E$77</f>
        <v>0</v>
      </c>
      <c r="H411" s="19">
        <f>H409 * (H409 &gt; 0) * $E$399 * Inputs!$E$77</f>
        <v>0</v>
      </c>
      <c r="I411" s="19">
        <f>I409 * (I409 &gt; 0) * $E$399 * Inputs!$E$77</f>
        <v>0</v>
      </c>
      <c r="J411" s="19">
        <f>J409 * (J409 &gt; 0) * $E$399 * Inputs!$E$77</f>
        <v>0</v>
      </c>
      <c r="K411" s="19">
        <f>K409 * (K409 &gt; 0) * $E$399 * Inputs!$E$77</f>
        <v>0</v>
      </c>
      <c r="L411" s="19">
        <f>L409 * (L409 &gt; 0) * $E$399 * Inputs!$E$77</f>
        <v>0</v>
      </c>
      <c r="M411" s="19">
        <f>M409 * (M409 &gt; 0) * $E$399 * Inputs!$E$77</f>
        <v>0</v>
      </c>
      <c r="N411" s="19">
        <f>N409 * (N409 &gt; 0) * $E$399 * Inputs!$E$77</f>
        <v>0</v>
      </c>
      <c r="O411" s="19">
        <f>O409 * (O409 &gt; 0) * $E$399 * Inputs!$E$77</f>
        <v>0</v>
      </c>
      <c r="P411" s="19">
        <f>P409 * (P409 &gt; 0) * $E$399 * Inputs!$E$77</f>
        <v>0</v>
      </c>
      <c r="Q411" s="19">
        <f>Q409 * (Q409 &gt; 0) * $E$399 * Inputs!$E$77</f>
        <v>0</v>
      </c>
      <c r="R411" s="19">
        <f>R409 * (R409 &gt; 0) * $E$399 * Inputs!$E$77</f>
        <v>0</v>
      </c>
      <c r="S411" s="19">
        <f>S409 * (S409 &gt; 0) * $E$399 * Inputs!$E$77</f>
        <v>0</v>
      </c>
      <c r="T411" s="19">
        <f>T409 * (T409 &gt; 0) * $E$399 * Inputs!$E$77</f>
        <v>0</v>
      </c>
      <c r="U411" s="19">
        <f>U409 * (U409 &gt; 0) * $E$399 * Inputs!$E$77</f>
        <v>0</v>
      </c>
      <c r="V411" s="19">
        <f>V409 * (V409 &gt; 0) * $E$399 * Inputs!$E$77</f>
        <v>0</v>
      </c>
      <c r="W411" s="19">
        <f>W409 * (W409 &gt; 0) * $E$399 * Inputs!$E$77</f>
        <v>0</v>
      </c>
      <c r="X411" s="19">
        <f>X409 * (X409 &gt; 0) * $E$399 * Inputs!$E$77</f>
        <v>0</v>
      </c>
      <c r="Y411" s="19">
        <f>Y409 * (Y409 &gt; 0) * $E$399 * Inputs!$E$77</f>
        <v>0</v>
      </c>
      <c r="Z411" s="19">
        <f>Z409 * (Z409 &gt; 0) * $E$399 * Inputs!$E$77</f>
        <v>0</v>
      </c>
      <c r="AA411" s="19">
        <f>AA409 * (AA409 &gt; 0) * $E$399 * Inputs!$E$77</f>
        <v>0</v>
      </c>
      <c r="AB411" s="19">
        <f>AB409 * (AB409 &gt; 0) * $E$399 * Inputs!$E$77</f>
        <v>0</v>
      </c>
      <c r="AC411" s="19">
        <f>AC409 * (AC409 &gt; 0) * $E$399 * Inputs!$E$77</f>
        <v>0</v>
      </c>
      <c r="AD411" s="19">
        <f>AD409 * (AD409 &gt; 0) * $E$399 * Inputs!$E$77</f>
        <v>0</v>
      </c>
      <c r="AE411" s="19">
        <f>AE409 * (AE409 &gt; 0) * $E$399 * Inputs!$E$77</f>
        <v>0</v>
      </c>
      <c r="AF411" s="19">
        <f>AF409 * (AF409 &gt; 0) * $E$399 * Inputs!$E$77</f>
        <v>0</v>
      </c>
      <c r="AG411" s="19">
        <f>AG409 * (AG409 &gt; 0) * $E$399 * Inputs!$E$77</f>
        <v>0</v>
      </c>
      <c r="AH411" s="19">
        <f>AH409 * (AH409 &gt; 0) * $E$399 * Inputs!$E$77</f>
        <v>0</v>
      </c>
      <c r="AI411" s="19">
        <f>AI409 * (AI409 &gt; 0) * $E$399 * Inputs!$E$77</f>
        <v>0</v>
      </c>
      <c r="AJ411" s="19">
        <f>AJ409 * (AJ409 &gt; 0) * $E$399 * Inputs!$E$77</f>
        <v>0</v>
      </c>
      <c r="AK411" s="19">
        <f>AK409 * (AK409 &gt; 0) * $E$399 * Inputs!$E$77</f>
        <v>0</v>
      </c>
      <c r="AL411" s="19">
        <f>AL409 * (AL409 &gt; 0) * $E$399 * Inputs!$E$77</f>
        <v>0</v>
      </c>
      <c r="AM411" s="19">
        <f>AM409 * (AM409 &gt; 0) * $E$399 * Inputs!$E$77</f>
        <v>0</v>
      </c>
      <c r="AN411" s="19">
        <f>AN409 * (AN409 &gt; 0) * $E$399 * Inputs!$E$77</f>
        <v>0</v>
      </c>
      <c r="AO411" s="19">
        <f>AO409 * (AO409 &gt; 0) * $E$399 * Inputs!$E$77</f>
        <v>0</v>
      </c>
      <c r="AP411" s="19">
        <f>AP409 * (AP409 &gt; 0) * $E$399 * Inputs!$E$77</f>
        <v>0</v>
      </c>
      <c r="AQ411" s="19">
        <f>AQ409 * (AQ409 &gt; 0) * $E$399 * Inputs!$E$77</f>
        <v>0</v>
      </c>
      <c r="AR411" s="19">
        <f>AR409 * (AR409 &gt; 0) * $E$399 * Inputs!$E$77</f>
        <v>0</v>
      </c>
      <c r="AS411" s="19">
        <f>AS409 * (AS409 &gt; 0) * $E$399 * Inputs!$E$77</f>
        <v>0</v>
      </c>
      <c r="AT411" s="19">
        <f>AT409 * (AT409 &gt; 0) * $E$399 * Inputs!$E$77</f>
        <v>0</v>
      </c>
      <c r="AU411" s="19">
        <f>AU409 * (AU409 &gt; 0) * $E$399 * Inputs!$E$77</f>
        <v>0</v>
      </c>
      <c r="AV411" s="19">
        <f>AV409 * (AV409 &gt; 0) * $E$399 * Inputs!$E$77</f>
        <v>0</v>
      </c>
      <c r="AW411" s="19">
        <f>AW409 * (AW409 &gt; 0) * $E$399 * Inputs!$E$77</f>
        <v>0</v>
      </c>
      <c r="AX411" s="19">
        <f>AX409 * (AX409 &gt; 0) * $E$399 * Inputs!$E$77</f>
        <v>0</v>
      </c>
      <c r="AY411" s="19">
        <f>AY409 * (AY409 &gt; 0) * $E$399 * Inputs!$E$77</f>
        <v>0</v>
      </c>
      <c r="AZ411" s="19">
        <f>AZ409 * (AZ409 &gt; 0) * $E$399 * Inputs!$E$77</f>
        <v>0</v>
      </c>
      <c r="BA411" s="19">
        <f>BA409 * (BA409 &gt; 0) * $E$399 * Inputs!$E$77</f>
        <v>0</v>
      </c>
      <c r="BB411" s="19">
        <f>BB409 * (BB409 &gt; 0) * $E$399 * Inputs!$E$77</f>
        <v>0</v>
      </c>
      <c r="BC411" s="19">
        <f>BC409 * (BC409 &gt; 0) * $E$399 * Inputs!$E$77</f>
        <v>0</v>
      </c>
      <c r="BD411" s="19">
        <f>BD409 * (BD409 &gt; 0) * $E$399 * Inputs!$E$77</f>
        <v>0</v>
      </c>
    </row>
    <row r="412" spans="1:56" ht="15" customHeight="1">
      <c r="B412" s="41"/>
      <c r="C412" s="21"/>
      <c r="D412" s="42"/>
      <c r="E412" s="18"/>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row>
    <row r="413" spans="1:56" ht="15" customHeight="1">
      <c r="C413" s="297"/>
      <c r="D413" s="166"/>
      <c r="E413" s="166"/>
      <c r="F413" s="166"/>
      <c r="G413" s="298"/>
      <c r="H413" s="298"/>
      <c r="I413" s="298"/>
      <c r="J413" s="298"/>
      <c r="K413" s="298"/>
      <c r="L413" s="298"/>
      <c r="M413" s="298"/>
      <c r="N413" s="298"/>
      <c r="O413" s="298"/>
      <c r="P413" s="298"/>
      <c r="Q413" s="298"/>
      <c r="R413" s="298"/>
      <c r="S413" s="298"/>
      <c r="T413" s="298"/>
      <c r="U413" s="298"/>
      <c r="V413" s="298"/>
      <c r="W413" s="298"/>
      <c r="X413" s="298"/>
      <c r="Y413" s="298"/>
      <c r="Z413" s="298"/>
      <c r="AA413" s="298"/>
      <c r="AB413" s="298"/>
      <c r="AC413" s="298"/>
      <c r="AD413" s="298"/>
      <c r="AE413" s="298"/>
      <c r="AF413" s="298"/>
      <c r="AG413" s="298"/>
      <c r="AH413" s="298"/>
      <c r="AI413" s="298"/>
      <c r="AJ413" s="298"/>
      <c r="AK413" s="298"/>
      <c r="AL413" s="298"/>
      <c r="AM413" s="298"/>
      <c r="AN413" s="298"/>
      <c r="AO413" s="298"/>
      <c r="AP413" s="298"/>
      <c r="AQ413" s="298"/>
      <c r="AR413" s="298"/>
      <c r="AS413" s="298"/>
      <c r="AT413" s="298"/>
      <c r="AU413" s="298"/>
      <c r="AV413" s="298"/>
      <c r="AW413" s="298"/>
      <c r="AX413" s="298"/>
      <c r="AY413" s="298"/>
      <c r="AZ413" s="298"/>
      <c r="BA413" s="298"/>
      <c r="BB413" s="298"/>
      <c r="BC413" s="298"/>
      <c r="BD413" s="298"/>
    </row>
    <row r="414" spans="1:56" ht="15" customHeight="1">
      <c r="C414" s="21">
        <f t="shared" ref="C414" si="206">SUM(G414:BD414)</f>
        <v>6586.4381475041337</v>
      </c>
      <c r="D414" s="9" t="s">
        <v>416</v>
      </c>
      <c r="E414" s="18" t="s">
        <v>333</v>
      </c>
      <c r="G414" s="19">
        <f>G277 - G311 - G313 - G319 - G327 - G330 - G388 - G410</f>
        <v>0</v>
      </c>
      <c r="H414" s="19">
        <f t="shared" ref="H414:BD414" si="207">H277 - H311 - H313 - H319 - H327 - H330 - H388 - H410</f>
        <v>0</v>
      </c>
      <c r="I414" s="19">
        <f t="shared" si="207"/>
        <v>-2.9261250000000003</v>
      </c>
      <c r="J414" s="19">
        <f t="shared" si="207"/>
        <v>-11.93859</v>
      </c>
      <c r="K414" s="19">
        <f t="shared" si="207"/>
        <v>-15.25354344439998</v>
      </c>
      <c r="L414" s="19">
        <f t="shared" si="207"/>
        <v>188.41597735492809</v>
      </c>
      <c r="M414" s="19">
        <f t="shared" si="207"/>
        <v>185.26194972442661</v>
      </c>
      <c r="N414" s="19">
        <f t="shared" si="207"/>
        <v>182.04484154131507</v>
      </c>
      <c r="O414" s="19">
        <f t="shared" si="207"/>
        <v>178.76339119454144</v>
      </c>
      <c r="P414" s="19">
        <f t="shared" si="207"/>
        <v>270.93127424083229</v>
      </c>
      <c r="Q414" s="19">
        <f t="shared" si="207"/>
        <v>276.34989972564904</v>
      </c>
      <c r="R414" s="19">
        <f t="shared" si="207"/>
        <v>281.87689772016176</v>
      </c>
      <c r="S414" s="19">
        <f t="shared" si="207"/>
        <v>287.51443567456511</v>
      </c>
      <c r="T414" s="19">
        <f t="shared" si="207"/>
        <v>293.26472438805644</v>
      </c>
      <c r="U414" s="19">
        <f t="shared" si="207"/>
        <v>299.13001887581754</v>
      </c>
      <c r="V414" s="19">
        <f t="shared" si="207"/>
        <v>305.11261925333383</v>
      </c>
      <c r="W414" s="19">
        <f t="shared" si="207"/>
        <v>311.21487163840061</v>
      </c>
      <c r="X414" s="19">
        <f t="shared" si="207"/>
        <v>317.43916907116864</v>
      </c>
      <c r="Y414" s="19">
        <f t="shared" si="207"/>
        <v>323.78795245259198</v>
      </c>
      <c r="Z414" s="19">
        <f t="shared" si="207"/>
        <v>330.26371150164374</v>
      </c>
      <c r="AA414" s="19">
        <f t="shared" si="207"/>
        <v>336.86898573167662</v>
      </c>
      <c r="AB414" s="19">
        <f t="shared" si="207"/>
        <v>343.60636544631024</v>
      </c>
      <c r="AC414" s="19">
        <f t="shared" si="207"/>
        <v>350.4784927552364</v>
      </c>
      <c r="AD414" s="19">
        <f t="shared" si="207"/>
        <v>353.62465941307204</v>
      </c>
      <c r="AE414" s="19">
        <f t="shared" si="207"/>
        <v>360.69715260133353</v>
      </c>
      <c r="AF414" s="19">
        <f t="shared" si="207"/>
        <v>367.91109565336018</v>
      </c>
      <c r="AG414" s="19">
        <f t="shared" si="207"/>
        <v>383.21805360960911</v>
      </c>
      <c r="AH414" s="19">
        <f t="shared" si="207"/>
        <v>88.779866380502526</v>
      </c>
      <c r="AI414" s="19">
        <f t="shared" si="207"/>
        <v>0</v>
      </c>
      <c r="AJ414" s="19">
        <f t="shared" si="207"/>
        <v>0</v>
      </c>
      <c r="AK414" s="19">
        <f t="shared" si="207"/>
        <v>0</v>
      </c>
      <c r="AL414" s="19">
        <f t="shared" si="207"/>
        <v>0</v>
      </c>
      <c r="AM414" s="19">
        <f t="shared" si="207"/>
        <v>0</v>
      </c>
      <c r="AN414" s="19">
        <f t="shared" si="207"/>
        <v>0</v>
      </c>
      <c r="AO414" s="19">
        <f t="shared" si="207"/>
        <v>0</v>
      </c>
      <c r="AP414" s="19">
        <f t="shared" si="207"/>
        <v>0</v>
      </c>
      <c r="AQ414" s="19">
        <f t="shared" si="207"/>
        <v>0</v>
      </c>
      <c r="AR414" s="19">
        <f t="shared" si="207"/>
        <v>0</v>
      </c>
      <c r="AS414" s="19">
        <f t="shared" si="207"/>
        <v>0</v>
      </c>
      <c r="AT414" s="19">
        <f t="shared" si="207"/>
        <v>0</v>
      </c>
      <c r="AU414" s="19">
        <f t="shared" si="207"/>
        <v>0</v>
      </c>
      <c r="AV414" s="19">
        <f t="shared" si="207"/>
        <v>0</v>
      </c>
      <c r="AW414" s="19">
        <f t="shared" si="207"/>
        <v>0</v>
      </c>
      <c r="AX414" s="19">
        <f t="shared" si="207"/>
        <v>0</v>
      </c>
      <c r="AY414" s="19">
        <f t="shared" si="207"/>
        <v>0</v>
      </c>
      <c r="AZ414" s="19">
        <f t="shared" si="207"/>
        <v>0</v>
      </c>
      <c r="BA414" s="19">
        <f t="shared" si="207"/>
        <v>0</v>
      </c>
      <c r="BB414" s="19">
        <f t="shared" si="207"/>
        <v>0</v>
      </c>
      <c r="BC414" s="19">
        <f t="shared" si="207"/>
        <v>0</v>
      </c>
      <c r="BD414" s="19">
        <f t="shared" si="207"/>
        <v>0</v>
      </c>
    </row>
    <row r="415" spans="1:56" ht="15" customHeight="1">
      <c r="C415" s="21"/>
      <c r="E415" s="18"/>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row>
    <row r="416" spans="1:56" ht="15" customHeight="1">
      <c r="C416" s="299"/>
      <c r="D416" s="166"/>
      <c r="E416" s="238"/>
      <c r="F416" s="166"/>
      <c r="G416" s="299"/>
      <c r="H416" s="299"/>
      <c r="I416" s="299"/>
      <c r="J416" s="299"/>
      <c r="K416" s="299"/>
      <c r="L416" s="299"/>
      <c r="M416" s="299"/>
      <c r="N416" s="299"/>
      <c r="O416" s="299"/>
      <c r="P416" s="299"/>
      <c r="Q416" s="299"/>
      <c r="R416" s="299"/>
      <c r="S416" s="299"/>
      <c r="T416" s="299"/>
      <c r="U416" s="299"/>
      <c r="V416" s="299"/>
      <c r="W416" s="299"/>
      <c r="X416" s="299"/>
      <c r="Y416" s="299"/>
      <c r="Z416" s="299"/>
      <c r="AA416" s="299"/>
      <c r="AB416" s="299"/>
      <c r="AC416" s="299"/>
      <c r="AD416" s="299"/>
      <c r="AE416" s="299"/>
      <c r="AF416" s="299"/>
      <c r="AG416" s="299"/>
      <c r="AH416" s="299"/>
      <c r="AI416" s="299"/>
      <c r="AJ416" s="299"/>
      <c r="AK416" s="299"/>
      <c r="AL416" s="299"/>
      <c r="AM416" s="299"/>
      <c r="AN416" s="299"/>
      <c r="AO416" s="299"/>
      <c r="AP416" s="299"/>
      <c r="AQ416" s="299"/>
      <c r="AR416" s="299"/>
      <c r="AS416" s="299"/>
      <c r="AT416" s="299"/>
      <c r="AU416" s="299"/>
      <c r="AV416" s="299"/>
      <c r="AW416" s="299"/>
      <c r="AX416" s="299"/>
      <c r="AY416" s="299"/>
      <c r="AZ416" s="299"/>
      <c r="BA416" s="299"/>
      <c r="BB416" s="299"/>
      <c r="BC416" s="299"/>
      <c r="BD416" s="299"/>
    </row>
    <row r="417" spans="1:56" ht="15" customHeight="1">
      <c r="D417" s="213" t="s">
        <v>506</v>
      </c>
    </row>
    <row r="418" spans="1:56" ht="15" customHeight="1">
      <c r="D418" s="9"/>
    </row>
    <row r="419" spans="1:56" ht="15" customHeight="1">
      <c r="D419" s="11" t="s">
        <v>496</v>
      </c>
      <c r="E419" s="388">
        <f>IF(AND(Inputs!E80 = 2, Inputs!E81 &lt; 3), Inputs!E79, 0%)</f>
        <v>0</v>
      </c>
    </row>
    <row r="420" spans="1:56" ht="15" customHeight="1">
      <c r="B420" s="396"/>
      <c r="D420" s="11" t="s">
        <v>447</v>
      </c>
      <c r="E420" s="307">
        <f>Inputs!E82</f>
        <v>2</v>
      </c>
    </row>
    <row r="421" spans="1:56" ht="15" customHeight="1">
      <c r="B421" s="396"/>
      <c r="D421" s="11" t="s">
        <v>464</v>
      </c>
      <c r="E421" s="389">
        <f>100% - E419</f>
        <v>1</v>
      </c>
    </row>
    <row r="422" spans="1:56" ht="15" customHeight="1">
      <c r="B422" s="396"/>
      <c r="E422" s="389"/>
    </row>
    <row r="423" spans="1:56" ht="15" customHeight="1">
      <c r="B423" s="396"/>
      <c r="D423" s="11" t="s">
        <v>497</v>
      </c>
      <c r="E423" s="413">
        <f>Inputs!E57</f>
        <v>1</v>
      </c>
    </row>
    <row r="424" spans="1:56" ht="15" customHeight="1">
      <c r="B424" s="396"/>
    </row>
    <row r="425" spans="1:56" ht="15" customHeight="1">
      <c r="B425" s="396"/>
      <c r="D425" s="11" t="s">
        <v>435</v>
      </c>
      <c r="E425" s="18">
        <f>IF(AND(Inputs!$E$85 = 1, Inputs!$E$88 = 0), 1, IF(AND(Inputs!$E$85 = 1, Inputs!$E$88 = 1), 2, IF(Inputs!$E$89 = 1, 3, IF(Inputs!$E$93 = 1, 4, 5))))</f>
        <v>5</v>
      </c>
    </row>
    <row r="426" spans="1:56" ht="15" customHeight="1">
      <c r="B426" s="396"/>
    </row>
    <row r="427" spans="1:56" ht="15" customHeight="1">
      <c r="A427" s="11"/>
      <c r="C427" s="21">
        <f>SUM(G427:BD427)</f>
        <v>17497.377173577093</v>
      </c>
      <c r="D427" s="17" t="s">
        <v>316</v>
      </c>
      <c r="E427" s="18" t="s">
        <v>333</v>
      </c>
      <c r="G427" s="19">
        <f t="shared" ref="G427:AL427" si="208">G51 - G254</f>
        <v>0</v>
      </c>
      <c r="H427" s="19">
        <f t="shared" si="208"/>
        <v>0</v>
      </c>
      <c r="I427" s="19">
        <f t="shared" si="208"/>
        <v>0</v>
      </c>
      <c r="J427" s="19">
        <f t="shared" si="208"/>
        <v>0</v>
      </c>
      <c r="K427" s="19">
        <f t="shared" si="208"/>
        <v>259.29662392800003</v>
      </c>
      <c r="L427" s="19">
        <f t="shared" si="208"/>
        <v>617.1259649486401</v>
      </c>
      <c r="M427" s="19">
        <f t="shared" si="208"/>
        <v>629.46848424761288</v>
      </c>
      <c r="N427" s="19">
        <f t="shared" si="208"/>
        <v>642.05785393256497</v>
      </c>
      <c r="O427" s="19">
        <f t="shared" si="208"/>
        <v>654.89901101121632</v>
      </c>
      <c r="P427" s="19">
        <f t="shared" si="208"/>
        <v>667.99699123144069</v>
      </c>
      <c r="Q427" s="19">
        <f t="shared" si="208"/>
        <v>681.35693105606958</v>
      </c>
      <c r="R427" s="19">
        <f t="shared" si="208"/>
        <v>694.98406967719075</v>
      </c>
      <c r="S427" s="19">
        <f t="shared" si="208"/>
        <v>708.88375107073477</v>
      </c>
      <c r="T427" s="19">
        <f t="shared" si="208"/>
        <v>723.06142609214942</v>
      </c>
      <c r="U427" s="19">
        <f t="shared" si="208"/>
        <v>737.52265461399247</v>
      </c>
      <c r="V427" s="19">
        <f t="shared" si="208"/>
        <v>752.27310770627207</v>
      </c>
      <c r="W427" s="19">
        <f t="shared" si="208"/>
        <v>767.3185698603977</v>
      </c>
      <c r="X427" s="19">
        <f t="shared" si="208"/>
        <v>782.66494125760573</v>
      </c>
      <c r="Y427" s="19">
        <f t="shared" si="208"/>
        <v>798.31824008275771</v>
      </c>
      <c r="Z427" s="19">
        <f t="shared" si="208"/>
        <v>814.28460488441283</v>
      </c>
      <c r="AA427" s="19">
        <f t="shared" si="208"/>
        <v>830.57029698210113</v>
      </c>
      <c r="AB427" s="19">
        <f t="shared" si="208"/>
        <v>847.18170292174318</v>
      </c>
      <c r="AC427" s="19">
        <f t="shared" si="208"/>
        <v>864.12533698017808</v>
      </c>
      <c r="AD427" s="19">
        <f t="shared" si="208"/>
        <v>877.54444052251245</v>
      </c>
      <c r="AE427" s="19">
        <f t="shared" si="208"/>
        <v>895.09532933296271</v>
      </c>
      <c r="AF427" s="19">
        <f t="shared" si="208"/>
        <v>912.99723591962197</v>
      </c>
      <c r="AG427" s="19">
        <f t="shared" si="208"/>
        <v>931.25718063801457</v>
      </c>
      <c r="AH427" s="19">
        <f t="shared" si="208"/>
        <v>407.0924246789034</v>
      </c>
      <c r="AI427" s="19">
        <f t="shared" si="208"/>
        <v>0</v>
      </c>
      <c r="AJ427" s="19">
        <f t="shared" si="208"/>
        <v>0</v>
      </c>
      <c r="AK427" s="19">
        <f t="shared" si="208"/>
        <v>0</v>
      </c>
      <c r="AL427" s="19">
        <f t="shared" si="208"/>
        <v>0</v>
      </c>
      <c r="AM427" s="19">
        <f t="shared" ref="AM427:BD427" si="209">AM51 - AM254</f>
        <v>0</v>
      </c>
      <c r="AN427" s="19">
        <f t="shared" si="209"/>
        <v>0</v>
      </c>
      <c r="AO427" s="19">
        <f t="shared" si="209"/>
        <v>0</v>
      </c>
      <c r="AP427" s="19">
        <f t="shared" si="209"/>
        <v>0</v>
      </c>
      <c r="AQ427" s="19">
        <f t="shared" si="209"/>
        <v>0</v>
      </c>
      <c r="AR427" s="19">
        <f t="shared" si="209"/>
        <v>0</v>
      </c>
      <c r="AS427" s="19">
        <f t="shared" si="209"/>
        <v>0</v>
      </c>
      <c r="AT427" s="19">
        <f t="shared" si="209"/>
        <v>0</v>
      </c>
      <c r="AU427" s="19">
        <f t="shared" si="209"/>
        <v>0</v>
      </c>
      <c r="AV427" s="19">
        <f t="shared" si="209"/>
        <v>0</v>
      </c>
      <c r="AW427" s="19">
        <f t="shared" si="209"/>
        <v>0</v>
      </c>
      <c r="AX427" s="19">
        <f t="shared" si="209"/>
        <v>0</v>
      </c>
      <c r="AY427" s="19">
        <f t="shared" si="209"/>
        <v>0</v>
      </c>
      <c r="AZ427" s="19">
        <f t="shared" si="209"/>
        <v>0</v>
      </c>
      <c r="BA427" s="19">
        <f t="shared" si="209"/>
        <v>0</v>
      </c>
      <c r="BB427" s="19">
        <f t="shared" si="209"/>
        <v>0</v>
      </c>
      <c r="BC427" s="19">
        <f t="shared" si="209"/>
        <v>0</v>
      </c>
      <c r="BD427" s="19">
        <f t="shared" si="209"/>
        <v>0</v>
      </c>
    </row>
    <row r="428" spans="1:56" ht="15" customHeight="1">
      <c r="A428" s="11"/>
      <c r="C428" s="21">
        <f>SUM(G428:BD428)</f>
        <v>1543.5732729769816</v>
      </c>
      <c r="D428" s="17" t="s">
        <v>498</v>
      </c>
      <c r="E428" s="18" t="s">
        <v>333</v>
      </c>
      <c r="G428" s="19">
        <f>(G236 + G240 + G244 + IF(Inputs!$E$56 = 1, G210, 0) + G311 + G313 + G410) * $E$421</f>
        <v>0</v>
      </c>
      <c r="H428" s="19">
        <f>(H236 + H240 + H244 + IF(Inputs!$E$56 = 1, H210, 0) + H311 + H313 + H410) * $E$421</f>
        <v>0</v>
      </c>
      <c r="I428" s="19">
        <f>(I236 + I240 + I244 + IF(Inputs!$E$56 = 1, I210, 0) + I311 + I313 + I410) * $E$421</f>
        <v>2.9261250000000003</v>
      </c>
      <c r="J428" s="19">
        <f>(J236 + J240 + J244 + IF(Inputs!$E$56 = 1, J210, 0) + J311 + J313 + J410) * $E$421</f>
        <v>11.93859</v>
      </c>
      <c r="K428" s="19">
        <f>(K236 + K240 + K244 + IF(Inputs!$E$56 = 1, K210, 0) + K311 + K313 + K410) * $E$421</f>
        <v>24.979828172400001</v>
      </c>
      <c r="L428" s="19">
        <f>(L236 + L240 + L244 + IF(Inputs!$E$56 = 1, L210, 0) + L311 + L313 + L410) * $E$421</f>
        <v>53.862581984111998</v>
      </c>
      <c r="M428" s="19">
        <f>(M236 + M240 + M244 + IF(Inputs!$E$56 = 1, M210, 0) + M311 + M313 + M410) * $E$421</f>
        <v>54.939833623794243</v>
      </c>
      <c r="N428" s="19">
        <f>(N236 + N240 + N244 + IF(Inputs!$E$56 = 1, N210, 0) + N311 + N313 + N410) * $E$421</f>
        <v>56.038630296270114</v>
      </c>
      <c r="O428" s="19">
        <f>(O236 + O240 + O244 + IF(Inputs!$E$56 = 1, O210, 0) + O311 + O313 + O410) * $E$421</f>
        <v>57.159402902195509</v>
      </c>
      <c r="P428" s="19">
        <f>(P236 + P240 + P244 + IF(Inputs!$E$56 = 1, P210, 0) + P311 + P313 + P410) * $E$421</f>
        <v>58.302590960239428</v>
      </c>
      <c r="Q428" s="19">
        <f>(Q236 + Q240 + Q244 + IF(Inputs!$E$56 = 1, Q210, 0) + Q311 + Q313 + Q410) * $E$421</f>
        <v>59.468642779444217</v>
      </c>
      <c r="R428" s="19">
        <f>(R236 + R240 + R244 + IF(Inputs!$E$56 = 1, R210, 0) + R311 + R313 + R410) * $E$421</f>
        <v>60.658015635033095</v>
      </c>
      <c r="S428" s="19">
        <f>(S236 + S240 + S244 + IF(Inputs!$E$56 = 1, S210, 0) + S311 + S313 + S410) * $E$421</f>
        <v>61.871175947733775</v>
      </c>
      <c r="T428" s="19">
        <f>(T236 + T240 + T244 + IF(Inputs!$E$56 = 1, T210, 0) + T311 + T313 + T410) * $E$421</f>
        <v>63.108599466688439</v>
      </c>
      <c r="U428" s="19">
        <f>(U236 + U240 + U244 + IF(Inputs!$E$56 = 1, U210, 0) + U311 + U313 + U410) * $E$421</f>
        <v>64.370771456022212</v>
      </c>
      <c r="V428" s="19">
        <f>(V236 + V240 + V244 + IF(Inputs!$E$56 = 1, V210, 0) + V311 + V313 + V410) * $E$421</f>
        <v>65.658186885142641</v>
      </c>
      <c r="W428" s="19">
        <f>(W236 + W240 + W244 + IF(Inputs!$E$56 = 1, W210, 0) + W311 + W313 + W410) * $E$421</f>
        <v>66.971350622845506</v>
      </c>
      <c r="X428" s="19">
        <f>(X236 + X240 + X244 + IF(Inputs!$E$56 = 1, X210, 0) + X311 + X313 + X410) * $E$421</f>
        <v>68.310777635302415</v>
      </c>
      <c r="Y428" s="19">
        <f>(Y236 + Y240 + Y244 + IF(Inputs!$E$56 = 1, Y210, 0) + Y311 + Y313 + Y410) * $E$421</f>
        <v>69.676993188008467</v>
      </c>
      <c r="Z428" s="19">
        <f>(Z236 + Z240 + Z244 + IF(Inputs!$E$56 = 1, Z210, 0) + Z311 + Z313 + Z410) * $E$421</f>
        <v>71.070533051768621</v>
      </c>
      <c r="AA428" s="19">
        <f>(AA236 + AA240 + AA244 + IF(Inputs!$E$56 = 1, AA210, 0) + AA311 + AA313 + AA410) * $E$421</f>
        <v>72.491943712804002</v>
      </c>
      <c r="AB428" s="19">
        <f>(AB236 + AB240 + AB244 + IF(Inputs!$E$56 = 1, AB210, 0) + AB311 + AB313 + AB410) * $E$421</f>
        <v>73.941782587060075</v>
      </c>
      <c r="AC428" s="19">
        <f>(AC236 + AC240 + AC244 + IF(Inputs!$E$56 = 1, AC210, 0) + AC311 + AC313 + AC410) * $E$421</f>
        <v>75.420618238801296</v>
      </c>
      <c r="AD428" s="19">
        <f>(AD236 + AD240 + AD244 + IF(Inputs!$E$56 = 1, AD210, 0) + AD311 + AD313 + AD410) * $E$421</f>
        <v>76.929030603577303</v>
      </c>
      <c r="AE428" s="19">
        <f>(AE236 + AE240 + AE244 + IF(Inputs!$E$56 = 1, AE210, 0) + AE311 + AE313 + AE410) * $E$421</f>
        <v>78.467611215648844</v>
      </c>
      <c r="AF428" s="19">
        <f>(AF236 + AF240 + AF244 + IF(Inputs!$E$56 = 1, AF210, 0) + AF311 + AF313 + AF410) * $E$421</f>
        <v>80.036963439961823</v>
      </c>
      <c r="AG428" s="19">
        <f>(AG236 + AG240 + AG244 + IF(Inputs!$E$56 = 1, AG210, 0) + AG311 + AG313 + AG410) * $E$421</f>
        <v>80.382639122995542</v>
      </c>
      <c r="AH428" s="19">
        <f>(AH236 + AH240 + AH244 + IF(Inputs!$E$56 = 1, AH210, 0) + AH311 + AH313 + AH410) * $E$421</f>
        <v>34.590054449131983</v>
      </c>
      <c r="AI428" s="19">
        <f>(AI236 + AI240 + AI244 + IF(Inputs!$E$56 = 1, AI210, 0) + AI311 + AI313 + AI410) * $E$421</f>
        <v>0</v>
      </c>
      <c r="AJ428" s="19">
        <f>(AJ236 + AJ240 + AJ244 + IF(Inputs!$E$56 = 1, AJ210, 0) + AJ311 + AJ313 + AJ410) * $E$421</f>
        <v>0</v>
      </c>
      <c r="AK428" s="19">
        <f>(AK236 + AK240 + AK244 + IF(Inputs!$E$56 = 1, AK210, 0) + AK311 + AK313 + AK410) * $E$421</f>
        <v>0</v>
      </c>
      <c r="AL428" s="19">
        <f>(AL236 + AL240 + AL244 + IF(Inputs!$E$56 = 1, AL210, 0) + AL311 + AL313 + AL410) * $E$421</f>
        <v>0</v>
      </c>
      <c r="AM428" s="19">
        <f>(AM236 + AM240 + AM244 + IF(Inputs!$E$56 = 1, AM210, 0) + AM311 + AM313 + AM410) * $E$421</f>
        <v>0</v>
      </c>
      <c r="AN428" s="19">
        <f>(AN236 + AN240 + AN244 + IF(Inputs!$E$56 = 1, AN210, 0) + AN311 + AN313 + AN410) * $E$421</f>
        <v>0</v>
      </c>
      <c r="AO428" s="19">
        <f>(AO236 + AO240 + AO244 + IF(Inputs!$E$56 = 1, AO210, 0) + AO311 + AO313 + AO410) * $E$421</f>
        <v>0</v>
      </c>
      <c r="AP428" s="19">
        <f>(AP236 + AP240 + AP244 + IF(Inputs!$E$56 = 1, AP210, 0) + AP311 + AP313 + AP410) * $E$421</f>
        <v>0</v>
      </c>
      <c r="AQ428" s="19">
        <f>(AQ236 + AQ240 + AQ244 + IF(Inputs!$E$56 = 1, AQ210, 0) + AQ311 + AQ313 + AQ410) * $E$421</f>
        <v>0</v>
      </c>
      <c r="AR428" s="19">
        <f>(AR236 + AR240 + AR244 + IF(Inputs!$E$56 = 1, AR210, 0) + AR311 + AR313 + AR410) * $E$421</f>
        <v>0</v>
      </c>
      <c r="AS428" s="19">
        <f>(AS236 + AS240 + AS244 + IF(Inputs!$E$56 = 1, AS210, 0) + AS311 + AS313 + AS410) * $E$421</f>
        <v>0</v>
      </c>
      <c r="AT428" s="19">
        <f>(AT236 + AT240 + AT244 + IF(Inputs!$E$56 = 1, AT210, 0) + AT311 + AT313 + AT410) * $E$421</f>
        <v>0</v>
      </c>
      <c r="AU428" s="19">
        <f>(AU236 + AU240 + AU244 + IF(Inputs!$E$56 = 1, AU210, 0) + AU311 + AU313 + AU410) * $E$421</f>
        <v>0</v>
      </c>
      <c r="AV428" s="19">
        <f>(AV236 + AV240 + AV244 + IF(Inputs!$E$56 = 1, AV210, 0) + AV311 + AV313 + AV410) * $E$421</f>
        <v>0</v>
      </c>
      <c r="AW428" s="19">
        <f>(AW236 + AW240 + AW244 + IF(Inputs!$E$56 = 1, AW210, 0) + AW311 + AW313 + AW410) * $E$421</f>
        <v>0</v>
      </c>
      <c r="AX428" s="19">
        <f>(AX236 + AX240 + AX244 + IF(Inputs!$E$56 = 1, AX210, 0) + AX311 + AX313 + AX410) * $E$421</f>
        <v>0</v>
      </c>
      <c r="AY428" s="19">
        <f>(AY236 + AY240 + AY244 + IF(Inputs!$E$56 = 1, AY210, 0) + AY311 + AY313 + AY410) * $E$421</f>
        <v>0</v>
      </c>
      <c r="AZ428" s="19">
        <f>(AZ236 + AZ240 + AZ244 + IF(Inputs!$E$56 = 1, AZ210, 0) + AZ311 + AZ313 + AZ410) * $E$421</f>
        <v>0</v>
      </c>
      <c r="BA428" s="19">
        <f>(BA236 + BA240 + BA244 + IF(Inputs!$E$56 = 1, BA210, 0) + BA311 + BA313 + BA410) * $E$421</f>
        <v>0</v>
      </c>
      <c r="BB428" s="19">
        <f>(BB236 + BB240 + BB244 + IF(Inputs!$E$56 = 1, BB210, 0) + BB311 + BB313 + BB410) * $E$421</f>
        <v>0</v>
      </c>
      <c r="BC428" s="19">
        <f>(BC236 + BC240 + BC244 + IF(Inputs!$E$56 = 1, BC210, 0) + BC311 + BC313 + BC410) * $E$421</f>
        <v>0</v>
      </c>
      <c r="BD428" s="19">
        <f>(BD236 + BD240 + BD244 + IF(Inputs!$E$56 = 1, BD210, 0) + BD311 + BD313 + BD410) * $E$421</f>
        <v>0</v>
      </c>
    </row>
    <row r="429" spans="1:56" ht="15" customHeight="1">
      <c r="A429" s="11"/>
      <c r="C429" s="21">
        <f t="shared" ref="C429:C435" si="210">SUM(G429:BD429)</f>
        <v>40.4</v>
      </c>
      <c r="D429" s="17" t="s">
        <v>317</v>
      </c>
      <c r="E429" s="18" t="s">
        <v>333</v>
      </c>
      <c r="G429" s="19">
        <f t="shared" ref="G429:AL429" si="211">IF($E$420 = 1, G327 * $E$421, G327)</f>
        <v>0</v>
      </c>
      <c r="H429" s="19">
        <f t="shared" si="211"/>
        <v>0</v>
      </c>
      <c r="I429" s="19">
        <f t="shared" si="211"/>
        <v>0</v>
      </c>
      <c r="J429" s="19">
        <f t="shared" si="211"/>
        <v>0</v>
      </c>
      <c r="K429" s="19">
        <f t="shared" si="211"/>
        <v>40.4</v>
      </c>
      <c r="L429" s="19">
        <f t="shared" si="211"/>
        <v>0</v>
      </c>
      <c r="M429" s="19">
        <f t="shared" si="211"/>
        <v>0</v>
      </c>
      <c r="N429" s="19">
        <f t="shared" si="211"/>
        <v>0</v>
      </c>
      <c r="O429" s="19">
        <f t="shared" si="211"/>
        <v>0</v>
      </c>
      <c r="P429" s="19">
        <f t="shared" si="211"/>
        <v>0</v>
      </c>
      <c r="Q429" s="19">
        <f t="shared" si="211"/>
        <v>0</v>
      </c>
      <c r="R429" s="19">
        <f t="shared" si="211"/>
        <v>0</v>
      </c>
      <c r="S429" s="19">
        <f t="shared" si="211"/>
        <v>0</v>
      </c>
      <c r="T429" s="19">
        <f t="shared" si="211"/>
        <v>0</v>
      </c>
      <c r="U429" s="19">
        <f t="shared" si="211"/>
        <v>0</v>
      </c>
      <c r="V429" s="19">
        <f t="shared" si="211"/>
        <v>0</v>
      </c>
      <c r="W429" s="19">
        <f t="shared" si="211"/>
        <v>0</v>
      </c>
      <c r="X429" s="19">
        <f t="shared" si="211"/>
        <v>0</v>
      </c>
      <c r="Y429" s="19">
        <f t="shared" si="211"/>
        <v>0</v>
      </c>
      <c r="Z429" s="19">
        <f t="shared" si="211"/>
        <v>0</v>
      </c>
      <c r="AA429" s="19">
        <f t="shared" si="211"/>
        <v>0</v>
      </c>
      <c r="AB429" s="19">
        <f t="shared" si="211"/>
        <v>0</v>
      </c>
      <c r="AC429" s="19">
        <f t="shared" si="211"/>
        <v>0</v>
      </c>
      <c r="AD429" s="19">
        <f t="shared" si="211"/>
        <v>0</v>
      </c>
      <c r="AE429" s="19">
        <f t="shared" si="211"/>
        <v>0</v>
      </c>
      <c r="AF429" s="19">
        <f t="shared" si="211"/>
        <v>0</v>
      </c>
      <c r="AG429" s="19">
        <f t="shared" si="211"/>
        <v>0</v>
      </c>
      <c r="AH429" s="19">
        <f t="shared" si="211"/>
        <v>0</v>
      </c>
      <c r="AI429" s="19">
        <f t="shared" si="211"/>
        <v>0</v>
      </c>
      <c r="AJ429" s="19">
        <f t="shared" si="211"/>
        <v>0</v>
      </c>
      <c r="AK429" s="19">
        <f t="shared" si="211"/>
        <v>0</v>
      </c>
      <c r="AL429" s="19">
        <f t="shared" si="211"/>
        <v>0</v>
      </c>
      <c r="AM429" s="19">
        <f t="shared" ref="AM429:BD429" si="212">IF($E$420 = 1, AM327 * $E$421, AM327)</f>
        <v>0</v>
      </c>
      <c r="AN429" s="19">
        <f t="shared" si="212"/>
        <v>0</v>
      </c>
      <c r="AO429" s="19">
        <f t="shared" si="212"/>
        <v>0</v>
      </c>
      <c r="AP429" s="19">
        <f t="shared" si="212"/>
        <v>0</v>
      </c>
      <c r="AQ429" s="19">
        <f t="shared" si="212"/>
        <v>0</v>
      </c>
      <c r="AR429" s="19">
        <f t="shared" si="212"/>
        <v>0</v>
      </c>
      <c r="AS429" s="19">
        <f t="shared" si="212"/>
        <v>0</v>
      </c>
      <c r="AT429" s="19">
        <f t="shared" si="212"/>
        <v>0</v>
      </c>
      <c r="AU429" s="19">
        <f t="shared" si="212"/>
        <v>0</v>
      </c>
      <c r="AV429" s="19">
        <f t="shared" si="212"/>
        <v>0</v>
      </c>
      <c r="AW429" s="19">
        <f t="shared" si="212"/>
        <v>0</v>
      </c>
      <c r="AX429" s="19">
        <f t="shared" si="212"/>
        <v>0</v>
      </c>
      <c r="AY429" s="19">
        <f t="shared" si="212"/>
        <v>0</v>
      </c>
      <c r="AZ429" s="19">
        <f t="shared" si="212"/>
        <v>0</v>
      </c>
      <c r="BA429" s="19">
        <f t="shared" si="212"/>
        <v>0</v>
      </c>
      <c r="BB429" s="19">
        <f t="shared" si="212"/>
        <v>0</v>
      </c>
      <c r="BC429" s="19">
        <f t="shared" si="212"/>
        <v>0</v>
      </c>
      <c r="BD429" s="19">
        <f t="shared" si="212"/>
        <v>0</v>
      </c>
    </row>
    <row r="430" spans="1:56" ht="15" customHeight="1">
      <c r="A430" s="11"/>
      <c r="C430" s="21">
        <f t="shared" si="210"/>
        <v>0</v>
      </c>
      <c r="D430" s="17" t="s">
        <v>499</v>
      </c>
      <c r="E430" s="18" t="s">
        <v>333</v>
      </c>
      <c r="G430" s="19">
        <f t="shared" ref="G430:AL430" si="213">G330 * $E$421</f>
        <v>0</v>
      </c>
      <c r="H430" s="19">
        <f t="shared" si="213"/>
        <v>0</v>
      </c>
      <c r="I430" s="19">
        <f t="shared" si="213"/>
        <v>0</v>
      </c>
      <c r="J430" s="19">
        <f t="shared" si="213"/>
        <v>0</v>
      </c>
      <c r="K430" s="19">
        <f t="shared" si="213"/>
        <v>0</v>
      </c>
      <c r="L430" s="19">
        <f t="shared" si="213"/>
        <v>0</v>
      </c>
      <c r="M430" s="19">
        <f t="shared" si="213"/>
        <v>0</v>
      </c>
      <c r="N430" s="19">
        <f t="shared" si="213"/>
        <v>0</v>
      </c>
      <c r="O430" s="19">
        <f t="shared" si="213"/>
        <v>0</v>
      </c>
      <c r="P430" s="19">
        <f t="shared" si="213"/>
        <v>0</v>
      </c>
      <c r="Q430" s="19">
        <f t="shared" si="213"/>
        <v>0</v>
      </c>
      <c r="R430" s="19">
        <f t="shared" si="213"/>
        <v>0</v>
      </c>
      <c r="S430" s="19">
        <f t="shared" si="213"/>
        <v>0</v>
      </c>
      <c r="T430" s="19">
        <f t="shared" si="213"/>
        <v>0</v>
      </c>
      <c r="U430" s="19">
        <f t="shared" si="213"/>
        <v>0</v>
      </c>
      <c r="V430" s="19">
        <f t="shared" si="213"/>
        <v>0</v>
      </c>
      <c r="W430" s="19">
        <f t="shared" si="213"/>
        <v>0</v>
      </c>
      <c r="X430" s="19">
        <f t="shared" si="213"/>
        <v>0</v>
      </c>
      <c r="Y430" s="19">
        <f t="shared" si="213"/>
        <v>0</v>
      </c>
      <c r="Z430" s="19">
        <f t="shared" si="213"/>
        <v>0</v>
      </c>
      <c r="AA430" s="19">
        <f t="shared" si="213"/>
        <v>0</v>
      </c>
      <c r="AB430" s="19">
        <f t="shared" si="213"/>
        <v>0</v>
      </c>
      <c r="AC430" s="19">
        <f t="shared" si="213"/>
        <v>0</v>
      </c>
      <c r="AD430" s="19">
        <f t="shared" si="213"/>
        <v>0</v>
      </c>
      <c r="AE430" s="19">
        <f t="shared" si="213"/>
        <v>0</v>
      </c>
      <c r="AF430" s="19">
        <f t="shared" si="213"/>
        <v>0</v>
      </c>
      <c r="AG430" s="19">
        <f t="shared" si="213"/>
        <v>0</v>
      </c>
      <c r="AH430" s="19">
        <f t="shared" si="213"/>
        <v>0</v>
      </c>
      <c r="AI430" s="19">
        <f t="shared" si="213"/>
        <v>0</v>
      </c>
      <c r="AJ430" s="19">
        <f t="shared" si="213"/>
        <v>0</v>
      </c>
      <c r="AK430" s="19">
        <f t="shared" si="213"/>
        <v>0</v>
      </c>
      <c r="AL430" s="19">
        <f t="shared" si="213"/>
        <v>0</v>
      </c>
      <c r="AM430" s="19">
        <f t="shared" ref="AM430:BD430" si="214">AM330 * $E$421</f>
        <v>0</v>
      </c>
      <c r="AN430" s="19">
        <f t="shared" si="214"/>
        <v>0</v>
      </c>
      <c r="AO430" s="19">
        <f t="shared" si="214"/>
        <v>0</v>
      </c>
      <c r="AP430" s="19">
        <f t="shared" si="214"/>
        <v>0</v>
      </c>
      <c r="AQ430" s="19">
        <f t="shared" si="214"/>
        <v>0</v>
      </c>
      <c r="AR430" s="19">
        <f t="shared" si="214"/>
        <v>0</v>
      </c>
      <c r="AS430" s="19">
        <f t="shared" si="214"/>
        <v>0</v>
      </c>
      <c r="AT430" s="19">
        <f t="shared" si="214"/>
        <v>0</v>
      </c>
      <c r="AU430" s="19">
        <f t="shared" si="214"/>
        <v>0</v>
      </c>
      <c r="AV430" s="19">
        <f t="shared" si="214"/>
        <v>0</v>
      </c>
      <c r="AW430" s="19">
        <f t="shared" si="214"/>
        <v>0</v>
      </c>
      <c r="AX430" s="19">
        <f t="shared" si="214"/>
        <v>0</v>
      </c>
      <c r="AY430" s="19">
        <f t="shared" si="214"/>
        <v>0</v>
      </c>
      <c r="AZ430" s="19">
        <f t="shared" si="214"/>
        <v>0</v>
      </c>
      <c r="BA430" s="19">
        <f t="shared" si="214"/>
        <v>0</v>
      </c>
      <c r="BB430" s="19">
        <f t="shared" si="214"/>
        <v>0</v>
      </c>
      <c r="BC430" s="19">
        <f t="shared" si="214"/>
        <v>0</v>
      </c>
      <c r="BD430" s="19">
        <f t="shared" si="214"/>
        <v>0</v>
      </c>
    </row>
    <row r="431" spans="1:56" ht="15" customHeight="1">
      <c r="A431" s="11"/>
      <c r="C431" s="21">
        <f t="shared" si="210"/>
        <v>1649.7177965951294</v>
      </c>
      <c r="D431" s="11" t="s">
        <v>500</v>
      </c>
      <c r="E431" s="18" t="s">
        <v>333</v>
      </c>
      <c r="G431" s="19">
        <f t="shared" ref="G431:AL431" si="215">G388 * $E$421</f>
        <v>0</v>
      </c>
      <c r="H431" s="19">
        <f t="shared" si="215"/>
        <v>0</v>
      </c>
      <c r="I431" s="19">
        <f t="shared" si="215"/>
        <v>0</v>
      </c>
      <c r="J431" s="19">
        <f t="shared" si="215"/>
        <v>0</v>
      </c>
      <c r="K431" s="19">
        <f t="shared" si="215"/>
        <v>95.514962400000002</v>
      </c>
      <c r="L431" s="19">
        <f t="shared" si="215"/>
        <v>104.34760882560001</v>
      </c>
      <c r="M431" s="19">
        <f t="shared" si="215"/>
        <v>113.35690817971201</v>
      </c>
      <c r="N431" s="19">
        <f t="shared" si="215"/>
        <v>122.54639352090624</v>
      </c>
      <c r="O431" s="19">
        <f t="shared" si="215"/>
        <v>131.91966856892435</v>
      </c>
      <c r="P431" s="19">
        <f t="shared" si="215"/>
        <v>45.96544671790285</v>
      </c>
      <c r="Q431" s="19">
        <f t="shared" si="215"/>
        <v>46.884755652260907</v>
      </c>
      <c r="R431" s="19">
        <f t="shared" si="215"/>
        <v>47.822450765306122</v>
      </c>
      <c r="S431" s="19">
        <f t="shared" si="215"/>
        <v>48.77889978061225</v>
      </c>
      <c r="T431" s="19">
        <f t="shared" si="215"/>
        <v>49.754477776224498</v>
      </c>
      <c r="U431" s="19">
        <f t="shared" si="215"/>
        <v>50.749567331748985</v>
      </c>
      <c r="V431" s="19">
        <f t="shared" si="215"/>
        <v>51.764558678383963</v>
      </c>
      <c r="W431" s="19">
        <f t="shared" si="215"/>
        <v>52.799849851951635</v>
      </c>
      <c r="X431" s="19">
        <f t="shared" si="215"/>
        <v>53.855846848990666</v>
      </c>
      <c r="Y431" s="19">
        <f t="shared" si="215"/>
        <v>54.932963785970479</v>
      </c>
      <c r="Z431" s="19">
        <f t="shared" si="215"/>
        <v>56.031623061689892</v>
      </c>
      <c r="AA431" s="19">
        <f t="shared" si="215"/>
        <v>57.152255522923696</v>
      </c>
      <c r="AB431" s="19">
        <f t="shared" si="215"/>
        <v>58.295300633382169</v>
      </c>
      <c r="AC431" s="19">
        <f t="shared" si="215"/>
        <v>59.461206646049817</v>
      </c>
      <c r="AD431" s="19">
        <f t="shared" si="215"/>
        <v>60.650430778970801</v>
      </c>
      <c r="AE431" s="19">
        <f t="shared" si="215"/>
        <v>61.863439394550227</v>
      </c>
      <c r="AF431" s="19">
        <f t="shared" si="215"/>
        <v>63.100708182441224</v>
      </c>
      <c r="AG431" s="19">
        <f t="shared" si="215"/>
        <v>57.669049888673946</v>
      </c>
      <c r="AH431" s="19">
        <f t="shared" si="215"/>
        <v>104.49942380195294</v>
      </c>
      <c r="AI431" s="19">
        <f t="shared" si="215"/>
        <v>0</v>
      </c>
      <c r="AJ431" s="19">
        <f t="shared" si="215"/>
        <v>0</v>
      </c>
      <c r="AK431" s="19">
        <f t="shared" si="215"/>
        <v>0</v>
      </c>
      <c r="AL431" s="19">
        <f t="shared" si="215"/>
        <v>0</v>
      </c>
      <c r="AM431" s="19">
        <f t="shared" ref="AM431:BD431" si="216">AM388 * $E$421</f>
        <v>0</v>
      </c>
      <c r="AN431" s="19">
        <f t="shared" si="216"/>
        <v>0</v>
      </c>
      <c r="AO431" s="19">
        <f t="shared" si="216"/>
        <v>0</v>
      </c>
      <c r="AP431" s="19">
        <f t="shared" si="216"/>
        <v>0</v>
      </c>
      <c r="AQ431" s="19">
        <f t="shared" si="216"/>
        <v>0</v>
      </c>
      <c r="AR431" s="19">
        <f t="shared" si="216"/>
        <v>0</v>
      </c>
      <c r="AS431" s="19">
        <f t="shared" si="216"/>
        <v>0</v>
      </c>
      <c r="AT431" s="19">
        <f t="shared" si="216"/>
        <v>0</v>
      </c>
      <c r="AU431" s="19">
        <f t="shared" si="216"/>
        <v>0</v>
      </c>
      <c r="AV431" s="19">
        <f t="shared" si="216"/>
        <v>0</v>
      </c>
      <c r="AW431" s="19">
        <f t="shared" si="216"/>
        <v>0</v>
      </c>
      <c r="AX431" s="19">
        <f t="shared" si="216"/>
        <v>0</v>
      </c>
      <c r="AY431" s="19">
        <f t="shared" si="216"/>
        <v>0</v>
      </c>
      <c r="AZ431" s="19">
        <f t="shared" si="216"/>
        <v>0</v>
      </c>
      <c r="BA431" s="19">
        <f t="shared" si="216"/>
        <v>0</v>
      </c>
      <c r="BB431" s="19">
        <f t="shared" si="216"/>
        <v>0</v>
      </c>
      <c r="BC431" s="19">
        <f t="shared" si="216"/>
        <v>0</v>
      </c>
      <c r="BD431" s="19">
        <f t="shared" si="216"/>
        <v>0</v>
      </c>
    </row>
    <row r="432" spans="1:56" ht="15" customHeight="1">
      <c r="A432" s="11"/>
      <c r="C432" s="21">
        <f>SUM(G432:BD432)</f>
        <v>7677.2479565008516</v>
      </c>
      <c r="D432" s="17" t="s">
        <v>297</v>
      </c>
      <c r="E432" s="18" t="s">
        <v>333</v>
      </c>
      <c r="G432" s="19">
        <f t="shared" ref="G432:AL432" si="217">G56 * $E$421</f>
        <v>0</v>
      </c>
      <c r="H432" s="19">
        <f t="shared" si="217"/>
        <v>0</v>
      </c>
      <c r="I432" s="19">
        <f t="shared" si="217"/>
        <v>0</v>
      </c>
      <c r="J432" s="19">
        <f t="shared" si="217"/>
        <v>0</v>
      </c>
      <c r="K432" s="19">
        <f t="shared" si="217"/>
        <v>113.6553768</v>
      </c>
      <c r="L432" s="19">
        <f t="shared" si="217"/>
        <v>270.49979678400001</v>
      </c>
      <c r="M432" s="19">
        <f t="shared" si="217"/>
        <v>275.90979271968001</v>
      </c>
      <c r="N432" s="19">
        <f t="shared" si="217"/>
        <v>281.42798857407354</v>
      </c>
      <c r="O432" s="19">
        <f t="shared" si="217"/>
        <v>287.05654834555503</v>
      </c>
      <c r="P432" s="19">
        <f t="shared" si="217"/>
        <v>292.79767931246613</v>
      </c>
      <c r="Q432" s="19">
        <f t="shared" si="217"/>
        <v>298.6536328987155</v>
      </c>
      <c r="R432" s="19">
        <f t="shared" si="217"/>
        <v>304.62670555668973</v>
      </c>
      <c r="S432" s="19">
        <f t="shared" si="217"/>
        <v>310.71923966782362</v>
      </c>
      <c r="T432" s="19">
        <f t="shared" si="217"/>
        <v>316.93362446118005</v>
      </c>
      <c r="U432" s="19">
        <f t="shared" si="217"/>
        <v>323.2722969504037</v>
      </c>
      <c r="V432" s="19">
        <f t="shared" si="217"/>
        <v>329.73774288941166</v>
      </c>
      <c r="W432" s="19">
        <f t="shared" si="217"/>
        <v>336.33249774719997</v>
      </c>
      <c r="X432" s="19">
        <f t="shared" si="217"/>
        <v>343.059147702144</v>
      </c>
      <c r="Y432" s="19">
        <f t="shared" si="217"/>
        <v>349.92033065618682</v>
      </c>
      <c r="Z432" s="19">
        <f t="shared" si="217"/>
        <v>356.91873726931055</v>
      </c>
      <c r="AA432" s="19">
        <f t="shared" si="217"/>
        <v>364.05711201469677</v>
      </c>
      <c r="AB432" s="19">
        <f t="shared" si="217"/>
        <v>371.33825425499072</v>
      </c>
      <c r="AC432" s="19">
        <f t="shared" si="217"/>
        <v>378.76501934009053</v>
      </c>
      <c r="AD432" s="19">
        <f t="shared" si="217"/>
        <v>386.34031972689229</v>
      </c>
      <c r="AE432" s="19">
        <f t="shared" si="217"/>
        <v>394.06712612143014</v>
      </c>
      <c r="AF432" s="19">
        <f t="shared" si="217"/>
        <v>401.94846864385875</v>
      </c>
      <c r="AG432" s="19">
        <f t="shared" si="217"/>
        <v>409.98743801673595</v>
      </c>
      <c r="AH432" s="19">
        <f t="shared" si="217"/>
        <v>179.22308004731596</v>
      </c>
      <c r="AI432" s="19">
        <f t="shared" si="217"/>
        <v>0</v>
      </c>
      <c r="AJ432" s="19">
        <f t="shared" si="217"/>
        <v>0</v>
      </c>
      <c r="AK432" s="19">
        <f t="shared" si="217"/>
        <v>0</v>
      </c>
      <c r="AL432" s="19">
        <f t="shared" si="217"/>
        <v>0</v>
      </c>
      <c r="AM432" s="19">
        <f t="shared" ref="AM432:BD432" si="218">AM56 * $E$421</f>
        <v>0</v>
      </c>
      <c r="AN432" s="19">
        <f t="shared" si="218"/>
        <v>0</v>
      </c>
      <c r="AO432" s="19">
        <f t="shared" si="218"/>
        <v>0</v>
      </c>
      <c r="AP432" s="19">
        <f t="shared" si="218"/>
        <v>0</v>
      </c>
      <c r="AQ432" s="19">
        <f t="shared" si="218"/>
        <v>0</v>
      </c>
      <c r="AR432" s="19">
        <f t="shared" si="218"/>
        <v>0</v>
      </c>
      <c r="AS432" s="19">
        <f t="shared" si="218"/>
        <v>0</v>
      </c>
      <c r="AT432" s="19">
        <f t="shared" si="218"/>
        <v>0</v>
      </c>
      <c r="AU432" s="19">
        <f t="shared" si="218"/>
        <v>0</v>
      </c>
      <c r="AV432" s="19">
        <f t="shared" si="218"/>
        <v>0</v>
      </c>
      <c r="AW432" s="19">
        <f t="shared" si="218"/>
        <v>0</v>
      </c>
      <c r="AX432" s="19">
        <f t="shared" si="218"/>
        <v>0</v>
      </c>
      <c r="AY432" s="19">
        <f t="shared" si="218"/>
        <v>0</v>
      </c>
      <c r="AZ432" s="19">
        <f t="shared" si="218"/>
        <v>0</v>
      </c>
      <c r="BA432" s="19">
        <f t="shared" si="218"/>
        <v>0</v>
      </c>
      <c r="BB432" s="19">
        <f t="shared" si="218"/>
        <v>0</v>
      </c>
      <c r="BC432" s="19">
        <f t="shared" si="218"/>
        <v>0</v>
      </c>
      <c r="BD432" s="19">
        <f t="shared" si="218"/>
        <v>0</v>
      </c>
    </row>
    <row r="433" spans="1:57" ht="15" customHeight="1">
      <c r="A433" s="11"/>
      <c r="C433" s="21">
        <f>SUM(G433:BD433)</f>
        <v>26.115363092608906</v>
      </c>
      <c r="D433" s="17" t="s">
        <v>501</v>
      </c>
      <c r="E433" s="18" t="s">
        <v>333</v>
      </c>
      <c r="G433" s="19">
        <f t="shared" ref="G433:AL433" si="219">(G66+G78+G79+G80) * $E$421</f>
        <v>0</v>
      </c>
      <c r="H433" s="19">
        <f t="shared" si="219"/>
        <v>0</v>
      </c>
      <c r="I433" s="19">
        <f t="shared" si="219"/>
        <v>0</v>
      </c>
      <c r="J433" s="19">
        <f t="shared" si="219"/>
        <v>0</v>
      </c>
      <c r="K433" s="19">
        <f t="shared" si="219"/>
        <v>0</v>
      </c>
      <c r="L433" s="19">
        <f t="shared" si="219"/>
        <v>0</v>
      </c>
      <c r="M433" s="19">
        <f t="shared" si="219"/>
        <v>0</v>
      </c>
      <c r="N433" s="19">
        <f t="shared" si="219"/>
        <v>0</v>
      </c>
      <c r="O433" s="19">
        <f t="shared" si="219"/>
        <v>0</v>
      </c>
      <c r="P433" s="19">
        <f t="shared" si="219"/>
        <v>0</v>
      </c>
      <c r="Q433" s="19">
        <f t="shared" si="219"/>
        <v>0</v>
      </c>
      <c r="R433" s="19">
        <f t="shared" si="219"/>
        <v>0</v>
      </c>
      <c r="S433" s="19">
        <f t="shared" si="219"/>
        <v>0</v>
      </c>
      <c r="T433" s="19">
        <f t="shared" si="219"/>
        <v>0</v>
      </c>
      <c r="U433" s="19">
        <f t="shared" si="219"/>
        <v>0</v>
      </c>
      <c r="V433" s="19">
        <f t="shared" si="219"/>
        <v>0</v>
      </c>
      <c r="W433" s="19">
        <f t="shared" si="219"/>
        <v>0</v>
      </c>
      <c r="X433" s="19">
        <f t="shared" si="219"/>
        <v>0</v>
      </c>
      <c r="Y433" s="19">
        <f t="shared" si="219"/>
        <v>2.2722099393258888</v>
      </c>
      <c r="Z433" s="19">
        <f t="shared" si="219"/>
        <v>2.3230458227141964</v>
      </c>
      <c r="AA433" s="19">
        <f t="shared" si="219"/>
        <v>2.3818785816047425</v>
      </c>
      <c r="AB433" s="19">
        <f t="shared" si="219"/>
        <v>2.4512227934170654</v>
      </c>
      <c r="AC433" s="19">
        <f t="shared" si="219"/>
        <v>2.5349833018956347</v>
      </c>
      <c r="AD433" s="19">
        <f t="shared" si="219"/>
        <v>2.6397109570127104</v>
      </c>
      <c r="AE433" s="19">
        <f t="shared" si="219"/>
        <v>2.7776896426294577</v>
      </c>
      <c r="AF433" s="19">
        <f t="shared" si="219"/>
        <v>2.9763789499175735</v>
      </c>
      <c r="AG433" s="19">
        <f t="shared" si="219"/>
        <v>3.3209062087551691</v>
      </c>
      <c r="AH433" s="19">
        <f t="shared" si="219"/>
        <v>1.9252709523441318</v>
      </c>
      <c r="AI433" s="19">
        <f t="shared" si="219"/>
        <v>0.51206594299233643</v>
      </c>
      <c r="AJ433" s="19">
        <f t="shared" si="219"/>
        <v>0</v>
      </c>
      <c r="AK433" s="19">
        <f t="shared" si="219"/>
        <v>0</v>
      </c>
      <c r="AL433" s="19">
        <f t="shared" si="219"/>
        <v>0</v>
      </c>
      <c r="AM433" s="19">
        <f t="shared" ref="AM433:BD433" si="220">(AM66+AM78+AM79+AM80) * $E$421</f>
        <v>0</v>
      </c>
      <c r="AN433" s="19">
        <f t="shared" si="220"/>
        <v>0</v>
      </c>
      <c r="AO433" s="19">
        <f t="shared" si="220"/>
        <v>0</v>
      </c>
      <c r="AP433" s="19">
        <f t="shared" si="220"/>
        <v>0</v>
      </c>
      <c r="AQ433" s="19">
        <f t="shared" si="220"/>
        <v>0</v>
      </c>
      <c r="AR433" s="19">
        <f t="shared" si="220"/>
        <v>0</v>
      </c>
      <c r="AS433" s="19">
        <f t="shared" si="220"/>
        <v>0</v>
      </c>
      <c r="AT433" s="19">
        <f t="shared" si="220"/>
        <v>0</v>
      </c>
      <c r="AU433" s="19">
        <f t="shared" si="220"/>
        <v>0</v>
      </c>
      <c r="AV433" s="19">
        <f t="shared" si="220"/>
        <v>0</v>
      </c>
      <c r="AW433" s="19">
        <f t="shared" si="220"/>
        <v>0</v>
      </c>
      <c r="AX433" s="19">
        <f t="shared" si="220"/>
        <v>0</v>
      </c>
      <c r="AY433" s="19">
        <f t="shared" si="220"/>
        <v>0</v>
      </c>
      <c r="AZ433" s="19">
        <f t="shared" si="220"/>
        <v>0</v>
      </c>
      <c r="BA433" s="19">
        <f t="shared" si="220"/>
        <v>0</v>
      </c>
      <c r="BB433" s="19">
        <f t="shared" si="220"/>
        <v>0</v>
      </c>
      <c r="BC433" s="19">
        <f t="shared" si="220"/>
        <v>0</v>
      </c>
      <c r="BD433" s="19">
        <f t="shared" si="220"/>
        <v>0</v>
      </c>
    </row>
    <row r="434" spans="1:57" ht="15" customHeight="1">
      <c r="A434" s="11"/>
      <c r="C434" s="21">
        <f t="shared" si="210"/>
        <v>50.248823040000005</v>
      </c>
      <c r="D434" s="11" t="s">
        <v>502</v>
      </c>
      <c r="E434" s="18" t="s">
        <v>333</v>
      </c>
      <c r="G434" s="19">
        <f>IF($E$423 = 1, G96, G96 * (1 - Inputs!$E$196)) * $E$421</f>
        <v>0</v>
      </c>
      <c r="H434" s="19">
        <f>IF($E$423 = 1, H96, H96 * (1 - Inputs!$E$196)) * $E$421</f>
        <v>0</v>
      </c>
      <c r="I434" s="19">
        <f>IF($E$423 = 1, I96, I96 * (1 - Inputs!$E$196)) * $E$421</f>
        <v>0</v>
      </c>
      <c r="J434" s="19">
        <f>IF($E$423 = 1, J96, J96 * (1 - Inputs!$E$196)) * $E$421</f>
        <v>0</v>
      </c>
      <c r="K434" s="19">
        <f>IF($E$423 = 1, K96, K96 * (1 - Inputs!$E$196)) * $E$421</f>
        <v>16.74960768</v>
      </c>
      <c r="L434" s="19">
        <f>IF($E$423 = 1, L96, L96 * (1 - Inputs!$E$196)) * $E$421</f>
        <v>13.399686144</v>
      </c>
      <c r="M434" s="19">
        <f>IF($E$423 = 1, M96, M96 * (1 - Inputs!$E$196)) * $E$421</f>
        <v>10.049764608000002</v>
      </c>
      <c r="N434" s="19">
        <f>IF($E$423 = 1, N96, N96 * (1 - Inputs!$E$196)) * $E$421</f>
        <v>6.6998430720000011</v>
      </c>
      <c r="O434" s="19">
        <f>IF($E$423 = 1, O96, O96 * (1 - Inputs!$E$196)) * $E$421</f>
        <v>3.3499215360000005</v>
      </c>
      <c r="P434" s="19">
        <f>IF($E$423 = 1, P96, P96 * (1 - Inputs!$E$196)) * $E$421</f>
        <v>0</v>
      </c>
      <c r="Q434" s="19">
        <f>IF($E$423 = 1, Q96, Q96 * (1 - Inputs!$E$196)) * $E$421</f>
        <v>0</v>
      </c>
      <c r="R434" s="19">
        <f>IF($E$423 = 1, R96, R96 * (1 - Inputs!$E$196)) * $E$421</f>
        <v>0</v>
      </c>
      <c r="S434" s="19">
        <f>IF($E$423 = 1, S96, S96 * (1 - Inputs!$E$196)) * $E$421</f>
        <v>0</v>
      </c>
      <c r="T434" s="19">
        <f>IF($E$423 = 1, T96, T96 * (1 - Inputs!$E$196)) * $E$421</f>
        <v>0</v>
      </c>
      <c r="U434" s="19">
        <f>IF($E$423 = 1, U96, U96 * (1 - Inputs!$E$196)) * $E$421</f>
        <v>0</v>
      </c>
      <c r="V434" s="19">
        <f>IF($E$423 = 1, V96, V96 * (1 - Inputs!$E$196)) * $E$421</f>
        <v>0</v>
      </c>
      <c r="W434" s="19">
        <f>IF($E$423 = 1, W96, W96 * (1 - Inputs!$E$196)) * $E$421</f>
        <v>0</v>
      </c>
      <c r="X434" s="19">
        <f>IF($E$423 = 1, X96, X96 * (1 - Inputs!$E$196)) * $E$421</f>
        <v>0</v>
      </c>
      <c r="Y434" s="19">
        <f>IF($E$423 = 1, Y96, Y96 * (1 - Inputs!$E$196)) * $E$421</f>
        <v>0</v>
      </c>
      <c r="Z434" s="19">
        <f>IF($E$423 = 1, Z96, Z96 * (1 - Inputs!$E$196)) * $E$421</f>
        <v>0</v>
      </c>
      <c r="AA434" s="19">
        <f>IF($E$423 = 1, AA96, AA96 * (1 - Inputs!$E$196)) * $E$421</f>
        <v>0</v>
      </c>
      <c r="AB434" s="19">
        <f>IF($E$423 = 1, AB96, AB96 * (1 - Inputs!$E$196)) * $E$421</f>
        <v>0</v>
      </c>
      <c r="AC434" s="19">
        <f>IF($E$423 = 1, AC96, AC96 * (1 - Inputs!$E$196)) * $E$421</f>
        <v>0</v>
      </c>
      <c r="AD434" s="19">
        <f>IF($E$423 = 1, AD96, AD96 * (1 - Inputs!$E$196)) * $E$421</f>
        <v>0</v>
      </c>
      <c r="AE434" s="19">
        <f>IF($E$423 = 1, AE96, AE96 * (1 - Inputs!$E$196)) * $E$421</f>
        <v>0</v>
      </c>
      <c r="AF434" s="19">
        <f>IF($E$423 = 1, AF96, AF96 * (1 - Inputs!$E$196)) * $E$421</f>
        <v>0</v>
      </c>
      <c r="AG434" s="19">
        <f>IF($E$423 = 1, AG96, AG96 * (1 - Inputs!$E$196)) * $E$421</f>
        <v>0</v>
      </c>
      <c r="AH434" s="19">
        <f>IF($E$423 = 1, AH96, AH96 * (1 - Inputs!$E$196)) * $E$421</f>
        <v>0</v>
      </c>
      <c r="AI434" s="19">
        <f>IF($E$423 = 1, AI96, AI96 * (1 - Inputs!$E$196)) * $E$421</f>
        <v>0</v>
      </c>
      <c r="AJ434" s="19">
        <f>IF($E$423 = 1, AJ96, AJ96 * (1 - Inputs!$E$196)) * $E$421</f>
        <v>0</v>
      </c>
      <c r="AK434" s="19">
        <f>IF($E$423 = 1, AK96, AK96 * (1 - Inputs!$E$196)) * $E$421</f>
        <v>0</v>
      </c>
      <c r="AL434" s="19">
        <f>IF($E$423 = 1, AL96, AL96 * (1 - Inputs!$E$196)) * $E$421</f>
        <v>0</v>
      </c>
      <c r="AM434" s="19">
        <f>IF($E$423 = 1, AM96, AM96 * (1 - Inputs!$E$196)) * $E$421</f>
        <v>0</v>
      </c>
      <c r="AN434" s="19">
        <f>IF($E$423 = 1, AN96, AN96 * (1 - Inputs!$E$196)) * $E$421</f>
        <v>0</v>
      </c>
      <c r="AO434" s="19">
        <f>IF($E$423 = 1, AO96, AO96 * (1 - Inputs!$E$196)) * $E$421</f>
        <v>0</v>
      </c>
      <c r="AP434" s="19">
        <f>IF($E$423 = 1, AP96, AP96 * (1 - Inputs!$E$196)) * $E$421</f>
        <v>0</v>
      </c>
      <c r="AQ434" s="19">
        <f>IF($E$423 = 1, AQ96, AQ96 * (1 - Inputs!$E$196)) * $E$421</f>
        <v>0</v>
      </c>
      <c r="AR434" s="19">
        <f>IF($E$423 = 1, AR96, AR96 * (1 - Inputs!$E$196)) * $E$421</f>
        <v>0</v>
      </c>
      <c r="AS434" s="19">
        <f>IF($E$423 = 1, AS96, AS96 * (1 - Inputs!$E$196)) * $E$421</f>
        <v>0</v>
      </c>
      <c r="AT434" s="19">
        <f>IF($E$423 = 1, AT96, AT96 * (1 - Inputs!$E$196)) * $E$421</f>
        <v>0</v>
      </c>
      <c r="AU434" s="19">
        <f>IF($E$423 = 1, AU96, AU96 * (1 - Inputs!$E$196)) * $E$421</f>
        <v>0</v>
      </c>
      <c r="AV434" s="19">
        <f>IF($E$423 = 1, AV96, AV96 * (1 - Inputs!$E$196)) * $E$421</f>
        <v>0</v>
      </c>
      <c r="AW434" s="19">
        <f>IF($E$423 = 1, AW96, AW96 * (1 - Inputs!$E$196)) * $E$421</f>
        <v>0</v>
      </c>
      <c r="AX434" s="19">
        <f>IF($E$423 = 1, AX96, AX96 * (1 - Inputs!$E$196)) * $E$421</f>
        <v>0</v>
      </c>
      <c r="AY434" s="19">
        <f>IF($E$423 = 1, AY96, AY96 * (1 - Inputs!$E$196)) * $E$421</f>
        <v>0</v>
      </c>
      <c r="AZ434" s="19">
        <f>IF($E$423 = 1, AZ96, AZ96 * (1 - Inputs!$E$196)) * $E$421</f>
        <v>0</v>
      </c>
      <c r="BA434" s="19">
        <f>IF($E$423 = 1, BA96, BA96 * (1 - Inputs!$E$196)) * $E$421</f>
        <v>0</v>
      </c>
      <c r="BB434" s="19">
        <f>IF($E$423 = 1, BB96, BB96 * (1 - Inputs!$E$196)) * $E$421</f>
        <v>0</v>
      </c>
      <c r="BC434" s="19">
        <f>IF($E$423 = 1, BC96, BC96 * (1 - Inputs!$E$196)) * $E$421</f>
        <v>0</v>
      </c>
      <c r="BD434" s="19">
        <f>IF($E$423 = 1, BD96, BD96 * (1 - Inputs!$E$196)) * $E$421</f>
        <v>0</v>
      </c>
    </row>
    <row r="435" spans="1:57" ht="15" customHeight="1">
      <c r="A435" s="11"/>
      <c r="C435" s="21">
        <f t="shared" si="210"/>
        <v>0</v>
      </c>
      <c r="D435" s="11" t="s">
        <v>507</v>
      </c>
      <c r="E435" s="18" t="s">
        <v>333</v>
      </c>
      <c r="G435" s="19">
        <f>IF(AND(Inputs!$E$41&gt;0,$C$319&gt;0),G318,0)</f>
        <v>0</v>
      </c>
      <c r="H435" s="19">
        <f>IF(AND(Inputs!$E$41&gt;0,$C$319&gt;0),H318,0)</f>
        <v>0</v>
      </c>
      <c r="I435" s="19">
        <f>IF(AND(Inputs!$E$41&gt;0,$C$319&gt;0),I318,0)</f>
        <v>0</v>
      </c>
      <c r="J435" s="19">
        <f>IF(AND(Inputs!$E$41&gt;0,$C$319&gt;0),J318,0)</f>
        <v>0</v>
      </c>
      <c r="K435" s="19">
        <f>IF(AND(Inputs!$E$41&gt;0,$C$319&gt;0),K318,0)</f>
        <v>0</v>
      </c>
      <c r="L435" s="19">
        <f>IF(AND(Inputs!$E$41&gt;0,$C$319&gt;0),L318,0)</f>
        <v>0</v>
      </c>
      <c r="M435" s="19">
        <f>IF(AND(Inputs!$E$41&gt;0,$C$319&gt;0),M318,0)</f>
        <v>0</v>
      </c>
      <c r="N435" s="19">
        <f>IF(AND(Inputs!$E$41&gt;0,$C$319&gt;0),N318,0)</f>
        <v>0</v>
      </c>
      <c r="O435" s="19">
        <f>IF(AND(Inputs!$E$41&gt;0,$C$319&gt;0),O318,0)</f>
        <v>0</v>
      </c>
      <c r="P435" s="19">
        <f>IF(AND(Inputs!$E$41&gt;0,$C$319&gt;0),P318,0)</f>
        <v>0</v>
      </c>
      <c r="Q435" s="19">
        <f>IF(AND(Inputs!$E$41&gt;0,$C$319&gt;0),Q318,0)</f>
        <v>0</v>
      </c>
      <c r="R435" s="19">
        <f>IF(AND(Inputs!$E$41&gt;0,$C$319&gt;0),R318,0)</f>
        <v>0</v>
      </c>
      <c r="S435" s="19">
        <f>IF(AND(Inputs!$E$41&gt;0,$C$319&gt;0),S318,0)</f>
        <v>0</v>
      </c>
      <c r="T435" s="19">
        <f>IF(AND(Inputs!$E$41&gt;0,$C$319&gt;0),T318,0)</f>
        <v>0</v>
      </c>
      <c r="U435" s="19">
        <f>IF(AND(Inputs!$E$41&gt;0,$C$319&gt;0),U318,0)</f>
        <v>0</v>
      </c>
      <c r="V435" s="19">
        <f>IF(AND(Inputs!$E$41&gt;0,$C$319&gt;0),V318,0)</f>
        <v>0</v>
      </c>
      <c r="W435" s="19">
        <f>IF(AND(Inputs!$E$41&gt;0,$C$319&gt;0),W318,0)</f>
        <v>0</v>
      </c>
      <c r="X435" s="19">
        <f>IF(AND(Inputs!$E$41&gt;0,$C$319&gt;0),X318,0)</f>
        <v>0</v>
      </c>
      <c r="Y435" s="19">
        <f>IF(AND(Inputs!$E$41&gt;0,$C$319&gt;0),Y318,0)</f>
        <v>0</v>
      </c>
      <c r="Z435" s="19">
        <f>IF(AND(Inputs!$E$41&gt;0,$C$319&gt;0),Z318,0)</f>
        <v>0</v>
      </c>
      <c r="AA435" s="19">
        <f>IF(AND(Inputs!$E$41&gt;0,$C$319&gt;0),AA318,0)</f>
        <v>0</v>
      </c>
      <c r="AB435" s="19">
        <f>IF(AND(Inputs!$E$41&gt;0,$C$319&gt;0),AB318,0)</f>
        <v>0</v>
      </c>
      <c r="AC435" s="19">
        <f>IF(AND(Inputs!$E$41&gt;0,$C$319&gt;0),AC318,0)</f>
        <v>0</v>
      </c>
      <c r="AD435" s="19">
        <f>IF(AND(Inputs!$E$41&gt;0,$C$319&gt;0),AD318,0)</f>
        <v>0</v>
      </c>
      <c r="AE435" s="19">
        <f>IF(AND(Inputs!$E$41&gt;0,$C$319&gt;0),AE318,0)</f>
        <v>0</v>
      </c>
      <c r="AF435" s="19">
        <f>IF(AND(Inputs!$E$41&gt;0,$C$319&gt;0),AF318,0)</f>
        <v>0</v>
      </c>
      <c r="AG435" s="19">
        <f>IF(AND(Inputs!$E$41&gt;0,$C$319&gt;0),AG318,0)</f>
        <v>0</v>
      </c>
      <c r="AH435" s="19">
        <f>IF(AND(Inputs!$E$41&gt;0,$C$319&gt;0),AH318,0)</f>
        <v>0</v>
      </c>
      <c r="AI435" s="19">
        <f>IF(AND(Inputs!$E$41&gt;0,$C$319&gt;0),AI318,0)</f>
        <v>0</v>
      </c>
      <c r="AJ435" s="19">
        <f>IF(AND(Inputs!$E$41&gt;0,$C$319&gt;0),AJ318,0)</f>
        <v>0</v>
      </c>
      <c r="AK435" s="19">
        <f>IF(AND(Inputs!$E$41&gt;0,$C$319&gt;0),AK318,0)</f>
        <v>0</v>
      </c>
      <c r="AL435" s="19">
        <f>IF(AND(Inputs!$E$41&gt;0,$C$319&gt;0),AL318,0)</f>
        <v>0</v>
      </c>
      <c r="AM435" s="19">
        <f>IF(AND(Inputs!$E$41&gt;0,$C$319&gt;0),AM318,0)</f>
        <v>0</v>
      </c>
      <c r="AN435" s="19">
        <f>IF(AND(Inputs!$E$41&gt;0,$C$319&gt;0),AN318,0)</f>
        <v>0</v>
      </c>
      <c r="AO435" s="19">
        <f>IF(AND(Inputs!$E$41&gt;0,$C$319&gt;0),AO318,0)</f>
        <v>0</v>
      </c>
      <c r="AP435" s="19">
        <f>IF(AND(Inputs!$E$41&gt;0,$C$319&gt;0),AP318,0)</f>
        <v>0</v>
      </c>
      <c r="AQ435" s="19">
        <f>IF(AND(Inputs!$E$41&gt;0,$C$319&gt;0),AQ318,0)</f>
        <v>0</v>
      </c>
      <c r="AR435" s="19">
        <f>IF(AND(Inputs!$E$41&gt;0,$C$319&gt;0),AR318,0)</f>
        <v>0</v>
      </c>
      <c r="AS435" s="19">
        <f>IF(AND(Inputs!$E$41&gt;0,$C$319&gt;0),AS318,0)</f>
        <v>0</v>
      </c>
      <c r="AT435" s="19">
        <f>IF(AND(Inputs!$E$41&gt;0,$C$319&gt;0),AT318,0)</f>
        <v>0</v>
      </c>
      <c r="AU435" s="19">
        <f>IF(AND(Inputs!$E$41&gt;0,$C$319&gt;0),AU318,0)</f>
        <v>0</v>
      </c>
      <c r="AV435" s="19">
        <f>IF(AND(Inputs!$E$41&gt;0,$C$319&gt;0),AV318,0)</f>
        <v>0</v>
      </c>
      <c r="AW435" s="19">
        <f>IF(AND(Inputs!$E$41&gt;0,$C$319&gt;0),AW318,0)</f>
        <v>0</v>
      </c>
      <c r="AX435" s="19">
        <f>IF(AND(Inputs!$E$41&gt;0,$C$319&gt;0),AX318,0)</f>
        <v>0</v>
      </c>
      <c r="AY435" s="19">
        <f>IF(AND(Inputs!$E$41&gt;0,$C$319&gt;0),AY318,0)</f>
        <v>0</v>
      </c>
      <c r="AZ435" s="19">
        <f>IF(AND(Inputs!$E$41&gt;0,$C$319&gt;0),AZ318,0)</f>
        <v>0</v>
      </c>
      <c r="BA435" s="19">
        <f>IF(AND(Inputs!$E$41&gt;0,$C$319&gt;0),BA318,0)</f>
        <v>0</v>
      </c>
      <c r="BB435" s="19">
        <f>IF(AND(Inputs!$E$41&gt;0,$C$319&gt;0),BB318,0)</f>
        <v>0</v>
      </c>
      <c r="BC435" s="19">
        <f>IF(AND(Inputs!$E$41&gt;0,$C$319&gt;0),BC318,0)</f>
        <v>0</v>
      </c>
      <c r="BD435" s="19">
        <f>IF(AND(Inputs!$E$41&gt;0,$C$319&gt;0),BD318,0)</f>
        <v>0</v>
      </c>
    </row>
    <row r="436" spans="1:57" ht="15" customHeight="1">
      <c r="A436" s="11"/>
      <c r="C436" s="21">
        <f>SUM(G436:BD436)</f>
        <v>6510.073961371525</v>
      </c>
      <c r="D436" s="11" t="s">
        <v>508</v>
      </c>
      <c r="E436" s="18" t="s">
        <v>333</v>
      </c>
      <c r="G436" s="19">
        <f>G427-SUM(G428:G435)</f>
        <v>0</v>
      </c>
      <c r="H436" s="19">
        <f t="shared" ref="H436:BD436" si="221">H427-SUM(H428:H435)</f>
        <v>0</v>
      </c>
      <c r="I436" s="19">
        <f t="shared" si="221"/>
        <v>-2.9261250000000003</v>
      </c>
      <c r="J436" s="19">
        <f t="shared" si="221"/>
        <v>-11.93859</v>
      </c>
      <c r="K436" s="19">
        <f t="shared" si="221"/>
        <v>-32.003151124399949</v>
      </c>
      <c r="L436" s="19">
        <f t="shared" si="221"/>
        <v>175.0162912109281</v>
      </c>
      <c r="M436" s="19">
        <f t="shared" si="221"/>
        <v>175.21218511642661</v>
      </c>
      <c r="N436" s="19">
        <f t="shared" si="221"/>
        <v>175.34499846931504</v>
      </c>
      <c r="O436" s="19">
        <f t="shared" si="221"/>
        <v>175.41346965854143</v>
      </c>
      <c r="P436" s="19">
        <f t="shared" si="221"/>
        <v>270.93127424083229</v>
      </c>
      <c r="Q436" s="19">
        <f t="shared" si="221"/>
        <v>276.34989972564892</v>
      </c>
      <c r="R436" s="19">
        <f t="shared" si="221"/>
        <v>281.87689772016176</v>
      </c>
      <c r="S436" s="19">
        <f t="shared" si="221"/>
        <v>287.51443567456511</v>
      </c>
      <c r="T436" s="19">
        <f t="shared" si="221"/>
        <v>293.26472438805644</v>
      </c>
      <c r="U436" s="19">
        <f t="shared" si="221"/>
        <v>299.13001887581754</v>
      </c>
      <c r="V436" s="19">
        <f t="shared" si="221"/>
        <v>305.11261925333383</v>
      </c>
      <c r="W436" s="19">
        <f t="shared" si="221"/>
        <v>311.21487163840061</v>
      </c>
      <c r="X436" s="19">
        <f t="shared" si="221"/>
        <v>317.43916907116864</v>
      </c>
      <c r="Y436" s="19">
        <f t="shared" si="221"/>
        <v>321.5157425132661</v>
      </c>
      <c r="Z436" s="19">
        <f t="shared" si="221"/>
        <v>327.94066567892958</v>
      </c>
      <c r="AA436" s="19">
        <f t="shared" si="221"/>
        <v>334.48710715007195</v>
      </c>
      <c r="AB436" s="19">
        <f t="shared" si="221"/>
        <v>341.15514265289318</v>
      </c>
      <c r="AC436" s="19">
        <f t="shared" si="221"/>
        <v>347.94350945334077</v>
      </c>
      <c r="AD436" s="19">
        <f t="shared" si="221"/>
        <v>350.98494845605921</v>
      </c>
      <c r="AE436" s="19">
        <f t="shared" si="221"/>
        <v>357.91946295870412</v>
      </c>
      <c r="AF436" s="19">
        <f t="shared" si="221"/>
        <v>364.93471670344263</v>
      </c>
      <c r="AG436" s="19">
        <f t="shared" si="221"/>
        <v>379.8971474008539</v>
      </c>
      <c r="AH436" s="19">
        <f t="shared" si="221"/>
        <v>86.854595428158405</v>
      </c>
      <c r="AI436" s="19">
        <f t="shared" si="221"/>
        <v>-0.51206594299233643</v>
      </c>
      <c r="AJ436" s="19">
        <f t="shared" si="221"/>
        <v>0</v>
      </c>
      <c r="AK436" s="19">
        <f t="shared" si="221"/>
        <v>0</v>
      </c>
      <c r="AL436" s="19">
        <f t="shared" si="221"/>
        <v>0</v>
      </c>
      <c r="AM436" s="19">
        <f t="shared" si="221"/>
        <v>0</v>
      </c>
      <c r="AN436" s="19">
        <f t="shared" si="221"/>
        <v>0</v>
      </c>
      <c r="AO436" s="19">
        <f t="shared" si="221"/>
        <v>0</v>
      </c>
      <c r="AP436" s="19">
        <f t="shared" si="221"/>
        <v>0</v>
      </c>
      <c r="AQ436" s="19">
        <f t="shared" si="221"/>
        <v>0</v>
      </c>
      <c r="AR436" s="19">
        <f t="shared" si="221"/>
        <v>0</v>
      </c>
      <c r="AS436" s="19">
        <f t="shared" si="221"/>
        <v>0</v>
      </c>
      <c r="AT436" s="19">
        <f t="shared" si="221"/>
        <v>0</v>
      </c>
      <c r="AU436" s="19">
        <f t="shared" si="221"/>
        <v>0</v>
      </c>
      <c r="AV436" s="19">
        <f t="shared" si="221"/>
        <v>0</v>
      </c>
      <c r="AW436" s="19">
        <f t="shared" si="221"/>
        <v>0</v>
      </c>
      <c r="AX436" s="19">
        <f t="shared" si="221"/>
        <v>0</v>
      </c>
      <c r="AY436" s="19">
        <f t="shared" si="221"/>
        <v>0</v>
      </c>
      <c r="AZ436" s="19">
        <f t="shared" si="221"/>
        <v>0</v>
      </c>
      <c r="BA436" s="19">
        <f t="shared" si="221"/>
        <v>0</v>
      </c>
      <c r="BB436" s="19">
        <f t="shared" si="221"/>
        <v>0</v>
      </c>
      <c r="BC436" s="19">
        <f t="shared" si="221"/>
        <v>0</v>
      </c>
      <c r="BD436" s="19">
        <f t="shared" si="221"/>
        <v>0</v>
      </c>
    </row>
    <row r="437" spans="1:57" ht="15" customHeight="1">
      <c r="A437" s="11"/>
      <c r="C437" s="21">
        <f>SUM(G437:BD437)</f>
        <v>-46.867866124399953</v>
      </c>
      <c r="D437" s="158" t="s">
        <v>509</v>
      </c>
      <c r="E437" s="159" t="s">
        <v>333</v>
      </c>
      <c r="F437" s="132"/>
      <c r="G437" s="53">
        <f>-G449</f>
        <v>0</v>
      </c>
      <c r="H437" s="53">
        <f t="shared" ref="H437:BD437" si="222">-H449</f>
        <v>0</v>
      </c>
      <c r="I437" s="53">
        <f t="shared" si="222"/>
        <v>0</v>
      </c>
      <c r="J437" s="53">
        <f t="shared" si="222"/>
        <v>0</v>
      </c>
      <c r="K437" s="53">
        <f t="shared" si="222"/>
        <v>0</v>
      </c>
      <c r="L437" s="53">
        <f t="shared" si="222"/>
        <v>-46.867866124399953</v>
      </c>
      <c r="M437" s="53">
        <f t="shared" si="222"/>
        <v>0</v>
      </c>
      <c r="N437" s="53">
        <f t="shared" si="222"/>
        <v>0</v>
      </c>
      <c r="O437" s="53">
        <f t="shared" si="222"/>
        <v>0</v>
      </c>
      <c r="P437" s="53">
        <f t="shared" si="222"/>
        <v>0</v>
      </c>
      <c r="Q437" s="53">
        <f t="shared" si="222"/>
        <v>0</v>
      </c>
      <c r="R437" s="53">
        <f t="shared" si="222"/>
        <v>0</v>
      </c>
      <c r="S437" s="53">
        <f t="shared" si="222"/>
        <v>0</v>
      </c>
      <c r="T437" s="53">
        <f t="shared" si="222"/>
        <v>0</v>
      </c>
      <c r="U437" s="53">
        <f t="shared" si="222"/>
        <v>0</v>
      </c>
      <c r="V437" s="53">
        <f t="shared" si="222"/>
        <v>0</v>
      </c>
      <c r="W437" s="53">
        <f t="shared" si="222"/>
        <v>0</v>
      </c>
      <c r="X437" s="53">
        <f t="shared" si="222"/>
        <v>0</v>
      </c>
      <c r="Y437" s="53">
        <f t="shared" si="222"/>
        <v>0</v>
      </c>
      <c r="Z437" s="53">
        <f t="shared" si="222"/>
        <v>0</v>
      </c>
      <c r="AA437" s="53">
        <f t="shared" si="222"/>
        <v>0</v>
      </c>
      <c r="AB437" s="53">
        <f t="shared" si="222"/>
        <v>0</v>
      </c>
      <c r="AC437" s="53">
        <f t="shared" si="222"/>
        <v>0</v>
      </c>
      <c r="AD437" s="53">
        <f t="shared" si="222"/>
        <v>0</v>
      </c>
      <c r="AE437" s="53">
        <f t="shared" si="222"/>
        <v>0</v>
      </c>
      <c r="AF437" s="53">
        <f t="shared" si="222"/>
        <v>0</v>
      </c>
      <c r="AG437" s="53">
        <f t="shared" si="222"/>
        <v>0</v>
      </c>
      <c r="AH437" s="53">
        <f t="shared" si="222"/>
        <v>0</v>
      </c>
      <c r="AI437" s="53">
        <f t="shared" si="222"/>
        <v>0</v>
      </c>
      <c r="AJ437" s="53">
        <f t="shared" si="222"/>
        <v>0</v>
      </c>
      <c r="AK437" s="53">
        <f t="shared" si="222"/>
        <v>0</v>
      </c>
      <c r="AL437" s="53">
        <f t="shared" si="222"/>
        <v>0</v>
      </c>
      <c r="AM437" s="53">
        <f t="shared" si="222"/>
        <v>0</v>
      </c>
      <c r="AN437" s="53">
        <f t="shared" si="222"/>
        <v>0</v>
      </c>
      <c r="AO437" s="53">
        <f t="shared" si="222"/>
        <v>0</v>
      </c>
      <c r="AP437" s="53">
        <f t="shared" si="222"/>
        <v>0</v>
      </c>
      <c r="AQ437" s="53">
        <f t="shared" si="222"/>
        <v>0</v>
      </c>
      <c r="AR437" s="53">
        <f t="shared" si="222"/>
        <v>0</v>
      </c>
      <c r="AS437" s="53">
        <f t="shared" si="222"/>
        <v>0</v>
      </c>
      <c r="AT437" s="53">
        <f t="shared" si="222"/>
        <v>0</v>
      </c>
      <c r="AU437" s="53">
        <f t="shared" si="222"/>
        <v>0</v>
      </c>
      <c r="AV437" s="53">
        <f t="shared" si="222"/>
        <v>0</v>
      </c>
      <c r="AW437" s="53">
        <f t="shared" si="222"/>
        <v>0</v>
      </c>
      <c r="AX437" s="53">
        <f t="shared" si="222"/>
        <v>0</v>
      </c>
      <c r="AY437" s="53">
        <f t="shared" si="222"/>
        <v>0</v>
      </c>
      <c r="AZ437" s="53">
        <f t="shared" si="222"/>
        <v>0</v>
      </c>
      <c r="BA437" s="53">
        <f t="shared" si="222"/>
        <v>0</v>
      </c>
      <c r="BB437" s="53">
        <f t="shared" si="222"/>
        <v>0</v>
      </c>
      <c r="BC437" s="53">
        <f t="shared" si="222"/>
        <v>0</v>
      </c>
      <c r="BD437" s="53">
        <f t="shared" si="222"/>
        <v>0</v>
      </c>
      <c r="BE437" s="132"/>
    </row>
    <row r="438" spans="1:57" ht="15" customHeight="1">
      <c r="A438" s="11"/>
      <c r="C438" s="21">
        <f>SUM(G438:BD438)</f>
        <v>6463.2060952471238</v>
      </c>
      <c r="D438" s="11" t="s">
        <v>510</v>
      </c>
      <c r="E438" s="18" t="s">
        <v>333</v>
      </c>
      <c r="G438" s="19">
        <f>SUM(G436:G437)</f>
        <v>0</v>
      </c>
      <c r="H438" s="19">
        <f t="shared" ref="H438:BD438" si="223">SUM(H436:H437)</f>
        <v>0</v>
      </c>
      <c r="I438" s="19">
        <f t="shared" si="223"/>
        <v>-2.9261250000000003</v>
      </c>
      <c r="J438" s="19">
        <f t="shared" si="223"/>
        <v>-11.93859</v>
      </c>
      <c r="K438" s="19">
        <f t="shared" si="223"/>
        <v>-32.003151124399949</v>
      </c>
      <c r="L438" s="19">
        <f t="shared" si="223"/>
        <v>128.14842508652816</v>
      </c>
      <c r="M438" s="19">
        <f t="shared" si="223"/>
        <v>175.21218511642661</v>
      </c>
      <c r="N438" s="19">
        <f t="shared" si="223"/>
        <v>175.34499846931504</v>
      </c>
      <c r="O438" s="19">
        <f t="shared" si="223"/>
        <v>175.41346965854143</v>
      </c>
      <c r="P438" s="19">
        <f t="shared" si="223"/>
        <v>270.93127424083229</v>
      </c>
      <c r="Q438" s="19">
        <f t="shared" si="223"/>
        <v>276.34989972564892</v>
      </c>
      <c r="R438" s="19">
        <f t="shared" si="223"/>
        <v>281.87689772016176</v>
      </c>
      <c r="S438" s="19">
        <f t="shared" si="223"/>
        <v>287.51443567456511</v>
      </c>
      <c r="T438" s="19">
        <f t="shared" si="223"/>
        <v>293.26472438805644</v>
      </c>
      <c r="U438" s="19">
        <f t="shared" si="223"/>
        <v>299.13001887581754</v>
      </c>
      <c r="V438" s="19">
        <f t="shared" si="223"/>
        <v>305.11261925333383</v>
      </c>
      <c r="W438" s="19">
        <f t="shared" si="223"/>
        <v>311.21487163840061</v>
      </c>
      <c r="X438" s="19">
        <f t="shared" si="223"/>
        <v>317.43916907116864</v>
      </c>
      <c r="Y438" s="19">
        <f t="shared" si="223"/>
        <v>321.5157425132661</v>
      </c>
      <c r="Z438" s="19">
        <f t="shared" si="223"/>
        <v>327.94066567892958</v>
      </c>
      <c r="AA438" s="19">
        <f t="shared" si="223"/>
        <v>334.48710715007195</v>
      </c>
      <c r="AB438" s="19">
        <f t="shared" si="223"/>
        <v>341.15514265289318</v>
      </c>
      <c r="AC438" s="19">
        <f t="shared" si="223"/>
        <v>347.94350945334077</v>
      </c>
      <c r="AD438" s="19">
        <f t="shared" si="223"/>
        <v>350.98494845605921</v>
      </c>
      <c r="AE438" s="19">
        <f t="shared" si="223"/>
        <v>357.91946295870412</v>
      </c>
      <c r="AF438" s="19">
        <f t="shared" si="223"/>
        <v>364.93471670344263</v>
      </c>
      <c r="AG438" s="19">
        <f t="shared" si="223"/>
        <v>379.8971474008539</v>
      </c>
      <c r="AH438" s="19">
        <f t="shared" si="223"/>
        <v>86.854595428158405</v>
      </c>
      <c r="AI438" s="19">
        <f t="shared" si="223"/>
        <v>-0.51206594299233643</v>
      </c>
      <c r="AJ438" s="19">
        <f t="shared" si="223"/>
        <v>0</v>
      </c>
      <c r="AK438" s="19">
        <f t="shared" si="223"/>
        <v>0</v>
      </c>
      <c r="AL438" s="19">
        <f t="shared" si="223"/>
        <v>0</v>
      </c>
      <c r="AM438" s="19">
        <f t="shared" si="223"/>
        <v>0</v>
      </c>
      <c r="AN438" s="19">
        <f t="shared" si="223"/>
        <v>0</v>
      </c>
      <c r="AO438" s="19">
        <f t="shared" si="223"/>
        <v>0</v>
      </c>
      <c r="AP438" s="19">
        <f t="shared" si="223"/>
        <v>0</v>
      </c>
      <c r="AQ438" s="19">
        <f t="shared" si="223"/>
        <v>0</v>
      </c>
      <c r="AR438" s="19">
        <f t="shared" si="223"/>
        <v>0</v>
      </c>
      <c r="AS438" s="19">
        <f t="shared" si="223"/>
        <v>0</v>
      </c>
      <c r="AT438" s="19">
        <f t="shared" si="223"/>
        <v>0</v>
      </c>
      <c r="AU438" s="19">
        <f t="shared" si="223"/>
        <v>0</v>
      </c>
      <c r="AV438" s="19">
        <f t="shared" si="223"/>
        <v>0</v>
      </c>
      <c r="AW438" s="19">
        <f t="shared" si="223"/>
        <v>0</v>
      </c>
      <c r="AX438" s="19">
        <f t="shared" si="223"/>
        <v>0</v>
      </c>
      <c r="AY438" s="19">
        <f t="shared" si="223"/>
        <v>0</v>
      </c>
      <c r="AZ438" s="19">
        <f t="shared" si="223"/>
        <v>0</v>
      </c>
      <c r="BA438" s="19">
        <f t="shared" si="223"/>
        <v>0</v>
      </c>
      <c r="BB438" s="19">
        <f t="shared" si="223"/>
        <v>0</v>
      </c>
      <c r="BC438" s="19">
        <f t="shared" si="223"/>
        <v>0</v>
      </c>
      <c r="BD438" s="19">
        <f t="shared" si="223"/>
        <v>0</v>
      </c>
    </row>
    <row r="439" spans="1:57" ht="15" customHeight="1">
      <c r="A439" s="11"/>
      <c r="C439" s="21">
        <f>SUM(G439:BD439)</f>
        <v>6463.2060952471238</v>
      </c>
      <c r="D439" s="11" t="s">
        <v>511</v>
      </c>
      <c r="E439" s="18" t="s">
        <v>333</v>
      </c>
      <c r="G439" s="19">
        <f>G438 - G457</f>
        <v>0</v>
      </c>
      <c r="H439" s="19">
        <f t="shared" ref="H439:BD439" si="224">H438 - H457</f>
        <v>0</v>
      </c>
      <c r="I439" s="19">
        <f t="shared" si="224"/>
        <v>-2.9261250000000003</v>
      </c>
      <c r="J439" s="19">
        <f t="shared" si="224"/>
        <v>-11.93859</v>
      </c>
      <c r="K439" s="19">
        <f t="shared" si="224"/>
        <v>-32.003151124399949</v>
      </c>
      <c r="L439" s="19">
        <f t="shared" si="224"/>
        <v>128.14842508652816</v>
      </c>
      <c r="M439" s="19">
        <f t="shared" si="224"/>
        <v>175.21218511642661</v>
      </c>
      <c r="N439" s="19">
        <f t="shared" si="224"/>
        <v>175.34499846931504</v>
      </c>
      <c r="O439" s="19">
        <f t="shared" si="224"/>
        <v>175.41346965854143</v>
      </c>
      <c r="P439" s="19">
        <f t="shared" si="224"/>
        <v>270.93127424083229</v>
      </c>
      <c r="Q439" s="19">
        <f t="shared" si="224"/>
        <v>276.34989972564892</v>
      </c>
      <c r="R439" s="19">
        <f t="shared" si="224"/>
        <v>281.87689772016176</v>
      </c>
      <c r="S439" s="19">
        <f t="shared" si="224"/>
        <v>287.51443567456511</v>
      </c>
      <c r="T439" s="19">
        <f t="shared" si="224"/>
        <v>293.26472438805644</v>
      </c>
      <c r="U439" s="19">
        <f t="shared" si="224"/>
        <v>299.13001887581754</v>
      </c>
      <c r="V439" s="19">
        <f t="shared" si="224"/>
        <v>305.11261925333383</v>
      </c>
      <c r="W439" s="19">
        <f t="shared" si="224"/>
        <v>311.21487163840061</v>
      </c>
      <c r="X439" s="19">
        <f t="shared" si="224"/>
        <v>317.43916907116864</v>
      </c>
      <c r="Y439" s="19">
        <f t="shared" si="224"/>
        <v>321.5157425132661</v>
      </c>
      <c r="Z439" s="19">
        <f t="shared" si="224"/>
        <v>327.94066567892958</v>
      </c>
      <c r="AA439" s="19">
        <f t="shared" si="224"/>
        <v>334.48710715007195</v>
      </c>
      <c r="AB439" s="19">
        <f t="shared" si="224"/>
        <v>341.15514265289318</v>
      </c>
      <c r="AC439" s="19">
        <f t="shared" si="224"/>
        <v>347.94350945334077</v>
      </c>
      <c r="AD439" s="19">
        <f t="shared" si="224"/>
        <v>350.98494845605921</v>
      </c>
      <c r="AE439" s="19">
        <f t="shared" si="224"/>
        <v>357.91946295870412</v>
      </c>
      <c r="AF439" s="19">
        <f t="shared" si="224"/>
        <v>364.93471670344263</v>
      </c>
      <c r="AG439" s="19">
        <f t="shared" si="224"/>
        <v>379.8971474008539</v>
      </c>
      <c r="AH439" s="19">
        <f t="shared" si="224"/>
        <v>86.854595428158405</v>
      </c>
      <c r="AI439" s="19">
        <f t="shared" si="224"/>
        <v>-0.51206594299233643</v>
      </c>
      <c r="AJ439" s="19">
        <f t="shared" si="224"/>
        <v>0</v>
      </c>
      <c r="AK439" s="19">
        <f t="shared" si="224"/>
        <v>0</v>
      </c>
      <c r="AL439" s="19">
        <f t="shared" si="224"/>
        <v>0</v>
      </c>
      <c r="AM439" s="19">
        <f t="shared" si="224"/>
        <v>0</v>
      </c>
      <c r="AN439" s="19">
        <f t="shared" si="224"/>
        <v>0</v>
      </c>
      <c r="AO439" s="19">
        <f t="shared" si="224"/>
        <v>0</v>
      </c>
      <c r="AP439" s="19">
        <f t="shared" si="224"/>
        <v>0</v>
      </c>
      <c r="AQ439" s="19">
        <f t="shared" si="224"/>
        <v>0</v>
      </c>
      <c r="AR439" s="19">
        <f t="shared" si="224"/>
        <v>0</v>
      </c>
      <c r="AS439" s="19">
        <f t="shared" si="224"/>
        <v>0</v>
      </c>
      <c r="AT439" s="19">
        <f t="shared" si="224"/>
        <v>0</v>
      </c>
      <c r="AU439" s="19">
        <f t="shared" si="224"/>
        <v>0</v>
      </c>
      <c r="AV439" s="19">
        <f t="shared" si="224"/>
        <v>0</v>
      </c>
      <c r="AW439" s="19">
        <f t="shared" si="224"/>
        <v>0</v>
      </c>
      <c r="AX439" s="19">
        <f t="shared" si="224"/>
        <v>0</v>
      </c>
      <c r="AY439" s="19">
        <f t="shared" si="224"/>
        <v>0</v>
      </c>
      <c r="AZ439" s="19">
        <f t="shared" si="224"/>
        <v>0</v>
      </c>
      <c r="BA439" s="19">
        <f t="shared" si="224"/>
        <v>0</v>
      </c>
      <c r="BB439" s="19">
        <f t="shared" si="224"/>
        <v>0</v>
      </c>
      <c r="BC439" s="19">
        <f t="shared" si="224"/>
        <v>0</v>
      </c>
      <c r="BD439" s="19">
        <f t="shared" si="224"/>
        <v>0</v>
      </c>
    </row>
    <row r="440" spans="1:57" ht="15" customHeight="1">
      <c r="C440" s="21">
        <f>SUM(G440:BD440)</f>
        <v>1953.1758081943549</v>
      </c>
      <c r="D440" s="11" t="s">
        <v>512</v>
      </c>
      <c r="E440" s="18" t="s">
        <v>333</v>
      </c>
      <c r="G440" s="19">
        <f>G439 * (G439 &gt; 0) * IF(Inputs!$E$46=0, Inputs!$E$44, IF(G33 &lt; Inputs!$E$46, Inputs!$E$44, Inputs!$E$45)) * IF($E$425 &lt;&gt; 3, 1, G224)</f>
        <v>0</v>
      </c>
      <c r="H440" s="19">
        <f>H439 * (H439 &gt; 0) * IF(Inputs!$E$46=0, Inputs!$E$44, IF(H33 &lt; Inputs!$E$46, Inputs!$E$44, Inputs!$E$45)) * IF($E$425 &lt;&gt; 3, 1, H224)</f>
        <v>0</v>
      </c>
      <c r="I440" s="19">
        <f>I439 * (I439 &gt; 0) * IF(Inputs!$E$46=0, Inputs!$E$44, IF(I33 &lt; Inputs!$E$46, Inputs!$E$44, Inputs!$E$45)) * IF($E$425 &lt;&gt; 3, 1, I224)</f>
        <v>0</v>
      </c>
      <c r="J440" s="19">
        <f>J439 * (J439 &gt; 0) * IF(Inputs!$E$46=0, Inputs!$E$44, IF(J33 &lt; Inputs!$E$46, Inputs!$E$44, Inputs!$E$45)) * IF($E$425 &lt;&gt; 3, 1, J224)</f>
        <v>0</v>
      </c>
      <c r="K440" s="19">
        <f>K439 * (K439 &gt; 0) * IF(Inputs!$E$46=0, Inputs!$E$44, IF(K33 &lt; Inputs!$E$46, Inputs!$E$44, Inputs!$E$45)) * IF($E$425 &lt;&gt; 3, 1, K224)</f>
        <v>0</v>
      </c>
      <c r="L440" s="19">
        <f>L439 * (L439 &gt; 0) * IF(Inputs!$E$46=0, Inputs!$E$44, IF(L33 &lt; Inputs!$E$46, Inputs!$E$44, Inputs!$E$45)) * IF($E$425 &lt;&gt; 3, 1, L224)</f>
        <v>38.444527525958449</v>
      </c>
      <c r="M440" s="19">
        <f>M439 * (M439 &gt; 0) * IF(Inputs!$E$46=0, Inputs!$E$44, IF(M33 &lt; Inputs!$E$46, Inputs!$E$44, Inputs!$E$45)) * IF($E$425 &lt;&gt; 3, 1, M224)</f>
        <v>52.563655534927982</v>
      </c>
      <c r="N440" s="19">
        <f>N439 * (N439 &gt; 0) * IF(Inputs!$E$46=0, Inputs!$E$44, IF(N33 &lt; Inputs!$E$46, Inputs!$E$44, Inputs!$E$45)) * IF($E$425 &lt;&gt; 3, 1, N224)</f>
        <v>52.603499540794509</v>
      </c>
      <c r="O440" s="19">
        <f>O439 * (O439 &gt; 0) * IF(Inputs!$E$46=0, Inputs!$E$44, IF(O33 &lt; Inputs!$E$46, Inputs!$E$44, Inputs!$E$45)) * IF($E$425 &lt;&gt; 3, 1, O224)</f>
        <v>52.624040897562431</v>
      </c>
      <c r="P440" s="19">
        <f>P439 * (P439 &gt; 0) * IF(Inputs!$E$46=0, Inputs!$E$44, IF(P33 &lt; Inputs!$E$46, Inputs!$E$44, Inputs!$E$45)) * IF($E$425 &lt;&gt; 3, 1, P224)</f>
        <v>81.279382272249691</v>
      </c>
      <c r="Q440" s="19">
        <f>Q439 * (Q439 &gt; 0) * IF(Inputs!$E$46=0, Inputs!$E$44, IF(Q33 &lt; Inputs!$E$46, Inputs!$E$44, Inputs!$E$45)) * IF($E$425 &lt;&gt; 3, 1, Q224)</f>
        <v>82.904969917694672</v>
      </c>
      <c r="R440" s="19">
        <f>R439 * (R439 &gt; 0) * IF(Inputs!$E$46=0, Inputs!$E$44, IF(R33 &lt; Inputs!$E$46, Inputs!$E$44, Inputs!$E$45)) * IF($E$425 &lt;&gt; 3, 1, R224)</f>
        <v>84.563069316048527</v>
      </c>
      <c r="S440" s="19">
        <f>S439 * (S439 &gt; 0) * IF(Inputs!$E$46=0, Inputs!$E$44, IF(S33 &lt; Inputs!$E$46, Inputs!$E$44, Inputs!$E$45)) * IF($E$425 &lt;&gt; 3, 1, S224)</f>
        <v>86.254330702369529</v>
      </c>
      <c r="T440" s="19">
        <f>T439 * (T439 &gt; 0) * IF(Inputs!$E$46=0, Inputs!$E$44, IF(T33 &lt; Inputs!$E$46, Inputs!$E$44, Inputs!$E$45)) * IF($E$425 &lt;&gt; 3, 1, T224)</f>
        <v>87.979417316416928</v>
      </c>
      <c r="U440" s="19">
        <f>U439 * (U439 &gt; 0) * IF(Inputs!$E$46=0, Inputs!$E$44, IF(U33 &lt; Inputs!$E$46, Inputs!$E$44, Inputs!$E$45)) * IF($E$425 &lt;&gt; 3, 1, U224)</f>
        <v>89.739005662745257</v>
      </c>
      <c r="V440" s="19">
        <f>V439 * (V439 &gt; 0) * IF(Inputs!$E$46=0, Inputs!$E$44, IF(V33 &lt; Inputs!$E$46, Inputs!$E$44, Inputs!$E$45)) * IF($E$425 &lt;&gt; 3, 1, V224)</f>
        <v>91.533785776000144</v>
      </c>
      <c r="W440" s="19">
        <f>W439 * (W439 &gt; 0) * IF(Inputs!$E$46=0, Inputs!$E$44, IF(W33 &lt; Inputs!$E$46, Inputs!$E$44, Inputs!$E$45)) * IF($E$425 &lt;&gt; 3, 1, W224)</f>
        <v>93.364461491520174</v>
      </c>
      <c r="X440" s="19">
        <f>X439 * (X439 &gt; 0) * IF(Inputs!$E$46=0, Inputs!$E$44, IF(X33 &lt; Inputs!$E$46, Inputs!$E$44, Inputs!$E$45)) * IF($E$425 &lt;&gt; 3, 1, X224)</f>
        <v>95.231750721350593</v>
      </c>
      <c r="Y440" s="19">
        <f>Y439 * (Y439 &gt; 0) * IF(Inputs!$E$46=0, Inputs!$E$44, IF(Y33 &lt; Inputs!$E$46, Inputs!$E$44, Inputs!$E$45)) * IF($E$425 &lt;&gt; 3, 1, Y224)</f>
        <v>96.454722753979823</v>
      </c>
      <c r="Z440" s="19">
        <f>Z439 * (Z439 &gt; 0) * IF(Inputs!$E$46=0, Inputs!$E$44, IF(Z33 &lt; Inputs!$E$46, Inputs!$E$44, Inputs!$E$45)) * IF($E$425 &lt;&gt; 3, 1, Z224)</f>
        <v>98.382199703678864</v>
      </c>
      <c r="AA440" s="19">
        <f>AA439 * (AA439 &gt; 0) * IF(Inputs!$E$46=0, Inputs!$E$44, IF(AA33 &lt; Inputs!$E$46, Inputs!$E$44, Inputs!$E$45)) * IF($E$425 &lt;&gt; 3, 1, AA224)</f>
        <v>100.34613214502158</v>
      </c>
      <c r="AB440" s="19">
        <f>AB439 * (AB439 &gt; 0) * IF(Inputs!$E$46=0, Inputs!$E$44, IF(AB33 &lt; Inputs!$E$46, Inputs!$E$44, Inputs!$E$45)) * IF($E$425 &lt;&gt; 3, 1, AB224)</f>
        <v>102.34654279586795</v>
      </c>
      <c r="AC440" s="19">
        <f>AC439 * (AC439 &gt; 0) * IF(Inputs!$E$46=0, Inputs!$E$44, IF(AC33 &lt; Inputs!$E$46, Inputs!$E$44, Inputs!$E$45)) * IF($E$425 &lt;&gt; 3, 1, AC224)</f>
        <v>104.38305283600222</v>
      </c>
      <c r="AD440" s="19">
        <f>AD439 * (AD439 &gt; 0) * IF(Inputs!$E$46=0, Inputs!$E$44, IF(AD33 &lt; Inputs!$E$46, Inputs!$E$44, Inputs!$E$45)) * IF($E$425 &lt;&gt; 3, 1, AD224)</f>
        <v>105.29548453681777</v>
      </c>
      <c r="AE440" s="19">
        <f>AE439 * (AE439 &gt; 0) * IF(Inputs!$E$46=0, Inputs!$E$44, IF(AE33 &lt; Inputs!$E$46, Inputs!$E$44, Inputs!$E$45)) * IF($E$425 &lt;&gt; 3, 1, AE224)</f>
        <v>107.37583888761124</v>
      </c>
      <c r="AF440" s="19">
        <f>AF439 * (AF439 &gt; 0) * IF(Inputs!$E$46=0, Inputs!$E$44, IF(AF33 &lt; Inputs!$E$46, Inputs!$E$44, Inputs!$E$45)) * IF($E$425 &lt;&gt; 3, 1, AF224)</f>
        <v>109.48041501103279</v>
      </c>
      <c r="AG440" s="19">
        <f>AG439 * (AG439 &gt; 0) * IF(Inputs!$E$46=0, Inputs!$E$44, IF(AG33 &lt; Inputs!$E$46, Inputs!$E$44, Inputs!$E$45)) * IF($E$425 &lt;&gt; 3, 1, AG224)</f>
        <v>113.96914422025617</v>
      </c>
      <c r="AH440" s="19">
        <f>AH439 * (AH439 &gt; 0) * IF(Inputs!$E$46=0, Inputs!$E$44, IF(AH33 &lt; Inputs!$E$46, Inputs!$E$44, Inputs!$E$45)) * IF($E$425 &lt;&gt; 3, 1, AH224)</f>
        <v>26.056378628447522</v>
      </c>
      <c r="AI440" s="19">
        <f>AI439 * (AI439 &gt; 0) * IF(Inputs!$E$46=0, Inputs!$E$44, IF(AI33 &lt; Inputs!$E$46, Inputs!$E$44, Inputs!$E$45)) * IF($E$425 &lt;&gt; 3, 1, AI224)</f>
        <v>0</v>
      </c>
      <c r="AJ440" s="19">
        <f>AJ439 * (AJ439 &gt; 0) * IF(Inputs!$E$46=0, Inputs!$E$44, IF(AJ33 &lt; Inputs!$E$46, Inputs!$E$44, Inputs!$E$45)) * IF($E$425 &lt;&gt; 3, 1, AJ224)</f>
        <v>0</v>
      </c>
      <c r="AK440" s="19">
        <f>AK439 * (AK439 &gt; 0) * IF(Inputs!$E$46=0, Inputs!$E$44, IF(AK33 &lt; Inputs!$E$46, Inputs!$E$44, Inputs!$E$45)) * IF($E$425 &lt;&gt; 3, 1, AK224)</f>
        <v>0</v>
      </c>
      <c r="AL440" s="19">
        <f>AL439 * (AL439 &gt; 0) * IF(Inputs!$E$46=0, Inputs!$E$44, IF(AL33 &lt; Inputs!$E$46, Inputs!$E$44, Inputs!$E$45)) * IF($E$425 &lt;&gt; 3, 1, AL224)</f>
        <v>0</v>
      </c>
      <c r="AM440" s="19">
        <f>AM439 * (AM439 &gt; 0) * IF(Inputs!$E$46=0, Inputs!$E$44, IF(AM33 &lt; Inputs!$E$46, Inputs!$E$44, Inputs!$E$45)) * IF($E$425 &lt;&gt; 3, 1, AM224)</f>
        <v>0</v>
      </c>
      <c r="AN440" s="19">
        <f>AN439 * (AN439 &gt; 0) * IF(Inputs!$E$46=0, Inputs!$E$44, IF(AN33 &lt; Inputs!$E$46, Inputs!$E$44, Inputs!$E$45)) * IF($E$425 &lt;&gt; 3, 1, AN224)</f>
        <v>0</v>
      </c>
      <c r="AO440" s="19">
        <f>AO439 * (AO439 &gt; 0) * IF(Inputs!$E$46=0, Inputs!$E$44, IF(AO33 &lt; Inputs!$E$46, Inputs!$E$44, Inputs!$E$45)) * IF($E$425 &lt;&gt; 3, 1, AO224)</f>
        <v>0</v>
      </c>
      <c r="AP440" s="19">
        <f>AP439 * (AP439 &gt; 0) * IF(Inputs!$E$46=0, Inputs!$E$44, IF(AP33 &lt; Inputs!$E$46, Inputs!$E$44, Inputs!$E$45)) * IF($E$425 &lt;&gt; 3, 1, AP224)</f>
        <v>0</v>
      </c>
      <c r="AQ440" s="19">
        <f>AQ439 * (AQ439 &gt; 0) * IF(Inputs!$E$46=0, Inputs!$E$44, IF(AQ33 &lt; Inputs!$E$46, Inputs!$E$44, Inputs!$E$45)) * IF($E$425 &lt;&gt; 3, 1, AQ224)</f>
        <v>0</v>
      </c>
      <c r="AR440" s="19">
        <f>AR439 * (AR439 &gt; 0) * IF(Inputs!$E$46=0, Inputs!$E$44, IF(AR33 &lt; Inputs!$E$46, Inputs!$E$44, Inputs!$E$45)) * IF($E$425 &lt;&gt; 3, 1, AR224)</f>
        <v>0</v>
      </c>
      <c r="AS440" s="19">
        <f>AS439 * (AS439 &gt; 0) * IF(Inputs!$E$46=0, Inputs!$E$44, IF(AS33 &lt; Inputs!$E$46, Inputs!$E$44, Inputs!$E$45)) * IF($E$425 &lt;&gt; 3, 1, AS224)</f>
        <v>0</v>
      </c>
      <c r="AT440" s="19">
        <f>AT439 * (AT439 &gt; 0) * IF(Inputs!$E$46=0, Inputs!$E$44, IF(AT33 &lt; Inputs!$E$46, Inputs!$E$44, Inputs!$E$45)) * IF($E$425 &lt;&gt; 3, 1, AT224)</f>
        <v>0</v>
      </c>
      <c r="AU440" s="19">
        <f>AU439 * (AU439 &gt; 0) * IF(Inputs!$E$46=0, Inputs!$E$44, IF(AU33 &lt; Inputs!$E$46, Inputs!$E$44, Inputs!$E$45)) * IF($E$425 &lt;&gt; 3, 1, AU224)</f>
        <v>0</v>
      </c>
      <c r="AV440" s="19">
        <f>AV439 * (AV439 &gt; 0) * IF(Inputs!$E$46=0, Inputs!$E$44, IF(AV33 &lt; Inputs!$E$46, Inputs!$E$44, Inputs!$E$45)) * IF($E$425 &lt;&gt; 3, 1, AV224)</f>
        <v>0</v>
      </c>
      <c r="AW440" s="19">
        <f>AW439 * (AW439 &gt; 0) * IF(Inputs!$E$46=0, Inputs!$E$44, IF(AW33 &lt; Inputs!$E$46, Inputs!$E$44, Inputs!$E$45)) * IF($E$425 &lt;&gt; 3, 1, AW224)</f>
        <v>0</v>
      </c>
      <c r="AX440" s="19">
        <f>AX439 * (AX439 &gt; 0) * IF(Inputs!$E$46=0, Inputs!$E$44, IF(AX33 &lt; Inputs!$E$46, Inputs!$E$44, Inputs!$E$45)) * IF($E$425 &lt;&gt; 3, 1, AX224)</f>
        <v>0</v>
      </c>
      <c r="AY440" s="19">
        <f>AY439 * (AY439 &gt; 0) * IF(Inputs!$E$46=0, Inputs!$E$44, IF(AY33 &lt; Inputs!$E$46, Inputs!$E$44, Inputs!$E$45)) * IF($E$425 &lt;&gt; 3, 1, AY224)</f>
        <v>0</v>
      </c>
      <c r="AZ440" s="19">
        <f>AZ439 * (AZ439 &gt; 0) * IF(Inputs!$E$46=0, Inputs!$E$44, IF(AZ33 &lt; Inputs!$E$46, Inputs!$E$44, Inputs!$E$45)) * IF($E$425 &lt;&gt; 3, 1, AZ224)</f>
        <v>0</v>
      </c>
      <c r="BA440" s="19">
        <f>BA439 * (BA439 &gt; 0) * IF(Inputs!$E$46=0, Inputs!$E$44, IF(BA33 &lt; Inputs!$E$46, Inputs!$E$44, Inputs!$E$45)) * IF($E$425 &lt;&gt; 3, 1, BA224)</f>
        <v>0</v>
      </c>
      <c r="BB440" s="19">
        <f>BB439 * (BB439 &gt; 0) * IF(Inputs!$E$46=0, Inputs!$E$44, IF(BB33 &lt; Inputs!$E$46, Inputs!$E$44, Inputs!$E$45)) * IF($E$425 &lt;&gt; 3, 1, BB224)</f>
        <v>0</v>
      </c>
      <c r="BC440" s="19">
        <f>BC439 * (BC439 &gt; 0) * IF(Inputs!$E$46=0, Inputs!$E$44, IF(BC33 &lt; Inputs!$E$46, Inputs!$E$44, Inputs!$E$45)) * IF($E$425 &lt;&gt; 3, 1, BC224)</f>
        <v>0</v>
      </c>
      <c r="BD440" s="19">
        <f>BD439 * (BD439 &gt; 0) * IF(Inputs!$E$46=0, Inputs!$E$44, IF(BD33 &lt; Inputs!$E$46, Inputs!$E$44, Inputs!$E$45)) * IF($E$425 &lt;&gt; 3, 1, BD224)</f>
        <v>0</v>
      </c>
    </row>
    <row r="441" spans="1:57" ht="15" customHeight="1">
      <c r="C441" s="21"/>
      <c r="E441" s="18"/>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row>
    <row r="442" spans="1:57" ht="15" customHeight="1">
      <c r="C442" s="299"/>
      <c r="D442" s="166"/>
      <c r="E442" s="238"/>
      <c r="F442" s="166"/>
      <c r="G442" s="298"/>
      <c r="H442" s="298"/>
      <c r="I442" s="298"/>
      <c r="J442" s="298"/>
      <c r="K442" s="298"/>
      <c r="L442" s="298"/>
      <c r="M442" s="298"/>
      <c r="N442" s="298"/>
      <c r="O442" s="298"/>
      <c r="P442" s="298"/>
      <c r="Q442" s="298"/>
      <c r="R442" s="298"/>
      <c r="S442" s="298"/>
      <c r="T442" s="298"/>
      <c r="U442" s="298"/>
      <c r="V442" s="298"/>
      <c r="W442" s="298"/>
      <c r="X442" s="298"/>
      <c r="Y442" s="298"/>
      <c r="Z442" s="298"/>
      <c r="AA442" s="298"/>
      <c r="AB442" s="298"/>
      <c r="AC442" s="298"/>
      <c r="AD442" s="298"/>
      <c r="AE442" s="298"/>
      <c r="AF442" s="298"/>
      <c r="AG442" s="298"/>
      <c r="AH442" s="298"/>
      <c r="AI442" s="298"/>
      <c r="AJ442" s="298"/>
      <c r="AK442" s="298"/>
      <c r="AL442" s="298"/>
      <c r="AM442" s="298"/>
      <c r="AN442" s="298"/>
      <c r="AO442" s="298"/>
      <c r="AP442" s="298"/>
      <c r="AQ442" s="298"/>
      <c r="AR442" s="298"/>
      <c r="AS442" s="298"/>
      <c r="AT442" s="298"/>
      <c r="AU442" s="298"/>
      <c r="AV442" s="298"/>
      <c r="AW442" s="298"/>
      <c r="AX442" s="298"/>
      <c r="AY442" s="298"/>
      <c r="AZ442" s="298"/>
      <c r="BA442" s="298"/>
      <c r="BB442" s="298"/>
      <c r="BC442" s="298"/>
      <c r="BD442" s="298"/>
    </row>
    <row r="443" spans="1:57" ht="15" customHeight="1">
      <c r="D443" s="9" t="s">
        <v>513</v>
      </c>
    </row>
    <row r="444" spans="1:57" ht="15" customHeight="1">
      <c r="C444" s="20"/>
      <c r="D444" s="11" t="s">
        <v>514</v>
      </c>
      <c r="E444" s="11" t="s">
        <v>515</v>
      </c>
      <c r="G444" s="17">
        <f>G6-Inputs!$E$58</f>
        <v>-99</v>
      </c>
      <c r="H444" s="17">
        <f>H6-Inputs!$E$58</f>
        <v>-98</v>
      </c>
      <c r="I444" s="17">
        <f>I6-Inputs!$E$58</f>
        <v>-97</v>
      </c>
      <c r="J444" s="17">
        <f>J6-Inputs!$E$58</f>
        <v>-96</v>
      </c>
      <c r="K444" s="17">
        <f>K6-Inputs!$E$58</f>
        <v>-95</v>
      </c>
      <c r="L444" s="17">
        <f>L6-Inputs!$E$58</f>
        <v>-94</v>
      </c>
      <c r="M444" s="17">
        <f>M6-Inputs!$E$58</f>
        <v>-93</v>
      </c>
      <c r="N444" s="17">
        <f>N6-Inputs!$E$58</f>
        <v>-92</v>
      </c>
      <c r="O444" s="17">
        <f>O6-Inputs!$E$58</f>
        <v>-91</v>
      </c>
      <c r="P444" s="17">
        <f>P6-Inputs!$E$58</f>
        <v>-90</v>
      </c>
      <c r="Q444" s="17">
        <f>Q6-Inputs!$E$58</f>
        <v>-89</v>
      </c>
      <c r="R444" s="17">
        <f>R6-Inputs!$E$58</f>
        <v>-88</v>
      </c>
      <c r="S444" s="17">
        <f>S6-Inputs!$E$58</f>
        <v>-87</v>
      </c>
      <c r="T444" s="17">
        <f>T6-Inputs!$E$58</f>
        <v>-86</v>
      </c>
      <c r="U444" s="17">
        <f>U6-Inputs!$E$58</f>
        <v>-85</v>
      </c>
      <c r="V444" s="17">
        <f>V6-Inputs!$E$58</f>
        <v>-84</v>
      </c>
      <c r="W444" s="17">
        <f>W6-Inputs!$E$58</f>
        <v>-83</v>
      </c>
      <c r="X444" s="17">
        <f>X6-Inputs!$E$58</f>
        <v>-82</v>
      </c>
      <c r="Y444" s="17">
        <f>Y6-Inputs!$E$58</f>
        <v>-81</v>
      </c>
      <c r="Z444" s="17">
        <f>Z6-Inputs!$E$58</f>
        <v>-80</v>
      </c>
      <c r="AA444" s="17">
        <f>AA6-Inputs!$E$58</f>
        <v>-79</v>
      </c>
      <c r="AB444" s="17">
        <f>AB6-Inputs!$E$58</f>
        <v>-78</v>
      </c>
      <c r="AC444" s="17">
        <f>AC6-Inputs!$E$58</f>
        <v>-77</v>
      </c>
      <c r="AD444" s="17">
        <f>AD6-Inputs!$E$58</f>
        <v>-76</v>
      </c>
      <c r="AE444" s="17">
        <f>AE6-Inputs!$E$58</f>
        <v>-75</v>
      </c>
      <c r="AF444" s="17">
        <f>AF6-Inputs!$E$58</f>
        <v>-74</v>
      </c>
      <c r="AG444" s="17">
        <f>AG6-Inputs!$E$58</f>
        <v>-73</v>
      </c>
      <c r="AH444" s="17">
        <f>AH6-Inputs!$E$58</f>
        <v>-72</v>
      </c>
      <c r="AI444" s="17">
        <f>AI6-Inputs!$E$58</f>
        <v>-71</v>
      </c>
      <c r="AJ444" s="17">
        <f>AJ6-Inputs!$E$58</f>
        <v>-70</v>
      </c>
      <c r="AK444" s="17">
        <f>AK6-Inputs!$E$58</f>
        <v>-69</v>
      </c>
      <c r="AL444" s="17">
        <f>AL6-Inputs!$E$58</f>
        <v>-68</v>
      </c>
      <c r="AM444" s="17">
        <f>AM6-Inputs!$E$58</f>
        <v>-67</v>
      </c>
      <c r="AN444" s="17">
        <f>AN6-Inputs!$E$58</f>
        <v>-66</v>
      </c>
      <c r="AO444" s="17">
        <f>AO6-Inputs!$E$58</f>
        <v>-65</v>
      </c>
      <c r="AP444" s="17">
        <f>AP6-Inputs!$E$58</f>
        <v>-64</v>
      </c>
      <c r="AQ444" s="17">
        <f>AQ6-Inputs!$E$58</f>
        <v>-63</v>
      </c>
      <c r="AR444" s="17">
        <f>AR6-Inputs!$E$58</f>
        <v>-62</v>
      </c>
      <c r="AS444" s="17">
        <f>AS6-Inputs!$E$58</f>
        <v>-61</v>
      </c>
      <c r="AT444" s="17">
        <f>AT6-Inputs!$E$58</f>
        <v>-60</v>
      </c>
      <c r="AU444" s="17">
        <f>AU6-Inputs!$E$58</f>
        <v>-59</v>
      </c>
      <c r="AV444" s="17">
        <f>AV6-Inputs!$E$58</f>
        <v>-58</v>
      </c>
      <c r="AW444" s="17">
        <f>AW6-Inputs!$E$58</f>
        <v>-57</v>
      </c>
      <c r="AX444" s="17">
        <f>AX6-Inputs!$E$58</f>
        <v>-56</v>
      </c>
      <c r="AY444" s="17">
        <f>AY6-Inputs!$E$58</f>
        <v>-55</v>
      </c>
      <c r="AZ444" s="17">
        <f>AZ6-Inputs!$E$58</f>
        <v>-54</v>
      </c>
      <c r="BA444" s="17">
        <f>BA6-Inputs!$E$58</f>
        <v>-53</v>
      </c>
      <c r="BB444" s="17">
        <f>BB6-Inputs!$E$58</f>
        <v>-52</v>
      </c>
      <c r="BC444" s="17">
        <f>BC6-Inputs!$E$58</f>
        <v>-51</v>
      </c>
      <c r="BD444" s="17">
        <f>BD6-Inputs!$E$58</f>
        <v>-50</v>
      </c>
    </row>
    <row r="445" spans="1:57" ht="15" customHeight="1">
      <c r="C445" s="20"/>
      <c r="D445" s="11" t="s">
        <v>516</v>
      </c>
      <c r="E445" s="18" t="s">
        <v>333</v>
      </c>
      <c r="G445" s="17">
        <f>-MIN(0,IFERROR(INDEX($G$436:G436,1,MATCH(G444,$G$6:$BD$6,0)),0))</f>
        <v>0</v>
      </c>
      <c r="H445" s="17">
        <f>-MIN(0,IFERROR(INDEX($G$436:H436,1,MATCH(H444,$G$6:$BD$6,0)),0))</f>
        <v>0</v>
      </c>
      <c r="I445" s="17">
        <f>-MIN(0,IFERROR(INDEX($G$436:I436,1,MATCH(I444,$G$6:$BD$6,0)),0))</f>
        <v>0</v>
      </c>
      <c r="J445" s="17">
        <f>-MIN(0,IFERROR(INDEX($G$436:J436,1,MATCH(J444,$G$6:$BD$6,0)),0))</f>
        <v>0</v>
      </c>
      <c r="K445" s="17">
        <f>-MIN(0,IFERROR(INDEX($G$436:K436,1,MATCH(K444,$G$6:$BD$6,0)),0))</f>
        <v>0</v>
      </c>
      <c r="L445" s="17">
        <f>-MIN(0,IFERROR(INDEX($G$436:L436,1,MATCH(L444,$G$6:$BD$6,0)),0))</f>
        <v>0</v>
      </c>
      <c r="M445" s="17">
        <f>-MIN(0,IFERROR(INDEX($G$436:M436,1,MATCH(M444,$G$6:$BD$6,0)),0))</f>
        <v>0</v>
      </c>
      <c r="N445" s="17">
        <f>-MIN(0,IFERROR(INDEX($G$436:N436,1,MATCH(N444,$G$6:$BD$6,0)),0))</f>
        <v>0</v>
      </c>
      <c r="O445" s="17">
        <f>-MIN(0,IFERROR(INDEX($G$436:O436,1,MATCH(O444,$G$6:$BD$6,0)),0))</f>
        <v>0</v>
      </c>
      <c r="P445" s="17">
        <f>-MIN(0,IFERROR(INDEX($G$436:P436,1,MATCH(P444,$G$6:$BD$6,0)),0))</f>
        <v>0</v>
      </c>
      <c r="Q445" s="17">
        <f>-MIN(0,IFERROR(INDEX($G$436:Q436,1,MATCH(Q444,$G$6:$BD$6,0)),0))</f>
        <v>0</v>
      </c>
      <c r="R445" s="17">
        <f>-MIN(0,IFERROR(INDEX($G$436:R436,1,MATCH(R444,$G$6:$BD$6,0)),0))</f>
        <v>0</v>
      </c>
      <c r="S445" s="17">
        <f>-MIN(0,IFERROR(INDEX($G$436:S436,1,MATCH(S444,$G$6:$BD$6,0)),0))</f>
        <v>0</v>
      </c>
      <c r="T445" s="17">
        <f>-MIN(0,IFERROR(INDEX($G$436:T436,1,MATCH(T444,$G$6:$BD$6,0)),0))</f>
        <v>0</v>
      </c>
      <c r="U445" s="17">
        <f>-MIN(0,IFERROR(INDEX($G$436:U436,1,MATCH(U444,$G$6:$BD$6,0)),0))</f>
        <v>0</v>
      </c>
      <c r="V445" s="17">
        <f>-MIN(0,IFERROR(INDEX($G$436:V436,1,MATCH(V444,$G$6:$BD$6,0)),0))</f>
        <v>0</v>
      </c>
      <c r="W445" s="17">
        <f>-MIN(0,IFERROR(INDEX($G$436:W436,1,MATCH(W444,$G$6:$BD$6,0)),0))</f>
        <v>0</v>
      </c>
      <c r="X445" s="17">
        <f>-MIN(0,IFERROR(INDEX($G$436:X436,1,MATCH(X444,$G$6:$BD$6,0)),0))</f>
        <v>0</v>
      </c>
      <c r="Y445" s="17">
        <f>-MIN(0,IFERROR(INDEX($G$436:Y436,1,MATCH(Y444,$G$6:$BD$6,0)),0))</f>
        <v>0</v>
      </c>
      <c r="Z445" s="17">
        <f>-MIN(0,IFERROR(INDEX($G$436:Z436,1,MATCH(Z444,$G$6:$BD$6,0)),0))</f>
        <v>0</v>
      </c>
      <c r="AA445" s="17">
        <f>-MIN(0,IFERROR(INDEX($G$436:AA436,1,MATCH(AA444,$G$6:$BD$6,0)),0))</f>
        <v>0</v>
      </c>
      <c r="AB445" s="17">
        <f>-MIN(0,IFERROR(INDEX($G$436:AB436,1,MATCH(AB444,$G$6:$BD$6,0)),0))</f>
        <v>0</v>
      </c>
      <c r="AC445" s="17">
        <f>-MIN(0,IFERROR(INDEX($G$436:AC436,1,MATCH(AC444,$G$6:$BD$6,0)),0))</f>
        <v>0</v>
      </c>
      <c r="AD445" s="17">
        <f>-MIN(0,IFERROR(INDEX($G$436:AD436,1,MATCH(AD444,$G$6:$BD$6,0)),0))</f>
        <v>0</v>
      </c>
      <c r="AE445" s="17">
        <f>-MIN(0,IFERROR(INDEX($G$436:AE436,1,MATCH(AE444,$G$6:$BD$6,0)),0))</f>
        <v>0</v>
      </c>
      <c r="AF445" s="17">
        <f>-MIN(0,IFERROR(INDEX($G$436:AF436,1,MATCH(AF444,$G$6:$BD$6,0)),0))</f>
        <v>0</v>
      </c>
      <c r="AG445" s="17">
        <f>-MIN(0,IFERROR(INDEX($G$436:AG436,1,MATCH(AG444,$G$6:$BD$6,0)),0))</f>
        <v>0</v>
      </c>
      <c r="AH445" s="17">
        <f>-MIN(0,IFERROR(INDEX($G$436:AH436,1,MATCH(AH444,$G$6:$BD$6,0)),0))</f>
        <v>0</v>
      </c>
      <c r="AI445" s="17">
        <f>-MIN(0,IFERROR(INDEX($G$436:AI436,1,MATCH(AI444,$G$6:$BD$6,0)),0))</f>
        <v>0</v>
      </c>
      <c r="AJ445" s="17">
        <f>-MIN(0,IFERROR(INDEX($G$436:AJ436,1,MATCH(AJ444,$G$6:$BD$6,0)),0))</f>
        <v>0</v>
      </c>
      <c r="AK445" s="17">
        <f>-MIN(0,IFERROR(INDEX($G$436:AK436,1,MATCH(AK444,$G$6:$BD$6,0)),0))</f>
        <v>0</v>
      </c>
      <c r="AL445" s="17">
        <f>-MIN(0,IFERROR(INDEX($G$436:AL436,1,MATCH(AL444,$G$6:$BD$6,0)),0))</f>
        <v>0</v>
      </c>
      <c r="AM445" s="17">
        <f>-MIN(0,IFERROR(INDEX($G$436:AM436,1,MATCH(AM444,$G$6:$BD$6,0)),0))</f>
        <v>0</v>
      </c>
      <c r="AN445" s="17">
        <f>-MIN(0,IFERROR(INDEX($G$436:AN436,1,MATCH(AN444,$G$6:$BD$6,0)),0))</f>
        <v>0</v>
      </c>
      <c r="AO445" s="17">
        <f>-MIN(0,IFERROR(INDEX($G$436:AO436,1,MATCH(AO444,$G$6:$BD$6,0)),0))</f>
        <v>0</v>
      </c>
      <c r="AP445" s="17">
        <f>-MIN(0,IFERROR(INDEX($G$436:AP436,1,MATCH(AP444,$G$6:$BD$6,0)),0))</f>
        <v>0</v>
      </c>
      <c r="AQ445" s="17">
        <f>-MIN(0,IFERROR(INDEX($G$436:AQ436,1,MATCH(AQ444,$G$6:$BD$6,0)),0))</f>
        <v>0</v>
      </c>
      <c r="AR445" s="17">
        <f>-MIN(0,IFERROR(INDEX($G$436:AR436,1,MATCH(AR444,$G$6:$BD$6,0)),0))</f>
        <v>0</v>
      </c>
      <c r="AS445" s="17">
        <f>-MIN(0,IFERROR(INDEX($G$436:AS436,1,MATCH(AS444,$G$6:$BD$6,0)),0))</f>
        <v>0</v>
      </c>
      <c r="AT445" s="17">
        <f>-MIN(0,IFERROR(INDEX($G$436:AT436,1,MATCH(AT444,$G$6:$BD$6,0)),0))</f>
        <v>0</v>
      </c>
      <c r="AU445" s="17">
        <f>-MIN(0,IFERROR(INDEX($G$436:AU436,1,MATCH(AU444,$G$6:$BD$6,0)),0))</f>
        <v>0</v>
      </c>
      <c r="AV445" s="17">
        <f>-MIN(0,IFERROR(INDEX($G$436:AV436,1,MATCH(AV444,$G$6:$BD$6,0)),0))</f>
        <v>0</v>
      </c>
      <c r="AW445" s="17">
        <f>-MIN(0,IFERROR(INDEX($G$436:AW436,1,MATCH(AW444,$G$6:$BD$6,0)),0))</f>
        <v>0</v>
      </c>
      <c r="AX445" s="17">
        <f>-MIN(0,IFERROR(INDEX($G$436:AX436,1,MATCH(AX444,$G$6:$BD$6,0)),0))</f>
        <v>0</v>
      </c>
      <c r="AY445" s="17">
        <f>-MIN(0,IFERROR(INDEX($G$436:AY436,1,MATCH(AY444,$G$6:$BD$6,0)),0))</f>
        <v>0</v>
      </c>
      <c r="AZ445" s="17">
        <f>-MIN(0,IFERROR(INDEX($G$436:AZ436,1,MATCH(AZ444,$G$6:$BD$6,0)),0))</f>
        <v>0</v>
      </c>
      <c r="BA445" s="17">
        <f>-MIN(0,IFERROR(INDEX($G$436:BA436,1,MATCH(BA444,$G$6:$BD$6,0)),0))</f>
        <v>0</v>
      </c>
      <c r="BB445" s="17">
        <f>-MIN(0,IFERROR(INDEX($G$436:BB436,1,MATCH(BB444,$G$6:$BD$6,0)),0))</f>
        <v>0</v>
      </c>
      <c r="BC445" s="17">
        <f>-MIN(0,IFERROR(INDEX($G$436:BC436,1,MATCH(BC444,$G$6:$BD$6,0)),0))</f>
        <v>0</v>
      </c>
      <c r="BD445" s="17">
        <f>-MIN(0,IFERROR(INDEX($G$436:BD436,1,MATCH(BD444,$G$6:$BD$6,0)),0))</f>
        <v>0</v>
      </c>
    </row>
    <row r="446" spans="1:57" ht="15" customHeight="1">
      <c r="C446" s="20"/>
      <c r="D446" s="11" t="s">
        <v>517</v>
      </c>
      <c r="E446" s="18" t="s">
        <v>333</v>
      </c>
      <c r="G446" s="17">
        <f>F450</f>
        <v>0</v>
      </c>
      <c r="H446" s="17">
        <f>G450</f>
        <v>0</v>
      </c>
      <c r="I446" s="17">
        <f t="shared" ref="I446:BD446" si="225">H450</f>
        <v>0</v>
      </c>
      <c r="J446" s="17">
        <f t="shared" si="225"/>
        <v>2.9261250000000003</v>
      </c>
      <c r="K446" s="17">
        <f>J450</f>
        <v>14.864715</v>
      </c>
      <c r="L446" s="17">
        <f t="shared" si="225"/>
        <v>46.867866124399953</v>
      </c>
      <c r="M446" s="17">
        <f t="shared" si="225"/>
        <v>0</v>
      </c>
      <c r="N446" s="17">
        <f t="shared" si="225"/>
        <v>0</v>
      </c>
      <c r="O446" s="17">
        <f t="shared" si="225"/>
        <v>0</v>
      </c>
      <c r="P446" s="17">
        <f t="shared" si="225"/>
        <v>0</v>
      </c>
      <c r="Q446" s="17">
        <f t="shared" si="225"/>
        <v>0</v>
      </c>
      <c r="R446" s="17">
        <f t="shared" si="225"/>
        <v>0</v>
      </c>
      <c r="S446" s="17">
        <f t="shared" si="225"/>
        <v>0</v>
      </c>
      <c r="T446" s="17">
        <f t="shared" si="225"/>
        <v>0</v>
      </c>
      <c r="U446" s="17">
        <f t="shared" si="225"/>
        <v>0</v>
      </c>
      <c r="V446" s="17">
        <f t="shared" si="225"/>
        <v>0</v>
      </c>
      <c r="W446" s="17">
        <f t="shared" si="225"/>
        <v>0</v>
      </c>
      <c r="X446" s="17">
        <f t="shared" si="225"/>
        <v>0</v>
      </c>
      <c r="Y446" s="17">
        <f t="shared" si="225"/>
        <v>0</v>
      </c>
      <c r="Z446" s="17">
        <f t="shared" si="225"/>
        <v>0</v>
      </c>
      <c r="AA446" s="17">
        <f t="shared" si="225"/>
        <v>0</v>
      </c>
      <c r="AB446" s="17">
        <f t="shared" si="225"/>
        <v>0</v>
      </c>
      <c r="AC446" s="17">
        <f t="shared" si="225"/>
        <v>0</v>
      </c>
      <c r="AD446" s="17">
        <f t="shared" si="225"/>
        <v>0</v>
      </c>
      <c r="AE446" s="17">
        <f t="shared" si="225"/>
        <v>0</v>
      </c>
      <c r="AF446" s="17">
        <f t="shared" si="225"/>
        <v>0</v>
      </c>
      <c r="AG446" s="17">
        <f t="shared" si="225"/>
        <v>0</v>
      </c>
      <c r="AH446" s="17">
        <f t="shared" si="225"/>
        <v>0</v>
      </c>
      <c r="AI446" s="17">
        <f t="shared" si="225"/>
        <v>0</v>
      </c>
      <c r="AJ446" s="17">
        <f t="shared" si="225"/>
        <v>0.51206594299233643</v>
      </c>
      <c r="AK446" s="17">
        <f t="shared" si="225"/>
        <v>0.51206594299233643</v>
      </c>
      <c r="AL446" s="17">
        <f t="shared" si="225"/>
        <v>0.51206594299233643</v>
      </c>
      <c r="AM446" s="17">
        <f t="shared" si="225"/>
        <v>0.51206594299233643</v>
      </c>
      <c r="AN446" s="17">
        <f t="shared" si="225"/>
        <v>0.51206594299233643</v>
      </c>
      <c r="AO446" s="17">
        <f t="shared" si="225"/>
        <v>0.51206594299233643</v>
      </c>
      <c r="AP446" s="17">
        <f t="shared" si="225"/>
        <v>0.51206594299233643</v>
      </c>
      <c r="AQ446" s="17">
        <f t="shared" si="225"/>
        <v>0.51206594299233643</v>
      </c>
      <c r="AR446" s="17">
        <f t="shared" si="225"/>
        <v>0.51206594299233643</v>
      </c>
      <c r="AS446" s="17">
        <f t="shared" si="225"/>
        <v>0.51206594299233643</v>
      </c>
      <c r="AT446" s="17">
        <f t="shared" si="225"/>
        <v>0.51206594299233643</v>
      </c>
      <c r="AU446" s="17">
        <f t="shared" si="225"/>
        <v>0.51206594299233643</v>
      </c>
      <c r="AV446" s="17">
        <f t="shared" si="225"/>
        <v>0.51206594299233643</v>
      </c>
      <c r="AW446" s="17">
        <f t="shared" si="225"/>
        <v>0.51206594299233643</v>
      </c>
      <c r="AX446" s="17">
        <f t="shared" si="225"/>
        <v>0.51206594299233643</v>
      </c>
      <c r="AY446" s="17">
        <f t="shared" si="225"/>
        <v>0.51206594299233643</v>
      </c>
      <c r="AZ446" s="17">
        <f t="shared" si="225"/>
        <v>0.51206594299233643</v>
      </c>
      <c r="BA446" s="17">
        <f t="shared" si="225"/>
        <v>0.51206594299233643</v>
      </c>
      <c r="BB446" s="17">
        <f t="shared" si="225"/>
        <v>0.51206594299233643</v>
      </c>
      <c r="BC446" s="17">
        <f t="shared" si="225"/>
        <v>0.51206594299233643</v>
      </c>
      <c r="BD446" s="17">
        <f t="shared" si="225"/>
        <v>0.51206594299233643</v>
      </c>
    </row>
    <row r="447" spans="1:57" ht="15" customHeight="1">
      <c r="C447" s="20"/>
      <c r="D447" s="11" t="s">
        <v>518</v>
      </c>
      <c r="E447" s="18" t="s">
        <v>333</v>
      </c>
      <c r="G447" s="17">
        <f t="shared" ref="G447:AL447" si="226">MIN(G436,0)</f>
        <v>0</v>
      </c>
      <c r="H447" s="17">
        <f t="shared" si="226"/>
        <v>0</v>
      </c>
      <c r="I447" s="17">
        <f t="shared" si="226"/>
        <v>-2.9261250000000003</v>
      </c>
      <c r="J447" s="17">
        <f t="shared" si="226"/>
        <v>-11.93859</v>
      </c>
      <c r="K447" s="17">
        <f t="shared" si="226"/>
        <v>-32.003151124399949</v>
      </c>
      <c r="L447" s="17">
        <f t="shared" si="226"/>
        <v>0</v>
      </c>
      <c r="M447" s="17">
        <f t="shared" si="226"/>
        <v>0</v>
      </c>
      <c r="N447" s="17">
        <f t="shared" si="226"/>
        <v>0</v>
      </c>
      <c r="O447" s="17">
        <f t="shared" si="226"/>
        <v>0</v>
      </c>
      <c r="P447" s="17">
        <f t="shared" si="226"/>
        <v>0</v>
      </c>
      <c r="Q447" s="17">
        <f t="shared" si="226"/>
        <v>0</v>
      </c>
      <c r="R447" s="17">
        <f t="shared" si="226"/>
        <v>0</v>
      </c>
      <c r="S447" s="17">
        <f t="shared" si="226"/>
        <v>0</v>
      </c>
      <c r="T447" s="17">
        <f t="shared" si="226"/>
        <v>0</v>
      </c>
      <c r="U447" s="17">
        <f t="shared" si="226"/>
        <v>0</v>
      </c>
      <c r="V447" s="17">
        <f t="shared" si="226"/>
        <v>0</v>
      </c>
      <c r="W447" s="17">
        <f t="shared" si="226"/>
        <v>0</v>
      </c>
      <c r="X447" s="17">
        <f t="shared" si="226"/>
        <v>0</v>
      </c>
      <c r="Y447" s="17">
        <f t="shared" si="226"/>
        <v>0</v>
      </c>
      <c r="Z447" s="17">
        <f t="shared" si="226"/>
        <v>0</v>
      </c>
      <c r="AA447" s="17">
        <f t="shared" si="226"/>
        <v>0</v>
      </c>
      <c r="AB447" s="17">
        <f t="shared" si="226"/>
        <v>0</v>
      </c>
      <c r="AC447" s="17">
        <f t="shared" si="226"/>
        <v>0</v>
      </c>
      <c r="AD447" s="17">
        <f t="shared" si="226"/>
        <v>0</v>
      </c>
      <c r="AE447" s="17">
        <f t="shared" si="226"/>
        <v>0</v>
      </c>
      <c r="AF447" s="17">
        <f t="shared" si="226"/>
        <v>0</v>
      </c>
      <c r="AG447" s="17">
        <f t="shared" si="226"/>
        <v>0</v>
      </c>
      <c r="AH447" s="17">
        <f t="shared" si="226"/>
        <v>0</v>
      </c>
      <c r="AI447" s="17">
        <f t="shared" si="226"/>
        <v>-0.51206594299233643</v>
      </c>
      <c r="AJ447" s="17">
        <f t="shared" si="226"/>
        <v>0</v>
      </c>
      <c r="AK447" s="17">
        <f t="shared" si="226"/>
        <v>0</v>
      </c>
      <c r="AL447" s="17">
        <f t="shared" si="226"/>
        <v>0</v>
      </c>
      <c r="AM447" s="17">
        <f t="shared" ref="AM447:BD447" si="227">MIN(AM436,0)</f>
        <v>0</v>
      </c>
      <c r="AN447" s="17">
        <f t="shared" si="227"/>
        <v>0</v>
      </c>
      <c r="AO447" s="17">
        <f t="shared" si="227"/>
        <v>0</v>
      </c>
      <c r="AP447" s="17">
        <f t="shared" si="227"/>
        <v>0</v>
      </c>
      <c r="AQ447" s="17">
        <f t="shared" si="227"/>
        <v>0</v>
      </c>
      <c r="AR447" s="17">
        <f t="shared" si="227"/>
        <v>0</v>
      </c>
      <c r="AS447" s="17">
        <f t="shared" si="227"/>
        <v>0</v>
      </c>
      <c r="AT447" s="17">
        <f t="shared" si="227"/>
        <v>0</v>
      </c>
      <c r="AU447" s="17">
        <f t="shared" si="227"/>
        <v>0</v>
      </c>
      <c r="AV447" s="17">
        <f t="shared" si="227"/>
        <v>0</v>
      </c>
      <c r="AW447" s="17">
        <f t="shared" si="227"/>
        <v>0</v>
      </c>
      <c r="AX447" s="17">
        <f t="shared" si="227"/>
        <v>0</v>
      </c>
      <c r="AY447" s="17">
        <f t="shared" si="227"/>
        <v>0</v>
      </c>
      <c r="AZ447" s="17">
        <f t="shared" si="227"/>
        <v>0</v>
      </c>
      <c r="BA447" s="17">
        <f t="shared" si="227"/>
        <v>0</v>
      </c>
      <c r="BB447" s="17">
        <f t="shared" si="227"/>
        <v>0</v>
      </c>
      <c r="BC447" s="17">
        <f t="shared" si="227"/>
        <v>0</v>
      </c>
      <c r="BD447" s="17">
        <f t="shared" si="227"/>
        <v>0</v>
      </c>
    </row>
    <row r="448" spans="1:57" ht="15" customHeight="1">
      <c r="C448" s="20"/>
      <c r="D448" s="11" t="s">
        <v>519</v>
      </c>
      <c r="E448" s="18" t="s">
        <v>333</v>
      </c>
      <c r="G448" s="17">
        <f>G436*Inputs!$E$59</f>
        <v>0</v>
      </c>
      <c r="H448" s="17">
        <f>H436*Inputs!$E$59</f>
        <v>0</v>
      </c>
      <c r="I448" s="17">
        <f>I436*Inputs!$E$59</f>
        <v>-2.0482875000000003</v>
      </c>
      <c r="J448" s="17">
        <f>J436*Inputs!$E$59</f>
        <v>-8.3570129999999985</v>
      </c>
      <c r="K448" s="17">
        <f>K436*Inputs!$E$59</f>
        <v>-22.402205787079964</v>
      </c>
      <c r="L448" s="17">
        <f>L436*Inputs!$E$59</f>
        <v>122.51140384764966</v>
      </c>
      <c r="M448" s="17">
        <f>M436*Inputs!$E$59</f>
        <v>122.64852958149862</v>
      </c>
      <c r="N448" s="17">
        <f>N436*Inputs!$E$59</f>
        <v>122.74149892852053</v>
      </c>
      <c r="O448" s="17">
        <f>O436*Inputs!$E$59</f>
        <v>122.78942876097899</v>
      </c>
      <c r="P448" s="17">
        <f>P436*Inputs!$E$59</f>
        <v>189.65189196858259</v>
      </c>
      <c r="Q448" s="17">
        <f>Q436*Inputs!$E$59</f>
        <v>193.44492980795422</v>
      </c>
      <c r="R448" s="17">
        <f>R436*Inputs!$E$59</f>
        <v>197.31382840411322</v>
      </c>
      <c r="S448" s="17">
        <f>S436*Inputs!$E$59</f>
        <v>201.26010497219556</v>
      </c>
      <c r="T448" s="17">
        <f>T436*Inputs!$E$59</f>
        <v>205.28530707163949</v>
      </c>
      <c r="U448" s="17">
        <f>U436*Inputs!$E$59</f>
        <v>209.39101321307226</v>
      </c>
      <c r="V448" s="17">
        <f>V436*Inputs!$E$59</f>
        <v>213.57883347733366</v>
      </c>
      <c r="W448" s="17">
        <f>W436*Inputs!$E$59</f>
        <v>217.85041014688042</v>
      </c>
      <c r="X448" s="17">
        <f>X436*Inputs!$E$59</f>
        <v>222.20741834981803</v>
      </c>
      <c r="Y448" s="17">
        <f>Y436*Inputs!$E$59</f>
        <v>225.06101975928627</v>
      </c>
      <c r="Z448" s="17">
        <f>Z436*Inputs!$E$59</f>
        <v>229.5584659752507</v>
      </c>
      <c r="AA448" s="17">
        <f>AA436*Inputs!$E$59</f>
        <v>234.14097500505034</v>
      </c>
      <c r="AB448" s="17">
        <f>AB436*Inputs!$E$59</f>
        <v>238.8085998570252</v>
      </c>
      <c r="AC448" s="17">
        <f>AC436*Inputs!$E$59</f>
        <v>243.56045661733853</v>
      </c>
      <c r="AD448" s="17">
        <f>AD436*Inputs!$E$59</f>
        <v>245.68946391924143</v>
      </c>
      <c r="AE448" s="17">
        <f>AE436*Inputs!$E$59</f>
        <v>250.54362407109286</v>
      </c>
      <c r="AF448" s="17">
        <f>AF436*Inputs!$E$59</f>
        <v>255.45430169240981</v>
      </c>
      <c r="AG448" s="17">
        <f>AG436*Inputs!$E$59</f>
        <v>265.92800318059773</v>
      </c>
      <c r="AH448" s="17">
        <f>AH436*Inputs!$E$59</f>
        <v>60.798216799710879</v>
      </c>
      <c r="AI448" s="17">
        <f>AI436*Inputs!$E$59</f>
        <v>-0.35844616009463548</v>
      </c>
      <c r="AJ448" s="17">
        <f>AJ436*Inputs!$E$59</f>
        <v>0</v>
      </c>
      <c r="AK448" s="17">
        <f>AK436*Inputs!$E$59</f>
        <v>0</v>
      </c>
      <c r="AL448" s="17">
        <f>AL436*Inputs!$E$59</f>
        <v>0</v>
      </c>
      <c r="AM448" s="17">
        <f>AM436*Inputs!$E$59</f>
        <v>0</v>
      </c>
      <c r="AN448" s="17">
        <f>AN436*Inputs!$E$59</f>
        <v>0</v>
      </c>
      <c r="AO448" s="17">
        <f>AO436*Inputs!$E$59</f>
        <v>0</v>
      </c>
      <c r="AP448" s="17">
        <f>AP436*Inputs!$E$59</f>
        <v>0</v>
      </c>
      <c r="AQ448" s="17">
        <f>AQ436*Inputs!$E$59</f>
        <v>0</v>
      </c>
      <c r="AR448" s="17">
        <f>AR436*Inputs!$E$59</f>
        <v>0</v>
      </c>
      <c r="AS448" s="17">
        <f>AS436*Inputs!$E$59</f>
        <v>0</v>
      </c>
      <c r="AT448" s="17">
        <f>AT436*Inputs!$E$59</f>
        <v>0</v>
      </c>
      <c r="AU448" s="17">
        <f>AU436*Inputs!$E$59</f>
        <v>0</v>
      </c>
      <c r="AV448" s="17">
        <f>AV436*Inputs!$E$59</f>
        <v>0</v>
      </c>
      <c r="AW448" s="17">
        <f>AW436*Inputs!$E$59</f>
        <v>0</v>
      </c>
      <c r="AX448" s="17">
        <f>AX436*Inputs!$E$59</f>
        <v>0</v>
      </c>
      <c r="AY448" s="17">
        <f>AY436*Inputs!$E$59</f>
        <v>0</v>
      </c>
      <c r="AZ448" s="17">
        <f>AZ436*Inputs!$E$59</f>
        <v>0</v>
      </c>
      <c r="BA448" s="17">
        <f>BA436*Inputs!$E$59</f>
        <v>0</v>
      </c>
      <c r="BB448" s="17">
        <f>BB436*Inputs!$E$59</f>
        <v>0</v>
      </c>
      <c r="BC448" s="17">
        <f>BC436*Inputs!$E$59</f>
        <v>0</v>
      </c>
      <c r="BD448" s="17">
        <f>BD436*Inputs!$E$59</f>
        <v>0</v>
      </c>
    </row>
    <row r="449" spans="3:56" ht="15" customHeight="1">
      <c r="C449" s="20"/>
      <c r="D449" s="11" t="s">
        <v>520</v>
      </c>
      <c r="E449" s="18" t="s">
        <v>333</v>
      </c>
      <c r="G449" s="17">
        <f t="shared" ref="G449:AL449" si="228">MIN((G436&gt;0)*G448,G446)</f>
        <v>0</v>
      </c>
      <c r="H449" s="17">
        <f t="shared" si="228"/>
        <v>0</v>
      </c>
      <c r="I449" s="17">
        <f t="shared" si="228"/>
        <v>0</v>
      </c>
      <c r="J449" s="17">
        <f t="shared" si="228"/>
        <v>0</v>
      </c>
      <c r="K449" s="17">
        <f t="shared" si="228"/>
        <v>0</v>
      </c>
      <c r="L449" s="17">
        <f t="shared" si="228"/>
        <v>46.867866124399953</v>
      </c>
      <c r="M449" s="17">
        <f t="shared" si="228"/>
        <v>0</v>
      </c>
      <c r="N449" s="17">
        <f t="shared" si="228"/>
        <v>0</v>
      </c>
      <c r="O449" s="17">
        <f t="shared" si="228"/>
        <v>0</v>
      </c>
      <c r="P449" s="17">
        <f t="shared" si="228"/>
        <v>0</v>
      </c>
      <c r="Q449" s="17">
        <f t="shared" si="228"/>
        <v>0</v>
      </c>
      <c r="R449" s="17">
        <f t="shared" si="228"/>
        <v>0</v>
      </c>
      <c r="S449" s="17">
        <f t="shared" si="228"/>
        <v>0</v>
      </c>
      <c r="T449" s="17">
        <f t="shared" si="228"/>
        <v>0</v>
      </c>
      <c r="U449" s="17">
        <f t="shared" si="228"/>
        <v>0</v>
      </c>
      <c r="V449" s="17">
        <f t="shared" si="228"/>
        <v>0</v>
      </c>
      <c r="W449" s="17">
        <f t="shared" si="228"/>
        <v>0</v>
      </c>
      <c r="X449" s="17">
        <f t="shared" si="228"/>
        <v>0</v>
      </c>
      <c r="Y449" s="17">
        <f t="shared" si="228"/>
        <v>0</v>
      </c>
      <c r="Z449" s="17">
        <f t="shared" si="228"/>
        <v>0</v>
      </c>
      <c r="AA449" s="17">
        <f t="shared" si="228"/>
        <v>0</v>
      </c>
      <c r="AB449" s="17">
        <f t="shared" si="228"/>
        <v>0</v>
      </c>
      <c r="AC449" s="17">
        <f t="shared" si="228"/>
        <v>0</v>
      </c>
      <c r="AD449" s="17">
        <f t="shared" si="228"/>
        <v>0</v>
      </c>
      <c r="AE449" s="17">
        <f t="shared" si="228"/>
        <v>0</v>
      </c>
      <c r="AF449" s="17">
        <f t="shared" si="228"/>
        <v>0</v>
      </c>
      <c r="AG449" s="17">
        <f t="shared" si="228"/>
        <v>0</v>
      </c>
      <c r="AH449" s="17">
        <f t="shared" si="228"/>
        <v>0</v>
      </c>
      <c r="AI449" s="17">
        <f t="shared" si="228"/>
        <v>0</v>
      </c>
      <c r="AJ449" s="17">
        <f t="shared" si="228"/>
        <v>0</v>
      </c>
      <c r="AK449" s="17">
        <f t="shared" si="228"/>
        <v>0</v>
      </c>
      <c r="AL449" s="17">
        <f t="shared" si="228"/>
        <v>0</v>
      </c>
      <c r="AM449" s="17">
        <f t="shared" ref="AM449:BD449" si="229">MIN((AM436&gt;0)*AM448,AM446)</f>
        <v>0</v>
      </c>
      <c r="AN449" s="17">
        <f t="shared" si="229"/>
        <v>0</v>
      </c>
      <c r="AO449" s="17">
        <f t="shared" si="229"/>
        <v>0</v>
      </c>
      <c r="AP449" s="17">
        <f t="shared" si="229"/>
        <v>0</v>
      </c>
      <c r="AQ449" s="17">
        <f t="shared" si="229"/>
        <v>0</v>
      </c>
      <c r="AR449" s="17">
        <f t="shared" si="229"/>
        <v>0</v>
      </c>
      <c r="AS449" s="17">
        <f t="shared" si="229"/>
        <v>0</v>
      </c>
      <c r="AT449" s="17">
        <f t="shared" si="229"/>
        <v>0</v>
      </c>
      <c r="AU449" s="17">
        <f t="shared" si="229"/>
        <v>0</v>
      </c>
      <c r="AV449" s="17">
        <f t="shared" si="229"/>
        <v>0</v>
      </c>
      <c r="AW449" s="17">
        <f t="shared" si="229"/>
        <v>0</v>
      </c>
      <c r="AX449" s="17">
        <f t="shared" si="229"/>
        <v>0</v>
      </c>
      <c r="AY449" s="17">
        <f t="shared" si="229"/>
        <v>0</v>
      </c>
      <c r="AZ449" s="17">
        <f t="shared" si="229"/>
        <v>0</v>
      </c>
      <c r="BA449" s="17">
        <f t="shared" si="229"/>
        <v>0</v>
      </c>
      <c r="BB449" s="17">
        <f t="shared" si="229"/>
        <v>0</v>
      </c>
      <c r="BC449" s="17">
        <f t="shared" si="229"/>
        <v>0</v>
      </c>
      <c r="BD449" s="17">
        <f t="shared" si="229"/>
        <v>0</v>
      </c>
    </row>
    <row r="450" spans="3:56" ht="15" customHeight="1">
      <c r="C450" s="20"/>
      <c r="D450" s="11" t="s">
        <v>521</v>
      </c>
      <c r="E450" s="18" t="s">
        <v>333</v>
      </c>
      <c r="G450" s="17">
        <f>MAX(0,-G447+G446-G445-G449)</f>
        <v>0</v>
      </c>
      <c r="H450" s="17">
        <f>MAX(0,-H447+H446-H445-H449)</f>
        <v>0</v>
      </c>
      <c r="I450" s="17">
        <f t="shared" ref="I450:BD450" si="230">MAX(0,-I447+I446-I445-I449)</f>
        <v>2.9261250000000003</v>
      </c>
      <c r="J450" s="17">
        <f>MAX(0,-J447+J446-J445-J449)</f>
        <v>14.864715</v>
      </c>
      <c r="K450" s="17">
        <f t="shared" si="230"/>
        <v>46.867866124399953</v>
      </c>
      <c r="L450" s="17">
        <f t="shared" si="230"/>
        <v>0</v>
      </c>
      <c r="M450" s="17">
        <f t="shared" si="230"/>
        <v>0</v>
      </c>
      <c r="N450" s="17">
        <f t="shared" si="230"/>
        <v>0</v>
      </c>
      <c r="O450" s="17">
        <f t="shared" si="230"/>
        <v>0</v>
      </c>
      <c r="P450" s="17">
        <f t="shared" si="230"/>
        <v>0</v>
      </c>
      <c r="Q450" s="17">
        <f t="shared" si="230"/>
        <v>0</v>
      </c>
      <c r="R450" s="17">
        <f t="shared" si="230"/>
        <v>0</v>
      </c>
      <c r="S450" s="17">
        <f t="shared" si="230"/>
        <v>0</v>
      </c>
      <c r="T450" s="17">
        <f t="shared" si="230"/>
        <v>0</v>
      </c>
      <c r="U450" s="17">
        <f t="shared" si="230"/>
        <v>0</v>
      </c>
      <c r="V450" s="17">
        <f t="shared" si="230"/>
        <v>0</v>
      </c>
      <c r="W450" s="17">
        <f t="shared" si="230"/>
        <v>0</v>
      </c>
      <c r="X450" s="17">
        <f t="shared" si="230"/>
        <v>0</v>
      </c>
      <c r="Y450" s="17">
        <f t="shared" si="230"/>
        <v>0</v>
      </c>
      <c r="Z450" s="17">
        <f t="shared" si="230"/>
        <v>0</v>
      </c>
      <c r="AA450" s="17">
        <f t="shared" si="230"/>
        <v>0</v>
      </c>
      <c r="AB450" s="17">
        <f t="shared" si="230"/>
        <v>0</v>
      </c>
      <c r="AC450" s="17">
        <f t="shared" si="230"/>
        <v>0</v>
      </c>
      <c r="AD450" s="17">
        <f t="shared" si="230"/>
        <v>0</v>
      </c>
      <c r="AE450" s="17">
        <f t="shared" si="230"/>
        <v>0</v>
      </c>
      <c r="AF450" s="17">
        <f t="shared" si="230"/>
        <v>0</v>
      </c>
      <c r="AG450" s="17">
        <f t="shared" si="230"/>
        <v>0</v>
      </c>
      <c r="AH450" s="17">
        <f t="shared" si="230"/>
        <v>0</v>
      </c>
      <c r="AI450" s="17">
        <f t="shared" si="230"/>
        <v>0.51206594299233643</v>
      </c>
      <c r="AJ450" s="17">
        <f t="shared" si="230"/>
        <v>0.51206594299233643</v>
      </c>
      <c r="AK450" s="17">
        <f t="shared" si="230"/>
        <v>0.51206594299233643</v>
      </c>
      <c r="AL450" s="17">
        <f t="shared" si="230"/>
        <v>0.51206594299233643</v>
      </c>
      <c r="AM450" s="17">
        <f t="shared" si="230"/>
        <v>0.51206594299233643</v>
      </c>
      <c r="AN450" s="17">
        <f t="shared" si="230"/>
        <v>0.51206594299233643</v>
      </c>
      <c r="AO450" s="17">
        <f t="shared" si="230"/>
        <v>0.51206594299233643</v>
      </c>
      <c r="AP450" s="17">
        <f t="shared" si="230"/>
        <v>0.51206594299233643</v>
      </c>
      <c r="AQ450" s="17">
        <f t="shared" si="230"/>
        <v>0.51206594299233643</v>
      </c>
      <c r="AR450" s="17">
        <f t="shared" si="230"/>
        <v>0.51206594299233643</v>
      </c>
      <c r="AS450" s="17">
        <f t="shared" si="230"/>
        <v>0.51206594299233643</v>
      </c>
      <c r="AT450" s="17">
        <f t="shared" si="230"/>
        <v>0.51206594299233643</v>
      </c>
      <c r="AU450" s="17">
        <f t="shared" si="230"/>
        <v>0.51206594299233643</v>
      </c>
      <c r="AV450" s="17">
        <f t="shared" si="230"/>
        <v>0.51206594299233643</v>
      </c>
      <c r="AW450" s="17">
        <f t="shared" si="230"/>
        <v>0.51206594299233643</v>
      </c>
      <c r="AX450" s="17">
        <f t="shared" si="230"/>
        <v>0.51206594299233643</v>
      </c>
      <c r="AY450" s="17">
        <f t="shared" si="230"/>
        <v>0.51206594299233643</v>
      </c>
      <c r="AZ450" s="17">
        <f t="shared" si="230"/>
        <v>0.51206594299233643</v>
      </c>
      <c r="BA450" s="17">
        <f t="shared" si="230"/>
        <v>0.51206594299233643</v>
      </c>
      <c r="BB450" s="17">
        <f t="shared" si="230"/>
        <v>0.51206594299233643</v>
      </c>
      <c r="BC450" s="17">
        <f t="shared" si="230"/>
        <v>0.51206594299233643</v>
      </c>
      <c r="BD450" s="17">
        <f t="shared" si="230"/>
        <v>0.51206594299233643</v>
      </c>
    </row>
    <row r="451" spans="3:56" ht="15" customHeight="1"/>
    <row r="452" spans="3:56" ht="15" customHeight="1">
      <c r="C452" s="299"/>
      <c r="D452" s="166"/>
      <c r="E452" s="238"/>
      <c r="F452" s="166"/>
      <c r="G452" s="298"/>
      <c r="H452" s="298"/>
      <c r="I452" s="298"/>
      <c r="J452" s="298"/>
      <c r="K452" s="298"/>
      <c r="L452" s="298"/>
      <c r="M452" s="298"/>
      <c r="N452" s="298"/>
      <c r="O452" s="298"/>
      <c r="P452" s="298"/>
      <c r="Q452" s="298"/>
      <c r="R452" s="298"/>
      <c r="S452" s="298"/>
      <c r="T452" s="298"/>
      <c r="U452" s="298"/>
      <c r="V452" s="298"/>
      <c r="W452" s="298"/>
      <c r="X452" s="298"/>
      <c r="Y452" s="298"/>
      <c r="Z452" s="298"/>
      <c r="AA452" s="298"/>
      <c r="AB452" s="298"/>
      <c r="AC452" s="298"/>
      <c r="AD452" s="298"/>
      <c r="AE452" s="298"/>
      <c r="AF452" s="298"/>
      <c r="AG452" s="298"/>
      <c r="AH452" s="298"/>
      <c r="AI452" s="298"/>
      <c r="AJ452" s="298"/>
      <c r="AK452" s="298"/>
      <c r="AL452" s="298"/>
      <c r="AM452" s="298"/>
      <c r="AN452" s="298"/>
      <c r="AO452" s="298"/>
      <c r="AP452" s="298"/>
      <c r="AQ452" s="298"/>
      <c r="AR452" s="298"/>
      <c r="AS452" s="298"/>
      <c r="AT452" s="298"/>
      <c r="AU452" s="298"/>
      <c r="AV452" s="298"/>
      <c r="AW452" s="298"/>
      <c r="AX452" s="298"/>
      <c r="AY452" s="298"/>
      <c r="AZ452" s="298"/>
      <c r="BA452" s="298"/>
      <c r="BB452" s="298"/>
      <c r="BC452" s="298"/>
      <c r="BD452" s="298"/>
    </row>
    <row r="453" spans="3:56" ht="15" customHeight="1">
      <c r="D453" s="9" t="s">
        <v>522</v>
      </c>
    </row>
    <row r="454" spans="3:56" ht="15" customHeight="1">
      <c r="C454" s="20"/>
      <c r="D454" s="11" t="s">
        <v>517</v>
      </c>
      <c r="E454" s="18" t="s">
        <v>333</v>
      </c>
      <c r="G454" s="17">
        <f>F458</f>
        <v>0</v>
      </c>
      <c r="H454" s="17">
        <f t="shared" ref="H454:BD454" si="231">G458</f>
        <v>20</v>
      </c>
      <c r="I454" s="17">
        <f t="shared" si="231"/>
        <v>60.4</v>
      </c>
      <c r="J454" s="17">
        <f t="shared" si="231"/>
        <v>139.815</v>
      </c>
      <c r="K454" s="17">
        <f t="shared" si="231"/>
        <v>378.41120000000001</v>
      </c>
      <c r="L454" s="17">
        <f t="shared" si="231"/>
        <v>378.41120000000001</v>
      </c>
      <c r="M454" s="17">
        <f t="shared" si="231"/>
        <v>378.41120000000001</v>
      </c>
      <c r="N454" s="17">
        <f t="shared" si="231"/>
        <v>378.41120000000001</v>
      </c>
      <c r="O454" s="17">
        <f t="shared" si="231"/>
        <v>378.41120000000001</v>
      </c>
      <c r="P454" s="17">
        <f t="shared" si="231"/>
        <v>378.41120000000001</v>
      </c>
      <c r="Q454" s="17">
        <f t="shared" si="231"/>
        <v>378.41120000000001</v>
      </c>
      <c r="R454" s="17">
        <f t="shared" si="231"/>
        <v>378.41120000000001</v>
      </c>
      <c r="S454" s="17">
        <f t="shared" si="231"/>
        <v>378.41120000000001</v>
      </c>
      <c r="T454" s="17">
        <f t="shared" si="231"/>
        <v>378.41120000000001</v>
      </c>
      <c r="U454" s="17">
        <f t="shared" si="231"/>
        <v>378.41120000000001</v>
      </c>
      <c r="V454" s="17">
        <f t="shared" si="231"/>
        <v>378.41120000000001</v>
      </c>
      <c r="W454" s="17">
        <f t="shared" si="231"/>
        <v>378.41120000000001</v>
      </c>
      <c r="X454" s="17">
        <f t="shared" si="231"/>
        <v>378.41120000000001</v>
      </c>
      <c r="Y454" s="17">
        <f t="shared" si="231"/>
        <v>378.41120000000001</v>
      </c>
      <c r="Z454" s="17">
        <f t="shared" si="231"/>
        <v>378.41120000000001</v>
      </c>
      <c r="AA454" s="17">
        <f t="shared" si="231"/>
        <v>378.41120000000001</v>
      </c>
      <c r="AB454" s="17">
        <f t="shared" si="231"/>
        <v>378.41120000000001</v>
      </c>
      <c r="AC454" s="17">
        <f t="shared" si="231"/>
        <v>378.41120000000001</v>
      </c>
      <c r="AD454" s="17">
        <f t="shared" si="231"/>
        <v>378.41120000000001</v>
      </c>
      <c r="AE454" s="17">
        <f t="shared" si="231"/>
        <v>378.41120000000001</v>
      </c>
      <c r="AF454" s="17">
        <f t="shared" si="231"/>
        <v>378.41120000000001</v>
      </c>
      <c r="AG454" s="17">
        <f t="shared" si="231"/>
        <v>378.41120000000001</v>
      </c>
      <c r="AH454" s="17">
        <f t="shared" si="231"/>
        <v>378.41120000000001</v>
      </c>
      <c r="AI454" s="17">
        <f t="shared" si="231"/>
        <v>378.41120000000001</v>
      </c>
      <c r="AJ454" s="17">
        <f t="shared" si="231"/>
        <v>378.41120000000001</v>
      </c>
      <c r="AK454" s="17">
        <f t="shared" si="231"/>
        <v>378.41120000000001</v>
      </c>
      <c r="AL454" s="17">
        <f t="shared" si="231"/>
        <v>378.41120000000001</v>
      </c>
      <c r="AM454" s="17">
        <f t="shared" si="231"/>
        <v>378.41120000000001</v>
      </c>
      <c r="AN454" s="17">
        <f t="shared" si="231"/>
        <v>378.41120000000001</v>
      </c>
      <c r="AO454" s="17">
        <f t="shared" si="231"/>
        <v>378.41120000000001</v>
      </c>
      <c r="AP454" s="17">
        <f t="shared" si="231"/>
        <v>378.41120000000001</v>
      </c>
      <c r="AQ454" s="17">
        <f t="shared" si="231"/>
        <v>378.41120000000001</v>
      </c>
      <c r="AR454" s="17">
        <f t="shared" si="231"/>
        <v>378.41120000000001</v>
      </c>
      <c r="AS454" s="17">
        <f t="shared" si="231"/>
        <v>378.41120000000001</v>
      </c>
      <c r="AT454" s="17">
        <f t="shared" si="231"/>
        <v>378.41120000000001</v>
      </c>
      <c r="AU454" s="17">
        <f t="shared" si="231"/>
        <v>378.41120000000001</v>
      </c>
      <c r="AV454" s="17">
        <f t="shared" si="231"/>
        <v>378.41120000000001</v>
      </c>
      <c r="AW454" s="17">
        <f t="shared" si="231"/>
        <v>378.41120000000001</v>
      </c>
      <c r="AX454" s="17">
        <f t="shared" si="231"/>
        <v>378.41120000000001</v>
      </c>
      <c r="AY454" s="17">
        <f t="shared" si="231"/>
        <v>378.41120000000001</v>
      </c>
      <c r="AZ454" s="17">
        <f t="shared" si="231"/>
        <v>378.41120000000001</v>
      </c>
      <c r="BA454" s="17">
        <f t="shared" si="231"/>
        <v>378.41120000000001</v>
      </c>
      <c r="BB454" s="17">
        <f t="shared" si="231"/>
        <v>378.41120000000001</v>
      </c>
      <c r="BC454" s="17">
        <f t="shared" si="231"/>
        <v>378.41120000000001</v>
      </c>
      <c r="BD454" s="17">
        <f t="shared" si="231"/>
        <v>378.41120000000001</v>
      </c>
    </row>
    <row r="455" spans="3:56" ht="15" customHeight="1">
      <c r="C455" s="20"/>
      <c r="D455" s="11" t="s">
        <v>523</v>
      </c>
      <c r="E455" s="18" t="s">
        <v>333</v>
      </c>
      <c r="G455" s="17">
        <f t="shared" ref="G455:AL455" si="232">G228</f>
        <v>20</v>
      </c>
      <c r="H455" s="17">
        <f t="shared" si="232"/>
        <v>40.4</v>
      </c>
      <c r="I455" s="17">
        <f t="shared" si="232"/>
        <v>79.414999999999992</v>
      </c>
      <c r="J455" s="17">
        <f t="shared" si="232"/>
        <v>238.59619999999998</v>
      </c>
      <c r="K455" s="17">
        <f t="shared" si="232"/>
        <v>0</v>
      </c>
      <c r="L455" s="17">
        <f t="shared" si="232"/>
        <v>0</v>
      </c>
      <c r="M455" s="17">
        <f t="shared" si="232"/>
        <v>0</v>
      </c>
      <c r="N455" s="17">
        <f t="shared" si="232"/>
        <v>0</v>
      </c>
      <c r="O455" s="17">
        <f t="shared" si="232"/>
        <v>0</v>
      </c>
      <c r="P455" s="17">
        <f t="shared" si="232"/>
        <v>0</v>
      </c>
      <c r="Q455" s="17">
        <f t="shared" si="232"/>
        <v>0</v>
      </c>
      <c r="R455" s="17">
        <f t="shared" si="232"/>
        <v>0</v>
      </c>
      <c r="S455" s="17">
        <f t="shared" si="232"/>
        <v>0</v>
      </c>
      <c r="T455" s="17">
        <f t="shared" si="232"/>
        <v>0</v>
      </c>
      <c r="U455" s="17">
        <f t="shared" si="232"/>
        <v>0</v>
      </c>
      <c r="V455" s="17">
        <f t="shared" si="232"/>
        <v>0</v>
      </c>
      <c r="W455" s="17">
        <f t="shared" si="232"/>
        <v>0</v>
      </c>
      <c r="X455" s="17">
        <f t="shared" si="232"/>
        <v>0</v>
      </c>
      <c r="Y455" s="17">
        <f t="shared" si="232"/>
        <v>0</v>
      </c>
      <c r="Z455" s="17">
        <f t="shared" si="232"/>
        <v>0</v>
      </c>
      <c r="AA455" s="17">
        <f t="shared" si="232"/>
        <v>0</v>
      </c>
      <c r="AB455" s="17">
        <f t="shared" si="232"/>
        <v>0</v>
      </c>
      <c r="AC455" s="17">
        <f t="shared" si="232"/>
        <v>0</v>
      </c>
      <c r="AD455" s="17">
        <f t="shared" si="232"/>
        <v>0</v>
      </c>
      <c r="AE455" s="17">
        <f t="shared" si="232"/>
        <v>0</v>
      </c>
      <c r="AF455" s="17">
        <f t="shared" si="232"/>
        <v>0</v>
      </c>
      <c r="AG455" s="17">
        <f t="shared" si="232"/>
        <v>0</v>
      </c>
      <c r="AH455" s="17">
        <f t="shared" si="232"/>
        <v>0</v>
      </c>
      <c r="AI455" s="17">
        <f t="shared" si="232"/>
        <v>0</v>
      </c>
      <c r="AJ455" s="17">
        <f t="shared" si="232"/>
        <v>0</v>
      </c>
      <c r="AK455" s="17">
        <f t="shared" si="232"/>
        <v>0</v>
      </c>
      <c r="AL455" s="17">
        <f t="shared" si="232"/>
        <v>0</v>
      </c>
      <c r="AM455" s="17">
        <f t="shared" ref="AM455:BD455" si="233">AM228</f>
        <v>0</v>
      </c>
      <c r="AN455" s="17">
        <f t="shared" si="233"/>
        <v>0</v>
      </c>
      <c r="AO455" s="17">
        <f t="shared" si="233"/>
        <v>0</v>
      </c>
      <c r="AP455" s="17">
        <f t="shared" si="233"/>
        <v>0</v>
      </c>
      <c r="AQ455" s="17">
        <f t="shared" si="233"/>
        <v>0</v>
      </c>
      <c r="AR455" s="17">
        <f t="shared" si="233"/>
        <v>0</v>
      </c>
      <c r="AS455" s="17">
        <f t="shared" si="233"/>
        <v>0</v>
      </c>
      <c r="AT455" s="17">
        <f t="shared" si="233"/>
        <v>0</v>
      </c>
      <c r="AU455" s="17">
        <f t="shared" si="233"/>
        <v>0</v>
      </c>
      <c r="AV455" s="17">
        <f t="shared" si="233"/>
        <v>0</v>
      </c>
      <c r="AW455" s="17">
        <f t="shared" si="233"/>
        <v>0</v>
      </c>
      <c r="AX455" s="17">
        <f t="shared" si="233"/>
        <v>0</v>
      </c>
      <c r="AY455" s="17">
        <f t="shared" si="233"/>
        <v>0</v>
      </c>
      <c r="AZ455" s="17">
        <f t="shared" si="233"/>
        <v>0</v>
      </c>
      <c r="BA455" s="17">
        <f t="shared" si="233"/>
        <v>0</v>
      </c>
      <c r="BB455" s="17">
        <f t="shared" si="233"/>
        <v>0</v>
      </c>
      <c r="BC455" s="17">
        <f t="shared" si="233"/>
        <v>0</v>
      </c>
      <c r="BD455" s="17">
        <f t="shared" si="233"/>
        <v>0</v>
      </c>
    </row>
    <row r="456" spans="3:56" ht="15" customHeight="1">
      <c r="C456" s="20"/>
      <c r="D456" s="11" t="s">
        <v>519</v>
      </c>
      <c r="E456" s="18" t="s">
        <v>333</v>
      </c>
      <c r="G456" s="17">
        <f>G438*Inputs!$E$92</f>
        <v>0</v>
      </c>
      <c r="H456" s="17">
        <f>H438*Inputs!$E$92</f>
        <v>0</v>
      </c>
      <c r="I456" s="17">
        <f>I438*Inputs!$E$92</f>
        <v>0</v>
      </c>
      <c r="J456" s="17">
        <f>J438*Inputs!$E$92</f>
        <v>0</v>
      </c>
      <c r="K456" s="17">
        <f>K438*Inputs!$E$92</f>
        <v>0</v>
      </c>
      <c r="L456" s="17">
        <f>L438*Inputs!$E$92</f>
        <v>0</v>
      </c>
      <c r="M456" s="17">
        <f>M438*Inputs!$E$92</f>
        <v>0</v>
      </c>
      <c r="N456" s="17">
        <f>N438*Inputs!$E$92</f>
        <v>0</v>
      </c>
      <c r="O456" s="17">
        <f>O438*Inputs!$E$92</f>
        <v>0</v>
      </c>
      <c r="P456" s="17">
        <f>P438*Inputs!$E$92</f>
        <v>0</v>
      </c>
      <c r="Q456" s="17">
        <f>Q438*Inputs!$E$92</f>
        <v>0</v>
      </c>
      <c r="R456" s="17">
        <f>R438*Inputs!$E$92</f>
        <v>0</v>
      </c>
      <c r="S456" s="17">
        <f>S438*Inputs!$E$92</f>
        <v>0</v>
      </c>
      <c r="T456" s="17">
        <f>T438*Inputs!$E$92</f>
        <v>0</v>
      </c>
      <c r="U456" s="17">
        <f>U438*Inputs!$E$92</f>
        <v>0</v>
      </c>
      <c r="V456" s="17">
        <f>V438*Inputs!$E$92</f>
        <v>0</v>
      </c>
      <c r="W456" s="17">
        <f>W438*Inputs!$E$92</f>
        <v>0</v>
      </c>
      <c r="X456" s="17">
        <f>X438*Inputs!$E$92</f>
        <v>0</v>
      </c>
      <c r="Y456" s="17">
        <f>Y438*Inputs!$E$92</f>
        <v>0</v>
      </c>
      <c r="Z456" s="17">
        <f>Z438*Inputs!$E$92</f>
        <v>0</v>
      </c>
      <c r="AA456" s="17">
        <f>AA438*Inputs!$E$92</f>
        <v>0</v>
      </c>
      <c r="AB456" s="17">
        <f>AB438*Inputs!$E$92</f>
        <v>0</v>
      </c>
      <c r="AC456" s="17">
        <f>AC438*Inputs!$E$92</f>
        <v>0</v>
      </c>
      <c r="AD456" s="17">
        <f>AD438*Inputs!$E$92</f>
        <v>0</v>
      </c>
      <c r="AE456" s="17">
        <f>AE438*Inputs!$E$92</f>
        <v>0</v>
      </c>
      <c r="AF456" s="17">
        <f>AF438*Inputs!$E$92</f>
        <v>0</v>
      </c>
      <c r="AG456" s="17">
        <f>AG438*Inputs!$E$92</f>
        <v>0</v>
      </c>
      <c r="AH456" s="17">
        <f>AH438*Inputs!$E$92</f>
        <v>0</v>
      </c>
      <c r="AI456" s="17">
        <f>AI438*Inputs!$E$92</f>
        <v>0</v>
      </c>
      <c r="AJ456" s="17">
        <f>AJ438*Inputs!$E$92</f>
        <v>0</v>
      </c>
      <c r="AK456" s="17">
        <f>AK438*Inputs!$E$92</f>
        <v>0</v>
      </c>
      <c r="AL456" s="17">
        <f>AL438*Inputs!$E$92</f>
        <v>0</v>
      </c>
      <c r="AM456" s="17">
        <f>AM438*Inputs!$E$92</f>
        <v>0</v>
      </c>
      <c r="AN456" s="17">
        <f>AN438*Inputs!$E$92</f>
        <v>0</v>
      </c>
      <c r="AO456" s="17">
        <f>AO438*Inputs!$E$92</f>
        <v>0</v>
      </c>
      <c r="AP456" s="17">
        <f>AP438*Inputs!$E$92</f>
        <v>0</v>
      </c>
      <c r="AQ456" s="17">
        <f>AQ438*Inputs!$E$92</f>
        <v>0</v>
      </c>
      <c r="AR456" s="17">
        <f>AR438*Inputs!$E$92</f>
        <v>0</v>
      </c>
      <c r="AS456" s="17">
        <f>AS438*Inputs!$E$92</f>
        <v>0</v>
      </c>
      <c r="AT456" s="17">
        <f>AT438*Inputs!$E$92</f>
        <v>0</v>
      </c>
      <c r="AU456" s="17">
        <f>AU438*Inputs!$E$92</f>
        <v>0</v>
      </c>
      <c r="AV456" s="17">
        <f>AV438*Inputs!$E$92</f>
        <v>0</v>
      </c>
      <c r="AW456" s="17">
        <f>AW438*Inputs!$E$92</f>
        <v>0</v>
      </c>
      <c r="AX456" s="17">
        <f>AX438*Inputs!$E$92</f>
        <v>0</v>
      </c>
      <c r="AY456" s="17">
        <f>AY438*Inputs!$E$92</f>
        <v>0</v>
      </c>
      <c r="AZ456" s="17">
        <f>AZ438*Inputs!$E$92</f>
        <v>0</v>
      </c>
      <c r="BA456" s="17">
        <f>BA438*Inputs!$E$92</f>
        <v>0</v>
      </c>
      <c r="BB456" s="17">
        <f>BB438*Inputs!$E$92</f>
        <v>0</v>
      </c>
      <c r="BC456" s="17">
        <f>BC438*Inputs!$E$92</f>
        <v>0</v>
      </c>
      <c r="BD456" s="17">
        <f>BD438*Inputs!$E$92</f>
        <v>0</v>
      </c>
    </row>
    <row r="457" spans="3:56" ht="15" customHeight="1">
      <c r="C457" s="20"/>
      <c r="D457" s="11" t="s">
        <v>524</v>
      </c>
      <c r="E457" s="18" t="s">
        <v>333</v>
      </c>
      <c r="G457" s="17">
        <f>MIN((G438&gt;0)*G456,G454)</f>
        <v>0</v>
      </c>
      <c r="H457" s="17">
        <f t="shared" ref="H457:BD457" si="234">MIN((H438&gt;0)*H456,H454)</f>
        <v>0</v>
      </c>
      <c r="I457" s="17">
        <f t="shared" si="234"/>
        <v>0</v>
      </c>
      <c r="J457" s="17">
        <f t="shared" si="234"/>
        <v>0</v>
      </c>
      <c r="K457" s="17">
        <f t="shared" si="234"/>
        <v>0</v>
      </c>
      <c r="L457" s="17">
        <f t="shared" si="234"/>
        <v>0</v>
      </c>
      <c r="M457" s="17">
        <f t="shared" si="234"/>
        <v>0</v>
      </c>
      <c r="N457" s="17">
        <f t="shared" si="234"/>
        <v>0</v>
      </c>
      <c r="O457" s="17">
        <f t="shared" si="234"/>
        <v>0</v>
      </c>
      <c r="P457" s="17">
        <f t="shared" si="234"/>
        <v>0</v>
      </c>
      <c r="Q457" s="17">
        <f t="shared" si="234"/>
        <v>0</v>
      </c>
      <c r="R457" s="17">
        <f t="shared" si="234"/>
        <v>0</v>
      </c>
      <c r="S457" s="17">
        <f t="shared" si="234"/>
        <v>0</v>
      </c>
      <c r="T457" s="17">
        <f t="shared" si="234"/>
        <v>0</v>
      </c>
      <c r="U457" s="17">
        <f t="shared" si="234"/>
        <v>0</v>
      </c>
      <c r="V457" s="17">
        <f t="shared" si="234"/>
        <v>0</v>
      </c>
      <c r="W457" s="17">
        <f t="shared" si="234"/>
        <v>0</v>
      </c>
      <c r="X457" s="17">
        <f t="shared" si="234"/>
        <v>0</v>
      </c>
      <c r="Y457" s="17">
        <f t="shared" si="234"/>
        <v>0</v>
      </c>
      <c r="Z457" s="17">
        <f t="shared" si="234"/>
        <v>0</v>
      </c>
      <c r="AA457" s="17">
        <f t="shared" si="234"/>
        <v>0</v>
      </c>
      <c r="AB457" s="17">
        <f t="shared" si="234"/>
        <v>0</v>
      </c>
      <c r="AC457" s="17">
        <f t="shared" si="234"/>
        <v>0</v>
      </c>
      <c r="AD457" s="17">
        <f t="shared" si="234"/>
        <v>0</v>
      </c>
      <c r="AE457" s="17">
        <f t="shared" si="234"/>
        <v>0</v>
      </c>
      <c r="AF457" s="17">
        <f t="shared" si="234"/>
        <v>0</v>
      </c>
      <c r="AG457" s="17">
        <f t="shared" si="234"/>
        <v>0</v>
      </c>
      <c r="AH457" s="17">
        <f t="shared" si="234"/>
        <v>0</v>
      </c>
      <c r="AI457" s="17">
        <f t="shared" si="234"/>
        <v>0</v>
      </c>
      <c r="AJ457" s="17">
        <f t="shared" si="234"/>
        <v>0</v>
      </c>
      <c r="AK457" s="17">
        <f t="shared" si="234"/>
        <v>0</v>
      </c>
      <c r="AL457" s="17">
        <f t="shared" si="234"/>
        <v>0</v>
      </c>
      <c r="AM457" s="17">
        <f t="shared" si="234"/>
        <v>0</v>
      </c>
      <c r="AN457" s="17">
        <f t="shared" si="234"/>
        <v>0</v>
      </c>
      <c r="AO457" s="17">
        <f t="shared" si="234"/>
        <v>0</v>
      </c>
      <c r="AP457" s="17">
        <f t="shared" si="234"/>
        <v>0</v>
      </c>
      <c r="AQ457" s="17">
        <f t="shared" si="234"/>
        <v>0</v>
      </c>
      <c r="AR457" s="17">
        <f t="shared" si="234"/>
        <v>0</v>
      </c>
      <c r="AS457" s="17">
        <f t="shared" si="234"/>
        <v>0</v>
      </c>
      <c r="AT457" s="17">
        <f t="shared" si="234"/>
        <v>0</v>
      </c>
      <c r="AU457" s="17">
        <f t="shared" si="234"/>
        <v>0</v>
      </c>
      <c r="AV457" s="17">
        <f t="shared" si="234"/>
        <v>0</v>
      </c>
      <c r="AW457" s="17">
        <f t="shared" si="234"/>
        <v>0</v>
      </c>
      <c r="AX457" s="17">
        <f t="shared" si="234"/>
        <v>0</v>
      </c>
      <c r="AY457" s="17">
        <f t="shared" si="234"/>
        <v>0</v>
      </c>
      <c r="AZ457" s="17">
        <f t="shared" si="234"/>
        <v>0</v>
      </c>
      <c r="BA457" s="17">
        <f t="shared" si="234"/>
        <v>0</v>
      </c>
      <c r="BB457" s="17">
        <f t="shared" si="234"/>
        <v>0</v>
      </c>
      <c r="BC457" s="17">
        <f t="shared" si="234"/>
        <v>0</v>
      </c>
      <c r="BD457" s="17">
        <f t="shared" si="234"/>
        <v>0</v>
      </c>
    </row>
    <row r="458" spans="3:56" ht="15" customHeight="1">
      <c r="C458" s="20"/>
      <c r="D458" s="11" t="s">
        <v>521</v>
      </c>
      <c r="E458" s="18" t="s">
        <v>333</v>
      </c>
      <c r="G458" s="17">
        <f>MAX(0,G455+G454-G457)</f>
        <v>20</v>
      </c>
      <c r="H458" s="17">
        <f t="shared" ref="H458:BD458" si="235">MAX(0,H455+H454-H457)</f>
        <v>60.4</v>
      </c>
      <c r="I458" s="17">
        <f t="shared" si="235"/>
        <v>139.815</v>
      </c>
      <c r="J458" s="17">
        <f t="shared" si="235"/>
        <v>378.41120000000001</v>
      </c>
      <c r="K458" s="17">
        <f t="shared" si="235"/>
        <v>378.41120000000001</v>
      </c>
      <c r="L458" s="17">
        <f t="shared" si="235"/>
        <v>378.41120000000001</v>
      </c>
      <c r="M458" s="17">
        <f t="shared" si="235"/>
        <v>378.41120000000001</v>
      </c>
      <c r="N458" s="17">
        <f t="shared" si="235"/>
        <v>378.41120000000001</v>
      </c>
      <c r="O458" s="17">
        <f t="shared" si="235"/>
        <v>378.41120000000001</v>
      </c>
      <c r="P458" s="17">
        <f t="shared" si="235"/>
        <v>378.41120000000001</v>
      </c>
      <c r="Q458" s="17">
        <f t="shared" si="235"/>
        <v>378.41120000000001</v>
      </c>
      <c r="R458" s="17">
        <f t="shared" si="235"/>
        <v>378.41120000000001</v>
      </c>
      <c r="S458" s="17">
        <f t="shared" si="235"/>
        <v>378.41120000000001</v>
      </c>
      <c r="T458" s="17">
        <f t="shared" si="235"/>
        <v>378.41120000000001</v>
      </c>
      <c r="U458" s="17">
        <f t="shared" si="235"/>
        <v>378.41120000000001</v>
      </c>
      <c r="V458" s="17">
        <f t="shared" si="235"/>
        <v>378.41120000000001</v>
      </c>
      <c r="W458" s="17">
        <f t="shared" si="235"/>
        <v>378.41120000000001</v>
      </c>
      <c r="X458" s="17">
        <f t="shared" si="235"/>
        <v>378.41120000000001</v>
      </c>
      <c r="Y458" s="17">
        <f t="shared" si="235"/>
        <v>378.41120000000001</v>
      </c>
      <c r="Z458" s="17">
        <f t="shared" si="235"/>
        <v>378.41120000000001</v>
      </c>
      <c r="AA458" s="17">
        <f t="shared" si="235"/>
        <v>378.41120000000001</v>
      </c>
      <c r="AB458" s="17">
        <f t="shared" si="235"/>
        <v>378.41120000000001</v>
      </c>
      <c r="AC458" s="17">
        <f t="shared" si="235"/>
        <v>378.41120000000001</v>
      </c>
      <c r="AD458" s="17">
        <f t="shared" si="235"/>
        <v>378.41120000000001</v>
      </c>
      <c r="AE458" s="17">
        <f t="shared" si="235"/>
        <v>378.41120000000001</v>
      </c>
      <c r="AF458" s="17">
        <f t="shared" si="235"/>
        <v>378.41120000000001</v>
      </c>
      <c r="AG458" s="17">
        <f t="shared" si="235"/>
        <v>378.41120000000001</v>
      </c>
      <c r="AH458" s="17">
        <f t="shared" si="235"/>
        <v>378.41120000000001</v>
      </c>
      <c r="AI458" s="17">
        <f t="shared" si="235"/>
        <v>378.41120000000001</v>
      </c>
      <c r="AJ458" s="17">
        <f t="shared" si="235"/>
        <v>378.41120000000001</v>
      </c>
      <c r="AK458" s="17">
        <f t="shared" si="235"/>
        <v>378.41120000000001</v>
      </c>
      <c r="AL458" s="17">
        <f t="shared" si="235"/>
        <v>378.41120000000001</v>
      </c>
      <c r="AM458" s="17">
        <f t="shared" si="235"/>
        <v>378.41120000000001</v>
      </c>
      <c r="AN458" s="17">
        <f t="shared" si="235"/>
        <v>378.41120000000001</v>
      </c>
      <c r="AO458" s="17">
        <f t="shared" si="235"/>
        <v>378.41120000000001</v>
      </c>
      <c r="AP458" s="17">
        <f t="shared" si="235"/>
        <v>378.41120000000001</v>
      </c>
      <c r="AQ458" s="17">
        <f t="shared" si="235"/>
        <v>378.41120000000001</v>
      </c>
      <c r="AR458" s="17">
        <f t="shared" si="235"/>
        <v>378.41120000000001</v>
      </c>
      <c r="AS458" s="17">
        <f t="shared" si="235"/>
        <v>378.41120000000001</v>
      </c>
      <c r="AT458" s="17">
        <f t="shared" si="235"/>
        <v>378.41120000000001</v>
      </c>
      <c r="AU458" s="17">
        <f t="shared" si="235"/>
        <v>378.41120000000001</v>
      </c>
      <c r="AV458" s="17">
        <f t="shared" si="235"/>
        <v>378.41120000000001</v>
      </c>
      <c r="AW458" s="17">
        <f t="shared" si="235"/>
        <v>378.41120000000001</v>
      </c>
      <c r="AX458" s="17">
        <f t="shared" si="235"/>
        <v>378.41120000000001</v>
      </c>
      <c r="AY458" s="17">
        <f t="shared" si="235"/>
        <v>378.41120000000001</v>
      </c>
      <c r="AZ458" s="17">
        <f t="shared" si="235"/>
        <v>378.41120000000001</v>
      </c>
      <c r="BA458" s="17">
        <f t="shared" si="235"/>
        <v>378.41120000000001</v>
      </c>
      <c r="BB458" s="17">
        <f t="shared" si="235"/>
        <v>378.41120000000001</v>
      </c>
      <c r="BC458" s="17">
        <f t="shared" si="235"/>
        <v>378.41120000000001</v>
      </c>
      <c r="BD458" s="17">
        <f t="shared" si="235"/>
        <v>378.41120000000001</v>
      </c>
    </row>
    <row r="459" spans="3:56" ht="15" customHeight="1">
      <c r="C459" s="20"/>
      <c r="E459" s="18"/>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row>
    <row r="460" spans="3:56" ht="15" customHeight="1">
      <c r="C460" s="237"/>
      <c r="D460" s="166"/>
      <c r="E460" s="238"/>
      <c r="F460" s="166"/>
      <c r="G460" s="239"/>
      <c r="H460" s="239"/>
      <c r="I460" s="239"/>
      <c r="J460" s="239"/>
      <c r="K460" s="239"/>
      <c r="L460" s="239"/>
      <c r="M460" s="239"/>
      <c r="N460" s="239"/>
      <c r="O460" s="239"/>
      <c r="P460" s="239"/>
      <c r="Q460" s="239"/>
      <c r="R460" s="239"/>
      <c r="S460" s="239"/>
      <c r="T460" s="239"/>
      <c r="U460" s="239"/>
      <c r="V460" s="239"/>
      <c r="W460" s="239"/>
      <c r="X460" s="239"/>
      <c r="Y460" s="239"/>
      <c r="Z460" s="239"/>
      <c r="AA460" s="239"/>
      <c r="AB460" s="239"/>
      <c r="AC460" s="239"/>
      <c r="AD460" s="239"/>
      <c r="AE460" s="239"/>
      <c r="AF460" s="239"/>
      <c r="AG460" s="239"/>
      <c r="AH460" s="239"/>
      <c r="AI460" s="239"/>
      <c r="AJ460" s="239"/>
      <c r="AK460" s="239"/>
      <c r="AL460" s="239"/>
      <c r="AM460" s="239"/>
      <c r="AN460" s="239"/>
      <c r="AO460" s="239"/>
      <c r="AP460" s="239"/>
      <c r="AQ460" s="239"/>
      <c r="AR460" s="239"/>
      <c r="AS460" s="239"/>
      <c r="AT460" s="239"/>
      <c r="AU460" s="239"/>
      <c r="AV460" s="239"/>
      <c r="AW460" s="239"/>
      <c r="AX460" s="239"/>
      <c r="AY460" s="239"/>
      <c r="AZ460" s="239"/>
      <c r="BA460" s="239"/>
      <c r="BB460" s="239"/>
      <c r="BC460" s="239"/>
      <c r="BD460" s="239"/>
    </row>
    <row r="461" spans="3:56" ht="15" customHeight="1">
      <c r="C461" s="20"/>
      <c r="D461" s="9" t="s">
        <v>525</v>
      </c>
      <c r="E461" s="18"/>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row>
    <row r="462" spans="3:56" ht="15" customHeight="1">
      <c r="C462" s="20"/>
      <c r="D462" s="11" t="s">
        <v>526</v>
      </c>
      <c r="E462" s="18"/>
      <c r="G462" s="118">
        <f t="shared" ref="G462:AL462" si="236">IFERROR(IF((G438/G51)*100&lt;=0,0,(G438/G51)*100),0)</f>
        <v>0</v>
      </c>
      <c r="H462" s="118">
        <f t="shared" si="236"/>
        <v>0</v>
      </c>
      <c r="I462" s="118">
        <f t="shared" si="236"/>
        <v>0</v>
      </c>
      <c r="J462" s="118">
        <f t="shared" si="236"/>
        <v>0</v>
      </c>
      <c r="K462" s="118">
        <f t="shared" si="236"/>
        <v>0</v>
      </c>
      <c r="L462" s="118">
        <f t="shared" si="236"/>
        <v>20.765359483325778</v>
      </c>
      <c r="M462" s="118">
        <f t="shared" si="236"/>
        <v>27.834941621557611</v>
      </c>
      <c r="N462" s="118">
        <f t="shared" si="236"/>
        <v>27.309844026568275</v>
      </c>
      <c r="O462" s="118">
        <f t="shared" si="236"/>
        <v>26.784812117472747</v>
      </c>
      <c r="P462" s="118">
        <f t="shared" si="236"/>
        <v>40.558756670651356</v>
      </c>
      <c r="Q462" s="118">
        <f t="shared" si="236"/>
        <v>40.558756670651348</v>
      </c>
      <c r="R462" s="118">
        <f t="shared" si="236"/>
        <v>40.558756670651341</v>
      </c>
      <c r="S462" s="118">
        <f t="shared" si="236"/>
        <v>40.558756670651341</v>
      </c>
      <c r="T462" s="118">
        <f t="shared" si="236"/>
        <v>40.558756670651356</v>
      </c>
      <c r="U462" s="118">
        <f t="shared" si="236"/>
        <v>40.558756670651341</v>
      </c>
      <c r="V462" s="118">
        <f t="shared" si="236"/>
        <v>40.558756670651348</v>
      </c>
      <c r="W462" s="118">
        <f t="shared" si="236"/>
        <v>40.558756670651356</v>
      </c>
      <c r="X462" s="118">
        <f t="shared" si="236"/>
        <v>40.558756670651356</v>
      </c>
      <c r="Y462" s="118">
        <f t="shared" si="236"/>
        <v>40.274132090472605</v>
      </c>
      <c r="Z462" s="118">
        <f t="shared" si="236"/>
        <v>40.273469952865007</v>
      </c>
      <c r="AA462" s="118">
        <f t="shared" si="236"/>
        <v>40.271980392922742</v>
      </c>
      <c r="AB462" s="118">
        <f t="shared" si="236"/>
        <v>40.269418175147578</v>
      </c>
      <c r="AC462" s="118">
        <f t="shared" si="236"/>
        <v>40.265398381823189</v>
      </c>
      <c r="AD462" s="118">
        <f t="shared" si="236"/>
        <v>39.996259134987369</v>
      </c>
      <c r="AE462" s="118">
        <f t="shared" si="236"/>
        <v>39.986742331169417</v>
      </c>
      <c r="AF462" s="118">
        <f t="shared" si="236"/>
        <v>39.971064790339696</v>
      </c>
      <c r="AG462" s="118">
        <f t="shared" si="236"/>
        <v>40.794010000608225</v>
      </c>
      <c r="AH462" s="118">
        <f t="shared" si="236"/>
        <v>21.335350442019521</v>
      </c>
      <c r="AI462" s="118">
        <f t="shared" si="236"/>
        <v>0</v>
      </c>
      <c r="AJ462" s="118">
        <f t="shared" si="236"/>
        <v>0</v>
      </c>
      <c r="AK462" s="118">
        <f t="shared" si="236"/>
        <v>0</v>
      </c>
      <c r="AL462" s="118">
        <f t="shared" si="236"/>
        <v>0</v>
      </c>
      <c r="AM462" s="118">
        <f t="shared" ref="AM462:BD462" si="237">IFERROR(IF((AM438/AM51)*100&lt;=0,0,(AM438/AM51)*100),0)</f>
        <v>0</v>
      </c>
      <c r="AN462" s="118">
        <f t="shared" si="237"/>
        <v>0</v>
      </c>
      <c r="AO462" s="118">
        <f t="shared" si="237"/>
        <v>0</v>
      </c>
      <c r="AP462" s="118">
        <f t="shared" si="237"/>
        <v>0</v>
      </c>
      <c r="AQ462" s="118">
        <f t="shared" si="237"/>
        <v>0</v>
      </c>
      <c r="AR462" s="118">
        <f t="shared" si="237"/>
        <v>0</v>
      </c>
      <c r="AS462" s="118">
        <f t="shared" si="237"/>
        <v>0</v>
      </c>
      <c r="AT462" s="118">
        <f t="shared" si="237"/>
        <v>0</v>
      </c>
      <c r="AU462" s="118">
        <f t="shared" si="237"/>
        <v>0</v>
      </c>
      <c r="AV462" s="118">
        <f t="shared" si="237"/>
        <v>0</v>
      </c>
      <c r="AW462" s="118">
        <f t="shared" si="237"/>
        <v>0</v>
      </c>
      <c r="AX462" s="118">
        <f t="shared" si="237"/>
        <v>0</v>
      </c>
      <c r="AY462" s="118">
        <f t="shared" si="237"/>
        <v>0</v>
      </c>
      <c r="AZ462" s="118">
        <f t="shared" si="237"/>
        <v>0</v>
      </c>
      <c r="BA462" s="118">
        <f t="shared" si="237"/>
        <v>0</v>
      </c>
      <c r="BB462" s="118">
        <f t="shared" si="237"/>
        <v>0</v>
      </c>
      <c r="BC462" s="118">
        <f t="shared" si="237"/>
        <v>0</v>
      </c>
      <c r="BD462" s="118">
        <f t="shared" si="237"/>
        <v>0</v>
      </c>
    </row>
    <row r="463" spans="3:56" ht="15" customHeight="1">
      <c r="C463" s="20"/>
      <c r="D463" s="11" t="s">
        <v>527</v>
      </c>
      <c r="E463" s="18"/>
      <c r="G463" s="7">
        <f>IFERROR(IF(Inputs!$E$61-((Inputs!$E$61*Inputs!$E$62)/G462)&gt;0,(Inputs!$E$61-((Inputs!$E$61*Inputs!$E$62)/G462))/100,0),0)</f>
        <v>0</v>
      </c>
      <c r="H463" s="7">
        <f>IFERROR(IF(Inputs!$E$61-((Inputs!$E$61*Inputs!$E$62)/H462)&gt;0,(Inputs!$E$61-((Inputs!$E$61*Inputs!$E$62)/H462))/100,0),0)</f>
        <v>0</v>
      </c>
      <c r="I463" s="7">
        <f>IFERROR(IF(Inputs!$E$61-((Inputs!$E$61*Inputs!$E$62)/I462)&gt;0,(Inputs!$E$61-((Inputs!$E$61*Inputs!$E$62)/I462))/100,0),0)</f>
        <v>0</v>
      </c>
      <c r="J463" s="7">
        <f>IFERROR(IF(Inputs!$E$61-((Inputs!$E$61*Inputs!$E$62)/J462)&gt;0,(Inputs!$E$61-((Inputs!$E$61*Inputs!$E$62)/J462))/100,0),0)</f>
        <v>0</v>
      </c>
      <c r="K463" s="7">
        <f>IFERROR(IF(Inputs!$E$61-((Inputs!$E$61*Inputs!$E$62)/K462)&gt;0,(Inputs!$E$61-((Inputs!$E$61*Inputs!$E$62)/K462))/100,0),0)</f>
        <v>0</v>
      </c>
      <c r="L463" s="7">
        <f>IFERROR(IF(Inputs!$E$61-((Inputs!$E$61*Inputs!$E$62)/L462)&gt;0,(Inputs!$E$61-((Inputs!$E$61*Inputs!$E$62)/L462))/100,0),0)</f>
        <v>0</v>
      </c>
      <c r="M463" s="7">
        <f>IFERROR(IF(Inputs!$E$61-((Inputs!$E$61*Inputs!$E$62)/M462)&gt;0,(Inputs!$E$61-((Inputs!$E$61*Inputs!$E$62)/M462))/100,0),0)</f>
        <v>0</v>
      </c>
      <c r="N463" s="7">
        <f>IFERROR(IF(Inputs!$E$61-((Inputs!$E$61*Inputs!$E$62)/N462)&gt;0,(Inputs!$E$61-((Inputs!$E$61*Inputs!$E$62)/N462))/100,0),0)</f>
        <v>0</v>
      </c>
      <c r="O463" s="7">
        <f>IFERROR(IF(Inputs!$E$61-((Inputs!$E$61*Inputs!$E$62)/O462)&gt;0,(Inputs!$E$61-((Inputs!$E$61*Inputs!$E$62)/O462))/100,0),0)</f>
        <v>0</v>
      </c>
      <c r="P463" s="7">
        <f>IFERROR(IF(Inputs!$E$61-((Inputs!$E$61*Inputs!$E$62)/P462)&gt;0,(Inputs!$E$61-((Inputs!$E$61*Inputs!$E$62)/P462))/100,0),0)</f>
        <v>0</v>
      </c>
      <c r="Q463" s="7">
        <f>IFERROR(IF(Inputs!$E$61-((Inputs!$E$61*Inputs!$E$62)/Q462)&gt;0,(Inputs!$E$61-((Inputs!$E$61*Inputs!$E$62)/Q462))/100,0),0)</f>
        <v>0</v>
      </c>
      <c r="R463" s="7">
        <f>IFERROR(IF(Inputs!$E$61-((Inputs!$E$61*Inputs!$E$62)/R462)&gt;0,(Inputs!$E$61-((Inputs!$E$61*Inputs!$E$62)/R462))/100,0),0)</f>
        <v>0</v>
      </c>
      <c r="S463" s="7">
        <f>IFERROR(IF(Inputs!$E$61-((Inputs!$E$61*Inputs!$E$62)/S462)&gt;0,(Inputs!$E$61-((Inputs!$E$61*Inputs!$E$62)/S462))/100,0),0)</f>
        <v>0</v>
      </c>
      <c r="T463" s="7">
        <f>IFERROR(IF(Inputs!$E$61-((Inputs!$E$61*Inputs!$E$62)/T462)&gt;0,(Inputs!$E$61-((Inputs!$E$61*Inputs!$E$62)/T462))/100,0),0)</f>
        <v>0</v>
      </c>
      <c r="U463" s="7">
        <f>IFERROR(IF(Inputs!$E$61-((Inputs!$E$61*Inputs!$E$62)/U462)&gt;0,(Inputs!$E$61-((Inputs!$E$61*Inputs!$E$62)/U462))/100,0),0)</f>
        <v>0</v>
      </c>
      <c r="V463" s="7">
        <f>IFERROR(IF(Inputs!$E$61-((Inputs!$E$61*Inputs!$E$62)/V462)&gt;0,(Inputs!$E$61-((Inputs!$E$61*Inputs!$E$62)/V462))/100,0),0)</f>
        <v>0</v>
      </c>
      <c r="W463" s="7">
        <f>IFERROR(IF(Inputs!$E$61-((Inputs!$E$61*Inputs!$E$62)/W462)&gt;0,(Inputs!$E$61-((Inputs!$E$61*Inputs!$E$62)/W462))/100,0),0)</f>
        <v>0</v>
      </c>
      <c r="X463" s="7">
        <f>IFERROR(IF(Inputs!$E$61-((Inputs!$E$61*Inputs!$E$62)/X462)&gt;0,(Inputs!$E$61-((Inputs!$E$61*Inputs!$E$62)/X462))/100,0),0)</f>
        <v>0</v>
      </c>
      <c r="Y463" s="7">
        <f>IFERROR(IF(Inputs!$E$61-((Inputs!$E$61*Inputs!$E$62)/Y462)&gt;0,(Inputs!$E$61-((Inputs!$E$61*Inputs!$E$62)/Y462))/100,0),0)</f>
        <v>0</v>
      </c>
      <c r="Z463" s="7">
        <f>IFERROR(IF(Inputs!$E$61-((Inputs!$E$61*Inputs!$E$62)/Z462)&gt;0,(Inputs!$E$61-((Inputs!$E$61*Inputs!$E$62)/Z462))/100,0),0)</f>
        <v>0</v>
      </c>
      <c r="AA463" s="7">
        <f>IFERROR(IF(Inputs!$E$61-((Inputs!$E$61*Inputs!$E$62)/AA462)&gt;0,(Inputs!$E$61-((Inputs!$E$61*Inputs!$E$62)/AA462))/100,0),0)</f>
        <v>0</v>
      </c>
      <c r="AB463" s="7">
        <f>IFERROR(IF(Inputs!$E$61-((Inputs!$E$61*Inputs!$E$62)/AB462)&gt;0,(Inputs!$E$61-((Inputs!$E$61*Inputs!$E$62)/AB462))/100,0),0)</f>
        <v>0</v>
      </c>
      <c r="AC463" s="7">
        <f>IFERROR(IF(Inputs!$E$61-((Inputs!$E$61*Inputs!$E$62)/AC462)&gt;0,(Inputs!$E$61-((Inputs!$E$61*Inputs!$E$62)/AC462))/100,0),0)</f>
        <v>0</v>
      </c>
      <c r="AD463" s="7">
        <f>IFERROR(IF(Inputs!$E$61-((Inputs!$E$61*Inputs!$E$62)/AD462)&gt;0,(Inputs!$E$61-((Inputs!$E$61*Inputs!$E$62)/AD462))/100,0),0)</f>
        <v>0</v>
      </c>
      <c r="AE463" s="7">
        <f>IFERROR(IF(Inputs!$E$61-((Inputs!$E$61*Inputs!$E$62)/AE462)&gt;0,(Inputs!$E$61-((Inputs!$E$61*Inputs!$E$62)/AE462))/100,0),0)</f>
        <v>0</v>
      </c>
      <c r="AF463" s="7">
        <f>IFERROR(IF(Inputs!$E$61-((Inputs!$E$61*Inputs!$E$62)/AF462)&gt;0,(Inputs!$E$61-((Inputs!$E$61*Inputs!$E$62)/AF462))/100,0),0)</f>
        <v>0</v>
      </c>
      <c r="AG463" s="7">
        <f>IFERROR(IF(Inputs!$E$61-((Inputs!$E$61*Inputs!$E$62)/AG462)&gt;0,(Inputs!$E$61-((Inputs!$E$61*Inputs!$E$62)/AG462))/100,0),0)</f>
        <v>0</v>
      </c>
      <c r="AH463" s="7">
        <f>IFERROR(IF(Inputs!$E$61-((Inputs!$E$61*Inputs!$E$62)/AH462)&gt;0,(Inputs!$E$61-((Inputs!$E$61*Inputs!$E$62)/AH462))/100,0),0)</f>
        <v>0</v>
      </c>
      <c r="AI463" s="7">
        <f>IFERROR(IF(Inputs!$E$61-((Inputs!$E$61*Inputs!$E$62)/AI462)&gt;0,(Inputs!$E$61-((Inputs!$E$61*Inputs!$E$62)/AI462))/100,0),0)</f>
        <v>0</v>
      </c>
      <c r="AJ463" s="7">
        <f>IFERROR(IF(Inputs!$E$61-((Inputs!$E$61*Inputs!$E$62)/AJ462)&gt;0,(Inputs!$E$61-((Inputs!$E$61*Inputs!$E$62)/AJ462))/100,0),0)</f>
        <v>0</v>
      </c>
      <c r="AK463" s="7">
        <f>IFERROR(IF(Inputs!$E$61-((Inputs!$E$61*Inputs!$E$62)/AK462)&gt;0,(Inputs!$E$61-((Inputs!$E$61*Inputs!$E$62)/AK462))/100,0),0)</f>
        <v>0</v>
      </c>
      <c r="AL463" s="7">
        <f>IFERROR(IF(Inputs!$E$61-((Inputs!$E$61*Inputs!$E$62)/AL462)&gt;0,(Inputs!$E$61-((Inputs!$E$61*Inputs!$E$62)/AL462))/100,0),0)</f>
        <v>0</v>
      </c>
      <c r="AM463" s="7">
        <f>IFERROR(IF(Inputs!$E$61-((Inputs!$E$61*Inputs!$E$62)/AM462)&gt;0,(Inputs!$E$61-((Inputs!$E$61*Inputs!$E$62)/AM462))/100,0),0)</f>
        <v>0</v>
      </c>
      <c r="AN463" s="7">
        <f>IFERROR(IF(Inputs!$E$61-((Inputs!$E$61*Inputs!$E$62)/AN462)&gt;0,(Inputs!$E$61-((Inputs!$E$61*Inputs!$E$62)/AN462))/100,0),0)</f>
        <v>0</v>
      </c>
      <c r="AO463" s="7">
        <f>IFERROR(IF(Inputs!$E$61-((Inputs!$E$61*Inputs!$E$62)/AO462)&gt;0,(Inputs!$E$61-((Inputs!$E$61*Inputs!$E$62)/AO462))/100,0),0)</f>
        <v>0</v>
      </c>
      <c r="AP463" s="7">
        <f>IFERROR(IF(Inputs!$E$61-((Inputs!$E$61*Inputs!$E$62)/AP462)&gt;0,(Inputs!$E$61-((Inputs!$E$61*Inputs!$E$62)/AP462))/100,0),0)</f>
        <v>0</v>
      </c>
      <c r="AQ463" s="7">
        <f>IFERROR(IF(Inputs!$E$61-((Inputs!$E$61*Inputs!$E$62)/AQ462)&gt;0,(Inputs!$E$61-((Inputs!$E$61*Inputs!$E$62)/AQ462))/100,0),0)</f>
        <v>0</v>
      </c>
      <c r="AR463" s="7">
        <f>IFERROR(IF(Inputs!$E$61-((Inputs!$E$61*Inputs!$E$62)/AR462)&gt;0,(Inputs!$E$61-((Inputs!$E$61*Inputs!$E$62)/AR462))/100,0),0)</f>
        <v>0</v>
      </c>
      <c r="AS463" s="7">
        <f>IFERROR(IF(Inputs!$E$61-((Inputs!$E$61*Inputs!$E$62)/AS462)&gt;0,(Inputs!$E$61-((Inputs!$E$61*Inputs!$E$62)/AS462))/100,0),0)</f>
        <v>0</v>
      </c>
      <c r="AT463" s="7">
        <f>IFERROR(IF(Inputs!$E$61-((Inputs!$E$61*Inputs!$E$62)/AT462)&gt;0,(Inputs!$E$61-((Inputs!$E$61*Inputs!$E$62)/AT462))/100,0),0)</f>
        <v>0</v>
      </c>
      <c r="AU463" s="7">
        <f>IFERROR(IF(Inputs!$E$61-((Inputs!$E$61*Inputs!$E$62)/AU462)&gt;0,(Inputs!$E$61-((Inputs!$E$61*Inputs!$E$62)/AU462))/100,0),0)</f>
        <v>0</v>
      </c>
      <c r="AV463" s="7">
        <f>IFERROR(IF(Inputs!$E$61-((Inputs!$E$61*Inputs!$E$62)/AV462)&gt;0,(Inputs!$E$61-((Inputs!$E$61*Inputs!$E$62)/AV462))/100,0),0)</f>
        <v>0</v>
      </c>
      <c r="AW463" s="7">
        <f>IFERROR(IF(Inputs!$E$61-((Inputs!$E$61*Inputs!$E$62)/AW462)&gt;0,(Inputs!$E$61-((Inputs!$E$61*Inputs!$E$62)/AW462))/100,0),0)</f>
        <v>0</v>
      </c>
      <c r="AX463" s="7">
        <f>IFERROR(IF(Inputs!$E$61-((Inputs!$E$61*Inputs!$E$62)/AX462)&gt;0,(Inputs!$E$61-((Inputs!$E$61*Inputs!$E$62)/AX462))/100,0),0)</f>
        <v>0</v>
      </c>
      <c r="AY463" s="7">
        <f>IFERROR(IF(Inputs!$E$61-((Inputs!$E$61*Inputs!$E$62)/AY462)&gt;0,(Inputs!$E$61-((Inputs!$E$61*Inputs!$E$62)/AY462))/100,0),0)</f>
        <v>0</v>
      </c>
      <c r="AZ463" s="7">
        <f>IFERROR(IF(Inputs!$E$61-((Inputs!$E$61*Inputs!$E$62)/AZ462)&gt;0,(Inputs!$E$61-((Inputs!$E$61*Inputs!$E$62)/AZ462))/100,0),0)</f>
        <v>0</v>
      </c>
      <c r="BA463" s="7">
        <f>IFERROR(IF(Inputs!$E$61-((Inputs!$E$61*Inputs!$E$62)/BA462)&gt;0,(Inputs!$E$61-((Inputs!$E$61*Inputs!$E$62)/BA462))/100,0),0)</f>
        <v>0</v>
      </c>
      <c r="BB463" s="7">
        <f>IFERROR(IF(Inputs!$E$61-((Inputs!$E$61*Inputs!$E$62)/BB462)&gt;0,(Inputs!$E$61-((Inputs!$E$61*Inputs!$E$62)/BB462))/100,0),0)</f>
        <v>0</v>
      </c>
      <c r="BC463" s="7">
        <f>IFERROR(IF(Inputs!$E$61-((Inputs!$E$61*Inputs!$E$62)/BC462)&gt;0,(Inputs!$E$61-((Inputs!$E$61*Inputs!$E$62)/BC462))/100,0),0)</f>
        <v>0</v>
      </c>
      <c r="BD463" s="7">
        <f>IFERROR(IF(Inputs!$E$61-((Inputs!$E$61*Inputs!$E$62)/BD462)&gt;0,(Inputs!$E$61-((Inputs!$E$61*Inputs!$E$62)/BD462))/100,0),0)</f>
        <v>0</v>
      </c>
    </row>
    <row r="464" spans="3:56" ht="15" customHeight="1">
      <c r="C464" s="20"/>
      <c r="D464" s="11" t="s">
        <v>528</v>
      </c>
      <c r="E464" s="18" t="s">
        <v>333</v>
      </c>
      <c r="G464" s="146">
        <f>G438*G463*Inputs!$E$60</f>
        <v>0</v>
      </c>
      <c r="H464" s="146">
        <f>H438*H463*Inputs!$E$60</f>
        <v>0</v>
      </c>
      <c r="I464" s="146">
        <f>I438*I463*Inputs!$E$60</f>
        <v>0</v>
      </c>
      <c r="J464" s="146">
        <f>J438*J463*Inputs!$E$60</f>
        <v>0</v>
      </c>
      <c r="K464" s="146">
        <f>K438*K463*Inputs!$E$60</f>
        <v>0</v>
      </c>
      <c r="L464" s="146">
        <f>L438*L463*Inputs!$E$60</f>
        <v>0</v>
      </c>
      <c r="M464" s="146">
        <f>M438*M463*Inputs!$E$60</f>
        <v>0</v>
      </c>
      <c r="N464" s="146">
        <f>N438*N463*Inputs!$E$60</f>
        <v>0</v>
      </c>
      <c r="O464" s="146">
        <f>O438*O463*Inputs!$E$60</f>
        <v>0</v>
      </c>
      <c r="P464" s="146">
        <f>P438*P463*Inputs!$E$60</f>
        <v>0</v>
      </c>
      <c r="Q464" s="146">
        <f>Q438*Q463*Inputs!$E$60</f>
        <v>0</v>
      </c>
      <c r="R464" s="146">
        <f>R438*R463*Inputs!$E$60</f>
        <v>0</v>
      </c>
      <c r="S464" s="146">
        <f>S438*S463*Inputs!$E$60</f>
        <v>0</v>
      </c>
      <c r="T464" s="146">
        <f>T438*T463*Inputs!$E$60</f>
        <v>0</v>
      </c>
      <c r="U464" s="146">
        <f>U438*U463*Inputs!$E$60</f>
        <v>0</v>
      </c>
      <c r="V464" s="146">
        <f>V438*V463*Inputs!$E$60</f>
        <v>0</v>
      </c>
      <c r="W464" s="146">
        <f>W438*W463*Inputs!$E$60</f>
        <v>0</v>
      </c>
      <c r="X464" s="146">
        <f>X438*X463*Inputs!$E$60</f>
        <v>0</v>
      </c>
      <c r="Y464" s="146">
        <f>Y438*Y463*Inputs!$E$60</f>
        <v>0</v>
      </c>
      <c r="Z464" s="146">
        <f>Z438*Z463*Inputs!$E$60</f>
        <v>0</v>
      </c>
      <c r="AA464" s="146">
        <f>AA438*AA463*Inputs!$E$60</f>
        <v>0</v>
      </c>
      <c r="AB464" s="146">
        <f>AB438*AB463*Inputs!$E$60</f>
        <v>0</v>
      </c>
      <c r="AC464" s="146">
        <f>AC438*AC463*Inputs!$E$60</f>
        <v>0</v>
      </c>
      <c r="AD464" s="146">
        <f>AD438*AD463*Inputs!$E$60</f>
        <v>0</v>
      </c>
      <c r="AE464" s="146">
        <f>AE438*AE463*Inputs!$E$60</f>
        <v>0</v>
      </c>
      <c r="AF464" s="146">
        <f>AF438*AF463*Inputs!$E$60</f>
        <v>0</v>
      </c>
      <c r="AG464" s="146">
        <f>AG438*AG463*Inputs!$E$60</f>
        <v>0</v>
      </c>
      <c r="AH464" s="146">
        <f>AH438*AH463*Inputs!$E$60</f>
        <v>0</v>
      </c>
      <c r="AI464" s="146">
        <f>AI438*AI463*Inputs!$E$60</f>
        <v>0</v>
      </c>
      <c r="AJ464" s="146">
        <f>AJ438*AJ463*Inputs!$E$60</f>
        <v>0</v>
      </c>
      <c r="AK464" s="146">
        <f>AK438*AK463*Inputs!$E$60</f>
        <v>0</v>
      </c>
      <c r="AL464" s="146">
        <f>AL438*AL463*Inputs!$E$60</f>
        <v>0</v>
      </c>
      <c r="AM464" s="146">
        <f>AM438*AM463*Inputs!$E$60</f>
        <v>0</v>
      </c>
      <c r="AN464" s="146">
        <f>AN438*AN463*Inputs!$E$60</f>
        <v>0</v>
      </c>
      <c r="AO464" s="146">
        <f>AO438*AO463*Inputs!$E$60</f>
        <v>0</v>
      </c>
      <c r="AP464" s="146">
        <f>AP438*AP463*Inputs!$E$60</f>
        <v>0</v>
      </c>
      <c r="AQ464" s="146">
        <f>AQ438*AQ463*Inputs!$E$60</f>
        <v>0</v>
      </c>
      <c r="AR464" s="146">
        <f>AR438*AR463*Inputs!$E$60</f>
        <v>0</v>
      </c>
      <c r="AS464" s="146">
        <f>AS438*AS463*Inputs!$E$60</f>
        <v>0</v>
      </c>
      <c r="AT464" s="146">
        <f>AT438*AT463*Inputs!$E$60</f>
        <v>0</v>
      </c>
      <c r="AU464" s="146">
        <f>AU438*AU463*Inputs!$E$60</f>
        <v>0</v>
      </c>
      <c r="AV464" s="146">
        <f>AV438*AV463*Inputs!$E$60</f>
        <v>0</v>
      </c>
      <c r="AW464" s="146">
        <f>AW438*AW463*Inputs!$E$60</f>
        <v>0</v>
      </c>
      <c r="AX464" s="146">
        <f>AX438*AX463*Inputs!$E$60</f>
        <v>0</v>
      </c>
      <c r="AY464" s="146">
        <f>AY438*AY463*Inputs!$E$60</f>
        <v>0</v>
      </c>
      <c r="AZ464" s="146">
        <f>AZ438*AZ463*Inputs!$E$60</f>
        <v>0</v>
      </c>
      <c r="BA464" s="146">
        <f>BA438*BA463*Inputs!$E$60</f>
        <v>0</v>
      </c>
      <c r="BB464" s="146">
        <f>BB438*BB463*Inputs!$E$60</f>
        <v>0</v>
      </c>
      <c r="BC464" s="146">
        <f>BC438*BC463*Inputs!$E$60</f>
        <v>0</v>
      </c>
      <c r="BD464" s="146">
        <f>BD438*BD463*Inputs!$E$60</f>
        <v>0</v>
      </c>
    </row>
    <row r="465" spans="3:56" ht="15" customHeight="1" thickBot="1"/>
    <row r="466" spans="3:56" ht="15" customHeight="1">
      <c r="C466" s="130"/>
      <c r="D466" s="131"/>
      <c r="E466" s="130"/>
      <c r="F466" s="130"/>
      <c r="G466" s="130"/>
      <c r="H466" s="130"/>
      <c r="I466" s="130"/>
      <c r="J466" s="130"/>
      <c r="K466" s="130"/>
      <c r="L466" s="130"/>
      <c r="M466" s="130"/>
      <c r="N466" s="130"/>
      <c r="O466" s="130"/>
      <c r="P466" s="130"/>
      <c r="Q466" s="130"/>
      <c r="R466" s="130"/>
      <c r="S466" s="130"/>
      <c r="T466" s="130"/>
      <c r="U466" s="130"/>
      <c r="V466" s="130"/>
      <c r="W466" s="130"/>
      <c r="X466" s="130"/>
      <c r="Y466" s="130"/>
      <c r="Z466" s="130"/>
      <c r="AA466" s="130"/>
      <c r="AB466" s="130"/>
      <c r="AC466" s="130"/>
      <c r="AD466" s="130"/>
      <c r="AE466" s="130"/>
      <c r="AF466" s="130"/>
      <c r="AG466" s="130"/>
      <c r="AH466" s="130"/>
      <c r="AI466" s="130"/>
      <c r="AJ466" s="130"/>
      <c r="AK466" s="130"/>
      <c r="AL466" s="130"/>
      <c r="AM466" s="130"/>
      <c r="AN466" s="130"/>
      <c r="AO466" s="130"/>
      <c r="AP466" s="130"/>
      <c r="AQ466" s="130"/>
      <c r="AR466" s="130"/>
      <c r="AS466" s="130"/>
      <c r="AT466" s="130"/>
      <c r="AU466" s="130"/>
      <c r="AV466" s="130"/>
      <c r="AW466" s="130"/>
      <c r="AX466" s="130"/>
      <c r="AY466" s="130"/>
      <c r="AZ466" s="130"/>
      <c r="BA466" s="130"/>
      <c r="BB466" s="130"/>
      <c r="BC466" s="130"/>
      <c r="BD466" s="130"/>
    </row>
    <row r="467" spans="3:56" ht="15" customHeight="1">
      <c r="C467" s="20"/>
      <c r="D467" s="213" t="s">
        <v>529</v>
      </c>
      <c r="E467" s="18"/>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row>
    <row r="468" spans="3:56" ht="15" customHeight="1">
      <c r="C468" s="20"/>
      <c r="E468" s="18"/>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row>
    <row r="469" spans="3:56" ht="15" customHeight="1">
      <c r="D469" s="11" t="s">
        <v>445</v>
      </c>
      <c r="E469" s="388">
        <f>IF(AND(Inputs!E80 = 2, Inputs!E81 &lt; 3), Inputs!E79, 0%)</f>
        <v>0</v>
      </c>
    </row>
    <row r="470" spans="3:56" ht="15" customHeight="1">
      <c r="D470" s="11" t="s">
        <v>447</v>
      </c>
      <c r="E470" s="307">
        <f>Inputs!E82</f>
        <v>2</v>
      </c>
    </row>
    <row r="471" spans="3:56" ht="15" customHeight="1">
      <c r="D471" s="11" t="s">
        <v>464</v>
      </c>
      <c r="E471" s="389">
        <f>100% - E469</f>
        <v>1</v>
      </c>
    </row>
    <row r="472" spans="3:56" ht="15" customHeight="1">
      <c r="E472" s="389"/>
    </row>
    <row r="473" spans="3:56" ht="15" customHeight="1">
      <c r="D473" s="11" t="s">
        <v>435</v>
      </c>
      <c r="E473" s="18">
        <f>IF(AND(Inputs!$E$85 = 1, Inputs!$E$88 = 0), 1, IF(AND(Inputs!$E$85 = 1, Inputs!$E$88 = 1), 2, IF(Inputs!$E$89 = 1, 3, IF(Inputs!$E$93 = 1, 4, 5))))</f>
        <v>5</v>
      </c>
    </row>
    <row r="474" spans="3:56" ht="15" customHeight="1">
      <c r="E474" s="389"/>
    </row>
    <row r="475" spans="3:56" ht="15" customHeight="1">
      <c r="C475" s="299"/>
      <c r="D475" s="166"/>
      <c r="E475" s="238"/>
      <c r="F475" s="166"/>
      <c r="G475" s="298"/>
      <c r="H475" s="298"/>
      <c r="I475" s="298"/>
      <c r="J475" s="298"/>
      <c r="K475" s="298"/>
      <c r="L475" s="298"/>
      <c r="M475" s="298"/>
      <c r="N475" s="298"/>
      <c r="O475" s="298"/>
      <c r="P475" s="298"/>
      <c r="Q475" s="298"/>
      <c r="R475" s="298"/>
      <c r="S475" s="298"/>
      <c r="T475" s="298"/>
      <c r="U475" s="298"/>
      <c r="V475" s="298"/>
      <c r="W475" s="298"/>
      <c r="X475" s="298"/>
      <c r="Y475" s="298"/>
      <c r="Z475" s="298"/>
      <c r="AA475" s="298"/>
      <c r="AB475" s="298"/>
      <c r="AC475" s="298"/>
      <c r="AD475" s="298"/>
      <c r="AE475" s="298"/>
      <c r="AF475" s="298"/>
      <c r="AG475" s="298"/>
      <c r="AH475" s="298"/>
      <c r="AI475" s="298"/>
      <c r="AJ475" s="298"/>
      <c r="AK475" s="298"/>
      <c r="AL475" s="298"/>
      <c r="AM475" s="298"/>
      <c r="AN475" s="298"/>
      <c r="AO475" s="298"/>
      <c r="AP475" s="298"/>
      <c r="AQ475" s="298"/>
      <c r="AR475" s="298"/>
      <c r="AS475" s="298"/>
      <c r="AT475" s="298"/>
      <c r="AU475" s="298"/>
      <c r="AV475" s="298"/>
      <c r="AW475" s="298"/>
      <c r="AX475" s="298"/>
      <c r="AY475" s="298"/>
      <c r="AZ475" s="298"/>
      <c r="BA475" s="298"/>
      <c r="BB475" s="298"/>
      <c r="BC475" s="298"/>
      <c r="BD475" s="298"/>
    </row>
    <row r="476" spans="3:56" ht="15" customHeight="1">
      <c r="D476" s="9" t="s">
        <v>530</v>
      </c>
    </row>
    <row r="477" spans="3:56" ht="15" customHeight="1">
      <c r="C477" s="21">
        <f t="shared" ref="C477:C485" si="238">SUM(G477:BD477)</f>
        <v>17497.377173577093</v>
      </c>
      <c r="D477" s="132" t="s">
        <v>316</v>
      </c>
      <c r="E477" s="18" t="s">
        <v>333</v>
      </c>
      <c r="G477" s="19">
        <f t="shared" ref="G477:AL477" si="239">G51 - G254</f>
        <v>0</v>
      </c>
      <c r="H477" s="19">
        <f t="shared" si="239"/>
        <v>0</v>
      </c>
      <c r="I477" s="19">
        <f t="shared" si="239"/>
        <v>0</v>
      </c>
      <c r="J477" s="19">
        <f t="shared" si="239"/>
        <v>0</v>
      </c>
      <c r="K477" s="19">
        <f t="shared" si="239"/>
        <v>259.29662392800003</v>
      </c>
      <c r="L477" s="19">
        <f t="shared" si="239"/>
        <v>617.1259649486401</v>
      </c>
      <c r="M477" s="19">
        <f t="shared" si="239"/>
        <v>629.46848424761288</v>
      </c>
      <c r="N477" s="19">
        <f t="shared" si="239"/>
        <v>642.05785393256497</v>
      </c>
      <c r="O477" s="19">
        <f t="shared" si="239"/>
        <v>654.89901101121632</v>
      </c>
      <c r="P477" s="19">
        <f t="shared" si="239"/>
        <v>667.99699123144069</v>
      </c>
      <c r="Q477" s="19">
        <f t="shared" si="239"/>
        <v>681.35693105606958</v>
      </c>
      <c r="R477" s="19">
        <f t="shared" si="239"/>
        <v>694.98406967719075</v>
      </c>
      <c r="S477" s="19">
        <f t="shared" si="239"/>
        <v>708.88375107073477</v>
      </c>
      <c r="T477" s="19">
        <f t="shared" si="239"/>
        <v>723.06142609214942</v>
      </c>
      <c r="U477" s="19">
        <f t="shared" si="239"/>
        <v>737.52265461399247</v>
      </c>
      <c r="V477" s="19">
        <f t="shared" si="239"/>
        <v>752.27310770627207</v>
      </c>
      <c r="W477" s="19">
        <f t="shared" si="239"/>
        <v>767.3185698603977</v>
      </c>
      <c r="X477" s="19">
        <f t="shared" si="239"/>
        <v>782.66494125760573</v>
      </c>
      <c r="Y477" s="19">
        <f t="shared" si="239"/>
        <v>798.31824008275771</v>
      </c>
      <c r="Z477" s="19">
        <f t="shared" si="239"/>
        <v>814.28460488441283</v>
      </c>
      <c r="AA477" s="19">
        <f t="shared" si="239"/>
        <v>830.57029698210113</v>
      </c>
      <c r="AB477" s="19">
        <f t="shared" si="239"/>
        <v>847.18170292174318</v>
      </c>
      <c r="AC477" s="19">
        <f t="shared" si="239"/>
        <v>864.12533698017808</v>
      </c>
      <c r="AD477" s="19">
        <f t="shared" si="239"/>
        <v>877.54444052251245</v>
      </c>
      <c r="AE477" s="19">
        <f t="shared" si="239"/>
        <v>895.09532933296271</v>
      </c>
      <c r="AF477" s="19">
        <f t="shared" si="239"/>
        <v>912.99723591962197</v>
      </c>
      <c r="AG477" s="19">
        <f t="shared" si="239"/>
        <v>931.25718063801457</v>
      </c>
      <c r="AH477" s="19">
        <f t="shared" si="239"/>
        <v>407.0924246789034</v>
      </c>
      <c r="AI477" s="19">
        <f t="shared" si="239"/>
        <v>0</v>
      </c>
      <c r="AJ477" s="19">
        <f t="shared" si="239"/>
        <v>0</v>
      </c>
      <c r="AK477" s="19">
        <f t="shared" si="239"/>
        <v>0</v>
      </c>
      <c r="AL477" s="19">
        <f t="shared" si="239"/>
        <v>0</v>
      </c>
      <c r="AM477" s="19">
        <f t="shared" ref="AM477:BD477" si="240">AM51 - AM254</f>
        <v>0</v>
      </c>
      <c r="AN477" s="19">
        <f t="shared" si="240"/>
        <v>0</v>
      </c>
      <c r="AO477" s="19">
        <f t="shared" si="240"/>
        <v>0</v>
      </c>
      <c r="AP477" s="19">
        <f t="shared" si="240"/>
        <v>0</v>
      </c>
      <c r="AQ477" s="19">
        <f t="shared" si="240"/>
        <v>0</v>
      </c>
      <c r="AR477" s="19">
        <f t="shared" si="240"/>
        <v>0</v>
      </c>
      <c r="AS477" s="19">
        <f t="shared" si="240"/>
        <v>0</v>
      </c>
      <c r="AT477" s="19">
        <f t="shared" si="240"/>
        <v>0</v>
      </c>
      <c r="AU477" s="19">
        <f t="shared" si="240"/>
        <v>0</v>
      </c>
      <c r="AV477" s="19">
        <f t="shared" si="240"/>
        <v>0</v>
      </c>
      <c r="AW477" s="19">
        <f t="shared" si="240"/>
        <v>0</v>
      </c>
      <c r="AX477" s="19">
        <f t="shared" si="240"/>
        <v>0</v>
      </c>
      <c r="AY477" s="19">
        <f t="shared" si="240"/>
        <v>0</v>
      </c>
      <c r="AZ477" s="19">
        <f t="shared" si="240"/>
        <v>0</v>
      </c>
      <c r="BA477" s="19">
        <f t="shared" si="240"/>
        <v>0</v>
      </c>
      <c r="BB477" s="19">
        <f t="shared" si="240"/>
        <v>0</v>
      </c>
      <c r="BC477" s="19">
        <f t="shared" si="240"/>
        <v>0</v>
      </c>
      <c r="BD477" s="19">
        <f t="shared" si="240"/>
        <v>0</v>
      </c>
    </row>
    <row r="478" spans="3:56" ht="15" customHeight="1">
      <c r="C478" s="21">
        <f t="shared" si="238"/>
        <v>40.4</v>
      </c>
      <c r="D478" s="22" t="s">
        <v>483</v>
      </c>
      <c r="E478" s="18" t="s">
        <v>333</v>
      </c>
      <c r="G478" s="19">
        <f t="shared" ref="G478:AL478" si="241">IF($E$470 = 1, G52 * $E$471, G52)</f>
        <v>20</v>
      </c>
      <c r="H478" s="19">
        <f t="shared" si="241"/>
        <v>20.399999999999999</v>
      </c>
      <c r="I478" s="19">
        <f t="shared" si="241"/>
        <v>0</v>
      </c>
      <c r="J478" s="19">
        <f t="shared" si="241"/>
        <v>0</v>
      </c>
      <c r="K478" s="19">
        <f t="shared" si="241"/>
        <v>0</v>
      </c>
      <c r="L478" s="19">
        <f t="shared" si="241"/>
        <v>0</v>
      </c>
      <c r="M478" s="19">
        <f t="shared" si="241"/>
        <v>0</v>
      </c>
      <c r="N478" s="19">
        <f t="shared" si="241"/>
        <v>0</v>
      </c>
      <c r="O478" s="19">
        <f t="shared" si="241"/>
        <v>0</v>
      </c>
      <c r="P478" s="19">
        <f t="shared" si="241"/>
        <v>0</v>
      </c>
      <c r="Q478" s="19">
        <f t="shared" si="241"/>
        <v>0</v>
      </c>
      <c r="R478" s="19">
        <f t="shared" si="241"/>
        <v>0</v>
      </c>
      <c r="S478" s="19">
        <f t="shared" si="241"/>
        <v>0</v>
      </c>
      <c r="T478" s="19">
        <f t="shared" si="241"/>
        <v>0</v>
      </c>
      <c r="U478" s="19">
        <f t="shared" si="241"/>
        <v>0</v>
      </c>
      <c r="V478" s="19">
        <f t="shared" si="241"/>
        <v>0</v>
      </c>
      <c r="W478" s="19">
        <f t="shared" si="241"/>
        <v>0</v>
      </c>
      <c r="X478" s="19">
        <f t="shared" si="241"/>
        <v>0</v>
      </c>
      <c r="Y478" s="19">
        <f t="shared" si="241"/>
        <v>0</v>
      </c>
      <c r="Z478" s="19">
        <f t="shared" si="241"/>
        <v>0</v>
      </c>
      <c r="AA478" s="19">
        <f t="shared" si="241"/>
        <v>0</v>
      </c>
      <c r="AB478" s="19">
        <f t="shared" si="241"/>
        <v>0</v>
      </c>
      <c r="AC478" s="19">
        <f t="shared" si="241"/>
        <v>0</v>
      </c>
      <c r="AD478" s="19">
        <f t="shared" si="241"/>
        <v>0</v>
      </c>
      <c r="AE478" s="19">
        <f t="shared" si="241"/>
        <v>0</v>
      </c>
      <c r="AF478" s="19">
        <f t="shared" si="241"/>
        <v>0</v>
      </c>
      <c r="AG478" s="19">
        <f t="shared" si="241"/>
        <v>0</v>
      </c>
      <c r="AH478" s="19">
        <f t="shared" si="241"/>
        <v>0</v>
      </c>
      <c r="AI478" s="19">
        <f t="shared" si="241"/>
        <v>0</v>
      </c>
      <c r="AJ478" s="19">
        <f t="shared" si="241"/>
        <v>0</v>
      </c>
      <c r="AK478" s="19">
        <f t="shared" si="241"/>
        <v>0</v>
      </c>
      <c r="AL478" s="19">
        <f t="shared" si="241"/>
        <v>0</v>
      </c>
      <c r="AM478" s="19">
        <f t="shared" ref="AM478:BD478" si="242">IF($E$470 = 1, AM52 * $E$471, AM52)</f>
        <v>0</v>
      </c>
      <c r="AN478" s="19">
        <f t="shared" si="242"/>
        <v>0</v>
      </c>
      <c r="AO478" s="19">
        <f t="shared" si="242"/>
        <v>0</v>
      </c>
      <c r="AP478" s="19">
        <f t="shared" si="242"/>
        <v>0</v>
      </c>
      <c r="AQ478" s="19">
        <f t="shared" si="242"/>
        <v>0</v>
      </c>
      <c r="AR478" s="19">
        <f t="shared" si="242"/>
        <v>0</v>
      </c>
      <c r="AS478" s="19">
        <f t="shared" si="242"/>
        <v>0</v>
      </c>
      <c r="AT478" s="19">
        <f t="shared" si="242"/>
        <v>0</v>
      </c>
      <c r="AU478" s="19">
        <f t="shared" si="242"/>
        <v>0</v>
      </c>
      <c r="AV478" s="19">
        <f t="shared" si="242"/>
        <v>0</v>
      </c>
      <c r="AW478" s="19">
        <f t="shared" si="242"/>
        <v>0</v>
      </c>
      <c r="AX478" s="19">
        <f t="shared" si="242"/>
        <v>0</v>
      </c>
      <c r="AY478" s="19">
        <f t="shared" si="242"/>
        <v>0</v>
      </c>
      <c r="AZ478" s="19">
        <f t="shared" si="242"/>
        <v>0</v>
      </c>
      <c r="BA478" s="19">
        <f t="shared" si="242"/>
        <v>0</v>
      </c>
      <c r="BB478" s="19">
        <f t="shared" si="242"/>
        <v>0</v>
      </c>
      <c r="BC478" s="19">
        <f t="shared" si="242"/>
        <v>0</v>
      </c>
      <c r="BD478" s="19">
        <f t="shared" si="242"/>
        <v>0</v>
      </c>
    </row>
    <row r="479" spans="3:56" ht="15" customHeight="1">
      <c r="C479" s="21">
        <f t="shared" si="238"/>
        <v>0</v>
      </c>
      <c r="D479" s="22" t="s">
        <v>334</v>
      </c>
      <c r="E479" s="18" t="s">
        <v>333</v>
      </c>
      <c r="G479" s="19">
        <f t="shared" ref="G479:AL479" si="243">G53 * $E$471</f>
        <v>0</v>
      </c>
      <c r="H479" s="19">
        <f t="shared" si="243"/>
        <v>0</v>
      </c>
      <c r="I479" s="19">
        <f t="shared" si="243"/>
        <v>0</v>
      </c>
      <c r="J479" s="19">
        <f t="shared" si="243"/>
        <v>0</v>
      </c>
      <c r="K479" s="19">
        <f t="shared" si="243"/>
        <v>0</v>
      </c>
      <c r="L479" s="19">
        <f t="shared" si="243"/>
        <v>0</v>
      </c>
      <c r="M479" s="19">
        <f t="shared" si="243"/>
        <v>0</v>
      </c>
      <c r="N479" s="19">
        <f t="shared" si="243"/>
        <v>0</v>
      </c>
      <c r="O479" s="19">
        <f t="shared" si="243"/>
        <v>0</v>
      </c>
      <c r="P479" s="19">
        <f t="shared" si="243"/>
        <v>0</v>
      </c>
      <c r="Q479" s="19">
        <f t="shared" si="243"/>
        <v>0</v>
      </c>
      <c r="R479" s="19">
        <f t="shared" si="243"/>
        <v>0</v>
      </c>
      <c r="S479" s="19">
        <f t="shared" si="243"/>
        <v>0</v>
      </c>
      <c r="T479" s="19">
        <f t="shared" si="243"/>
        <v>0</v>
      </c>
      <c r="U479" s="19">
        <f t="shared" si="243"/>
        <v>0</v>
      </c>
      <c r="V479" s="19">
        <f t="shared" si="243"/>
        <v>0</v>
      </c>
      <c r="W479" s="19">
        <f t="shared" si="243"/>
        <v>0</v>
      </c>
      <c r="X479" s="19">
        <f t="shared" si="243"/>
        <v>0</v>
      </c>
      <c r="Y479" s="19">
        <f t="shared" si="243"/>
        <v>0</v>
      </c>
      <c r="Z479" s="19">
        <f t="shared" si="243"/>
        <v>0</v>
      </c>
      <c r="AA479" s="19">
        <f t="shared" si="243"/>
        <v>0</v>
      </c>
      <c r="AB479" s="19">
        <f t="shared" si="243"/>
        <v>0</v>
      </c>
      <c r="AC479" s="19">
        <f t="shared" si="243"/>
        <v>0</v>
      </c>
      <c r="AD479" s="19">
        <f t="shared" si="243"/>
        <v>0</v>
      </c>
      <c r="AE479" s="19">
        <f t="shared" si="243"/>
        <v>0</v>
      </c>
      <c r="AF479" s="19">
        <f t="shared" si="243"/>
        <v>0</v>
      </c>
      <c r="AG479" s="19">
        <f t="shared" si="243"/>
        <v>0</v>
      </c>
      <c r="AH479" s="19">
        <f t="shared" si="243"/>
        <v>0</v>
      </c>
      <c r="AI479" s="19">
        <f t="shared" si="243"/>
        <v>0</v>
      </c>
      <c r="AJ479" s="19">
        <f t="shared" si="243"/>
        <v>0</v>
      </c>
      <c r="AK479" s="19">
        <f t="shared" si="243"/>
        <v>0</v>
      </c>
      <c r="AL479" s="19">
        <f t="shared" si="243"/>
        <v>0</v>
      </c>
      <c r="AM479" s="19">
        <f t="shared" ref="AM479:BD479" si="244">AM53 * $E$471</f>
        <v>0</v>
      </c>
      <c r="AN479" s="19">
        <f t="shared" si="244"/>
        <v>0</v>
      </c>
      <c r="AO479" s="19">
        <f t="shared" si="244"/>
        <v>0</v>
      </c>
      <c r="AP479" s="19">
        <f t="shared" si="244"/>
        <v>0</v>
      </c>
      <c r="AQ479" s="19">
        <f t="shared" si="244"/>
        <v>0</v>
      </c>
      <c r="AR479" s="19">
        <f t="shared" si="244"/>
        <v>0</v>
      </c>
      <c r="AS479" s="19">
        <f t="shared" si="244"/>
        <v>0</v>
      </c>
      <c r="AT479" s="19">
        <f t="shared" si="244"/>
        <v>0</v>
      </c>
      <c r="AU479" s="19">
        <f t="shared" si="244"/>
        <v>0</v>
      </c>
      <c r="AV479" s="19">
        <f t="shared" si="244"/>
        <v>0</v>
      </c>
      <c r="AW479" s="19">
        <f t="shared" si="244"/>
        <v>0</v>
      </c>
      <c r="AX479" s="19">
        <f t="shared" si="244"/>
        <v>0</v>
      </c>
      <c r="AY479" s="19">
        <f t="shared" si="244"/>
        <v>0</v>
      </c>
      <c r="AZ479" s="19">
        <f t="shared" si="244"/>
        <v>0</v>
      </c>
      <c r="BA479" s="19">
        <f t="shared" si="244"/>
        <v>0</v>
      </c>
      <c r="BB479" s="19">
        <f t="shared" si="244"/>
        <v>0</v>
      </c>
      <c r="BC479" s="19">
        <f t="shared" si="244"/>
        <v>0</v>
      </c>
      <c r="BD479" s="19">
        <f t="shared" si="244"/>
        <v>0</v>
      </c>
    </row>
    <row r="480" spans="3:56" ht="15" customHeight="1">
      <c r="C480" s="21">
        <f t="shared" si="238"/>
        <v>477.57481199999995</v>
      </c>
      <c r="D480" s="22" t="s">
        <v>293</v>
      </c>
      <c r="E480" s="18" t="s">
        <v>333</v>
      </c>
      <c r="G480" s="19">
        <f t="shared" ref="G480:AL480" si="245">G54 * $E$471</f>
        <v>0</v>
      </c>
      <c r="H480" s="19">
        <f t="shared" si="245"/>
        <v>0</v>
      </c>
      <c r="I480" s="19">
        <f t="shared" si="245"/>
        <v>78.03</v>
      </c>
      <c r="J480" s="19">
        <f t="shared" si="245"/>
        <v>318.36239999999998</v>
      </c>
      <c r="K480" s="19">
        <f t="shared" si="245"/>
        <v>81.182411999999999</v>
      </c>
      <c r="L480" s="19">
        <f t="shared" si="245"/>
        <v>0</v>
      </c>
      <c r="M480" s="19">
        <f t="shared" si="245"/>
        <v>0</v>
      </c>
      <c r="N480" s="19">
        <f t="shared" si="245"/>
        <v>0</v>
      </c>
      <c r="O480" s="19">
        <f t="shared" si="245"/>
        <v>0</v>
      </c>
      <c r="P480" s="19">
        <f t="shared" si="245"/>
        <v>0</v>
      </c>
      <c r="Q480" s="19">
        <f t="shared" si="245"/>
        <v>0</v>
      </c>
      <c r="R480" s="19">
        <f t="shared" si="245"/>
        <v>0</v>
      </c>
      <c r="S480" s="19">
        <f t="shared" si="245"/>
        <v>0</v>
      </c>
      <c r="T480" s="19">
        <f t="shared" si="245"/>
        <v>0</v>
      </c>
      <c r="U480" s="19">
        <f t="shared" si="245"/>
        <v>0</v>
      </c>
      <c r="V480" s="19">
        <f t="shared" si="245"/>
        <v>0</v>
      </c>
      <c r="W480" s="19">
        <f t="shared" si="245"/>
        <v>0</v>
      </c>
      <c r="X480" s="19">
        <f t="shared" si="245"/>
        <v>0</v>
      </c>
      <c r="Y480" s="19">
        <f t="shared" si="245"/>
        <v>0</v>
      </c>
      <c r="Z480" s="19">
        <f t="shared" si="245"/>
        <v>0</v>
      </c>
      <c r="AA480" s="19">
        <f t="shared" si="245"/>
        <v>0</v>
      </c>
      <c r="AB480" s="19">
        <f t="shared" si="245"/>
        <v>0</v>
      </c>
      <c r="AC480" s="19">
        <f t="shared" si="245"/>
        <v>0</v>
      </c>
      <c r="AD480" s="19">
        <f t="shared" si="245"/>
        <v>0</v>
      </c>
      <c r="AE480" s="19">
        <f t="shared" si="245"/>
        <v>0</v>
      </c>
      <c r="AF480" s="19">
        <f t="shared" si="245"/>
        <v>0</v>
      </c>
      <c r="AG480" s="19">
        <f t="shared" si="245"/>
        <v>0</v>
      </c>
      <c r="AH480" s="19">
        <f t="shared" si="245"/>
        <v>0</v>
      </c>
      <c r="AI480" s="19">
        <f t="shared" si="245"/>
        <v>0</v>
      </c>
      <c r="AJ480" s="19">
        <f t="shared" si="245"/>
        <v>0</v>
      </c>
      <c r="AK480" s="19">
        <f t="shared" si="245"/>
        <v>0</v>
      </c>
      <c r="AL480" s="19">
        <f t="shared" si="245"/>
        <v>0</v>
      </c>
      <c r="AM480" s="19">
        <f t="shared" ref="AM480:BD480" si="246">AM54 * $E$471</f>
        <v>0</v>
      </c>
      <c r="AN480" s="19">
        <f t="shared" si="246"/>
        <v>0</v>
      </c>
      <c r="AO480" s="19">
        <f t="shared" si="246"/>
        <v>0</v>
      </c>
      <c r="AP480" s="19">
        <f t="shared" si="246"/>
        <v>0</v>
      </c>
      <c r="AQ480" s="19">
        <f t="shared" si="246"/>
        <v>0</v>
      </c>
      <c r="AR480" s="19">
        <f t="shared" si="246"/>
        <v>0</v>
      </c>
      <c r="AS480" s="19">
        <f t="shared" si="246"/>
        <v>0</v>
      </c>
      <c r="AT480" s="19">
        <f t="shared" si="246"/>
        <v>0</v>
      </c>
      <c r="AU480" s="19">
        <f t="shared" si="246"/>
        <v>0</v>
      </c>
      <c r="AV480" s="19">
        <f t="shared" si="246"/>
        <v>0</v>
      </c>
      <c r="AW480" s="19">
        <f t="shared" si="246"/>
        <v>0</v>
      </c>
      <c r="AX480" s="19">
        <f t="shared" si="246"/>
        <v>0</v>
      </c>
      <c r="AY480" s="19">
        <f t="shared" si="246"/>
        <v>0</v>
      </c>
      <c r="AZ480" s="19">
        <f t="shared" si="246"/>
        <v>0</v>
      </c>
      <c r="BA480" s="19">
        <f t="shared" si="246"/>
        <v>0</v>
      </c>
      <c r="BB480" s="19">
        <f t="shared" si="246"/>
        <v>0</v>
      </c>
      <c r="BC480" s="19">
        <f t="shared" si="246"/>
        <v>0</v>
      </c>
      <c r="BD480" s="19">
        <f t="shared" si="246"/>
        <v>0</v>
      </c>
    </row>
    <row r="481" spans="3:56" ht="15" customHeight="1">
      <c r="C481" s="21">
        <f t="shared" si="238"/>
        <v>1172.1429845951295</v>
      </c>
      <c r="D481" s="22" t="s">
        <v>294</v>
      </c>
      <c r="E481" s="18" t="s">
        <v>333</v>
      </c>
      <c r="G481" s="19">
        <f t="shared" ref="G481:AL481" si="247">G55 * $E$471</f>
        <v>0</v>
      </c>
      <c r="H481" s="19">
        <f t="shared" si="247"/>
        <v>0</v>
      </c>
      <c r="I481" s="19">
        <f t="shared" si="247"/>
        <v>0</v>
      </c>
      <c r="J481" s="19">
        <f t="shared" si="247"/>
        <v>0</v>
      </c>
      <c r="K481" s="19">
        <f t="shared" si="247"/>
        <v>0</v>
      </c>
      <c r="L481" s="19">
        <f t="shared" si="247"/>
        <v>44.163232128000004</v>
      </c>
      <c r="M481" s="19">
        <f t="shared" si="247"/>
        <v>45.046496770560005</v>
      </c>
      <c r="N481" s="19">
        <f t="shared" si="247"/>
        <v>45.947426705971196</v>
      </c>
      <c r="O481" s="19">
        <f t="shared" si="247"/>
        <v>46.866375240090619</v>
      </c>
      <c r="P481" s="19">
        <f t="shared" si="247"/>
        <v>47.803702744892433</v>
      </c>
      <c r="Q481" s="19">
        <f t="shared" si="247"/>
        <v>48.759776799790288</v>
      </c>
      <c r="R481" s="19">
        <f t="shared" si="247"/>
        <v>49.734972335786082</v>
      </c>
      <c r="S481" s="19">
        <f t="shared" si="247"/>
        <v>50.729671782501811</v>
      </c>
      <c r="T481" s="19">
        <f t="shared" si="247"/>
        <v>51.744265218151845</v>
      </c>
      <c r="U481" s="19">
        <f t="shared" si="247"/>
        <v>52.779150522514882</v>
      </c>
      <c r="V481" s="19">
        <f t="shared" si="247"/>
        <v>53.834733532965167</v>
      </c>
      <c r="W481" s="19">
        <f t="shared" si="247"/>
        <v>54.911428203624482</v>
      </c>
      <c r="X481" s="19">
        <f t="shared" si="247"/>
        <v>56.009656767696974</v>
      </c>
      <c r="Y481" s="19">
        <f t="shared" si="247"/>
        <v>57.129849903050911</v>
      </c>
      <c r="Z481" s="19">
        <f t="shared" si="247"/>
        <v>58.272446901111927</v>
      </c>
      <c r="AA481" s="19">
        <f t="shared" si="247"/>
        <v>59.437895839134171</v>
      </c>
      <c r="AB481" s="19">
        <f t="shared" si="247"/>
        <v>60.626653755916848</v>
      </c>
      <c r="AC481" s="19">
        <f t="shared" si="247"/>
        <v>61.839186831035192</v>
      </c>
      <c r="AD481" s="19">
        <f t="shared" si="247"/>
        <v>63.07597056765588</v>
      </c>
      <c r="AE481" s="19">
        <f t="shared" si="247"/>
        <v>64.337489979009007</v>
      </c>
      <c r="AF481" s="19">
        <f t="shared" si="247"/>
        <v>65.624239778589185</v>
      </c>
      <c r="AG481" s="19">
        <f t="shared" si="247"/>
        <v>33.468362287080488</v>
      </c>
      <c r="AH481" s="19">
        <f t="shared" si="247"/>
        <v>0</v>
      </c>
      <c r="AI481" s="19">
        <f t="shared" si="247"/>
        <v>0</v>
      </c>
      <c r="AJ481" s="19">
        <f t="shared" si="247"/>
        <v>0</v>
      </c>
      <c r="AK481" s="19">
        <f t="shared" si="247"/>
        <v>0</v>
      </c>
      <c r="AL481" s="19">
        <f t="shared" si="247"/>
        <v>0</v>
      </c>
      <c r="AM481" s="19">
        <f t="shared" ref="AM481:BD481" si="248">AM55 * $E$471</f>
        <v>0</v>
      </c>
      <c r="AN481" s="19">
        <f t="shared" si="248"/>
        <v>0</v>
      </c>
      <c r="AO481" s="19">
        <f t="shared" si="248"/>
        <v>0</v>
      </c>
      <c r="AP481" s="19">
        <f t="shared" si="248"/>
        <v>0</v>
      </c>
      <c r="AQ481" s="19">
        <f t="shared" si="248"/>
        <v>0</v>
      </c>
      <c r="AR481" s="19">
        <f t="shared" si="248"/>
        <v>0</v>
      </c>
      <c r="AS481" s="19">
        <f t="shared" si="248"/>
        <v>0</v>
      </c>
      <c r="AT481" s="19">
        <f t="shared" si="248"/>
        <v>0</v>
      </c>
      <c r="AU481" s="19">
        <f t="shared" si="248"/>
        <v>0</v>
      </c>
      <c r="AV481" s="19">
        <f t="shared" si="248"/>
        <v>0</v>
      </c>
      <c r="AW481" s="19">
        <f t="shared" si="248"/>
        <v>0</v>
      </c>
      <c r="AX481" s="19">
        <f t="shared" si="248"/>
        <v>0</v>
      </c>
      <c r="AY481" s="19">
        <f t="shared" si="248"/>
        <v>0</v>
      </c>
      <c r="AZ481" s="19">
        <f t="shared" si="248"/>
        <v>0</v>
      </c>
      <c r="BA481" s="19">
        <f t="shared" si="248"/>
        <v>0</v>
      </c>
      <c r="BB481" s="19">
        <f t="shared" si="248"/>
        <v>0</v>
      </c>
      <c r="BC481" s="19">
        <f t="shared" si="248"/>
        <v>0</v>
      </c>
      <c r="BD481" s="19">
        <f t="shared" si="248"/>
        <v>0</v>
      </c>
    </row>
    <row r="482" spans="3:56" ht="15" customHeight="1">
      <c r="C482" s="21">
        <f t="shared" si="238"/>
        <v>7677.2479565008516</v>
      </c>
      <c r="D482" s="22" t="s">
        <v>297</v>
      </c>
      <c r="E482" s="18" t="s">
        <v>333</v>
      </c>
      <c r="G482" s="19">
        <f t="shared" ref="G482:AL482" si="249">G56 * $E$471</f>
        <v>0</v>
      </c>
      <c r="H482" s="19">
        <f t="shared" si="249"/>
        <v>0</v>
      </c>
      <c r="I482" s="19">
        <f t="shared" si="249"/>
        <v>0</v>
      </c>
      <c r="J482" s="19">
        <f t="shared" si="249"/>
        <v>0</v>
      </c>
      <c r="K482" s="19">
        <f t="shared" si="249"/>
        <v>113.6553768</v>
      </c>
      <c r="L482" s="19">
        <f t="shared" si="249"/>
        <v>270.49979678400001</v>
      </c>
      <c r="M482" s="19">
        <f t="shared" si="249"/>
        <v>275.90979271968001</v>
      </c>
      <c r="N482" s="19">
        <f t="shared" si="249"/>
        <v>281.42798857407354</v>
      </c>
      <c r="O482" s="19">
        <f t="shared" si="249"/>
        <v>287.05654834555503</v>
      </c>
      <c r="P482" s="19">
        <f t="shared" si="249"/>
        <v>292.79767931246613</v>
      </c>
      <c r="Q482" s="19">
        <f t="shared" si="249"/>
        <v>298.6536328987155</v>
      </c>
      <c r="R482" s="19">
        <f t="shared" si="249"/>
        <v>304.62670555668973</v>
      </c>
      <c r="S482" s="19">
        <f t="shared" si="249"/>
        <v>310.71923966782362</v>
      </c>
      <c r="T482" s="19">
        <f t="shared" si="249"/>
        <v>316.93362446118005</v>
      </c>
      <c r="U482" s="19">
        <f t="shared" si="249"/>
        <v>323.2722969504037</v>
      </c>
      <c r="V482" s="19">
        <f t="shared" si="249"/>
        <v>329.73774288941166</v>
      </c>
      <c r="W482" s="19">
        <f t="shared" si="249"/>
        <v>336.33249774719997</v>
      </c>
      <c r="X482" s="19">
        <f t="shared" si="249"/>
        <v>343.059147702144</v>
      </c>
      <c r="Y482" s="19">
        <f t="shared" si="249"/>
        <v>349.92033065618682</v>
      </c>
      <c r="Z482" s="19">
        <f t="shared" si="249"/>
        <v>356.91873726931055</v>
      </c>
      <c r="AA482" s="19">
        <f t="shared" si="249"/>
        <v>364.05711201469677</v>
      </c>
      <c r="AB482" s="19">
        <f t="shared" si="249"/>
        <v>371.33825425499072</v>
      </c>
      <c r="AC482" s="19">
        <f t="shared" si="249"/>
        <v>378.76501934009053</v>
      </c>
      <c r="AD482" s="19">
        <f t="shared" si="249"/>
        <v>386.34031972689229</v>
      </c>
      <c r="AE482" s="19">
        <f t="shared" si="249"/>
        <v>394.06712612143014</v>
      </c>
      <c r="AF482" s="19">
        <f t="shared" si="249"/>
        <v>401.94846864385875</v>
      </c>
      <c r="AG482" s="19">
        <f t="shared" si="249"/>
        <v>409.98743801673595</v>
      </c>
      <c r="AH482" s="19">
        <f t="shared" si="249"/>
        <v>179.22308004731596</v>
      </c>
      <c r="AI482" s="19">
        <f t="shared" si="249"/>
        <v>0</v>
      </c>
      <c r="AJ482" s="19">
        <f t="shared" si="249"/>
        <v>0</v>
      </c>
      <c r="AK482" s="19">
        <f t="shared" si="249"/>
        <v>0</v>
      </c>
      <c r="AL482" s="19">
        <f t="shared" si="249"/>
        <v>0</v>
      </c>
      <c r="AM482" s="19">
        <f t="shared" ref="AM482:BD482" si="250">AM56 * $E$471</f>
        <v>0</v>
      </c>
      <c r="AN482" s="19">
        <f t="shared" si="250"/>
        <v>0</v>
      </c>
      <c r="AO482" s="19">
        <f t="shared" si="250"/>
        <v>0</v>
      </c>
      <c r="AP482" s="19">
        <f t="shared" si="250"/>
        <v>0</v>
      </c>
      <c r="AQ482" s="19">
        <f t="shared" si="250"/>
        <v>0</v>
      </c>
      <c r="AR482" s="19">
        <f t="shared" si="250"/>
        <v>0</v>
      </c>
      <c r="AS482" s="19">
        <f t="shared" si="250"/>
        <v>0</v>
      </c>
      <c r="AT482" s="19">
        <f t="shared" si="250"/>
        <v>0</v>
      </c>
      <c r="AU482" s="19">
        <f t="shared" si="250"/>
        <v>0</v>
      </c>
      <c r="AV482" s="19">
        <f t="shared" si="250"/>
        <v>0</v>
      </c>
      <c r="AW482" s="19">
        <f t="shared" si="250"/>
        <v>0</v>
      </c>
      <c r="AX482" s="19">
        <f t="shared" si="250"/>
        <v>0</v>
      </c>
      <c r="AY482" s="19">
        <f t="shared" si="250"/>
        <v>0</v>
      </c>
      <c r="AZ482" s="19">
        <f t="shared" si="250"/>
        <v>0</v>
      </c>
      <c r="BA482" s="19">
        <f t="shared" si="250"/>
        <v>0</v>
      </c>
      <c r="BB482" s="19">
        <f t="shared" si="250"/>
        <v>0</v>
      </c>
      <c r="BC482" s="19">
        <f t="shared" si="250"/>
        <v>0</v>
      </c>
      <c r="BD482" s="19">
        <f t="shared" si="250"/>
        <v>0</v>
      </c>
    </row>
    <row r="483" spans="3:56" ht="15" customHeight="1">
      <c r="C483" s="21">
        <f t="shared" si="238"/>
        <v>26.115363092608906</v>
      </c>
      <c r="D483" s="22" t="s">
        <v>501</v>
      </c>
      <c r="E483" s="18" t="s">
        <v>333</v>
      </c>
      <c r="G483" s="19">
        <f t="shared" ref="G483:AL483" si="251">(G66+G78+G79+G80) * $E$471</f>
        <v>0</v>
      </c>
      <c r="H483" s="19">
        <f t="shared" si="251"/>
        <v>0</v>
      </c>
      <c r="I483" s="19">
        <f t="shared" si="251"/>
        <v>0</v>
      </c>
      <c r="J483" s="19">
        <f t="shared" si="251"/>
        <v>0</v>
      </c>
      <c r="K483" s="19">
        <f t="shared" si="251"/>
        <v>0</v>
      </c>
      <c r="L483" s="19">
        <f t="shared" si="251"/>
        <v>0</v>
      </c>
      <c r="M483" s="19">
        <f t="shared" si="251"/>
        <v>0</v>
      </c>
      <c r="N483" s="19">
        <f t="shared" si="251"/>
        <v>0</v>
      </c>
      <c r="O483" s="19">
        <f t="shared" si="251"/>
        <v>0</v>
      </c>
      <c r="P483" s="19">
        <f t="shared" si="251"/>
        <v>0</v>
      </c>
      <c r="Q483" s="19">
        <f t="shared" si="251"/>
        <v>0</v>
      </c>
      <c r="R483" s="19">
        <f t="shared" si="251"/>
        <v>0</v>
      </c>
      <c r="S483" s="19">
        <f t="shared" si="251"/>
        <v>0</v>
      </c>
      <c r="T483" s="19">
        <f t="shared" si="251"/>
        <v>0</v>
      </c>
      <c r="U483" s="19">
        <f t="shared" si="251"/>
        <v>0</v>
      </c>
      <c r="V483" s="19">
        <f t="shared" si="251"/>
        <v>0</v>
      </c>
      <c r="W483" s="19">
        <f t="shared" si="251"/>
        <v>0</v>
      </c>
      <c r="X483" s="19">
        <f t="shared" si="251"/>
        <v>0</v>
      </c>
      <c r="Y483" s="19">
        <f t="shared" si="251"/>
        <v>2.2722099393258888</v>
      </c>
      <c r="Z483" s="19">
        <f t="shared" si="251"/>
        <v>2.3230458227141964</v>
      </c>
      <c r="AA483" s="19">
        <f t="shared" si="251"/>
        <v>2.3818785816047425</v>
      </c>
      <c r="AB483" s="19">
        <f t="shared" si="251"/>
        <v>2.4512227934170654</v>
      </c>
      <c r="AC483" s="19">
        <f t="shared" si="251"/>
        <v>2.5349833018956347</v>
      </c>
      <c r="AD483" s="19">
        <f t="shared" si="251"/>
        <v>2.6397109570127104</v>
      </c>
      <c r="AE483" s="19">
        <f t="shared" si="251"/>
        <v>2.7776896426294577</v>
      </c>
      <c r="AF483" s="19">
        <f t="shared" si="251"/>
        <v>2.9763789499175735</v>
      </c>
      <c r="AG483" s="19">
        <f t="shared" si="251"/>
        <v>3.3209062087551691</v>
      </c>
      <c r="AH483" s="19">
        <f t="shared" si="251"/>
        <v>1.9252709523441318</v>
      </c>
      <c r="AI483" s="19">
        <f t="shared" si="251"/>
        <v>0.51206594299233643</v>
      </c>
      <c r="AJ483" s="19">
        <f t="shared" si="251"/>
        <v>0</v>
      </c>
      <c r="AK483" s="19">
        <f t="shared" si="251"/>
        <v>0</v>
      </c>
      <c r="AL483" s="19">
        <f t="shared" si="251"/>
        <v>0</v>
      </c>
      <c r="AM483" s="19">
        <f t="shared" ref="AM483:BD483" si="252">(AM66+AM78+AM79+AM80) * $E$471</f>
        <v>0</v>
      </c>
      <c r="AN483" s="19">
        <f t="shared" si="252"/>
        <v>0</v>
      </c>
      <c r="AO483" s="19">
        <f t="shared" si="252"/>
        <v>0</v>
      </c>
      <c r="AP483" s="19">
        <f t="shared" si="252"/>
        <v>0</v>
      </c>
      <c r="AQ483" s="19">
        <f t="shared" si="252"/>
        <v>0</v>
      </c>
      <c r="AR483" s="19">
        <f t="shared" si="252"/>
        <v>0</v>
      </c>
      <c r="AS483" s="19">
        <f t="shared" si="252"/>
        <v>0</v>
      </c>
      <c r="AT483" s="19">
        <f t="shared" si="252"/>
        <v>0</v>
      </c>
      <c r="AU483" s="19">
        <f t="shared" si="252"/>
        <v>0</v>
      </c>
      <c r="AV483" s="19">
        <f t="shared" si="252"/>
        <v>0</v>
      </c>
      <c r="AW483" s="19">
        <f t="shared" si="252"/>
        <v>0</v>
      </c>
      <c r="AX483" s="19">
        <f t="shared" si="252"/>
        <v>0</v>
      </c>
      <c r="AY483" s="19">
        <f t="shared" si="252"/>
        <v>0</v>
      </c>
      <c r="AZ483" s="19">
        <f t="shared" si="252"/>
        <v>0</v>
      </c>
      <c r="BA483" s="19">
        <f t="shared" si="252"/>
        <v>0</v>
      </c>
      <c r="BB483" s="19">
        <f t="shared" si="252"/>
        <v>0</v>
      </c>
      <c r="BC483" s="19">
        <f t="shared" si="252"/>
        <v>0</v>
      </c>
      <c r="BD483" s="19">
        <f t="shared" si="252"/>
        <v>0</v>
      </c>
    </row>
    <row r="484" spans="3:56" ht="15" customHeight="1">
      <c r="C484" s="21">
        <f t="shared" si="238"/>
        <v>3496.749081171336</v>
      </c>
      <c r="D484" s="22" t="s">
        <v>531</v>
      </c>
      <c r="E484" s="18" t="s">
        <v>333</v>
      </c>
      <c r="G484" s="19">
        <f>((G236 + G240 + G244 + G210) * $E$471)  + G311 + G313 + G319 + G410 + G440</f>
        <v>0</v>
      </c>
      <c r="H484" s="19">
        <f t="shared" ref="H484:BD484" si="253">((H236 + H240 + H244 + H210) * $E$471)  + H311 + H313 + H319 + H410 + H440</f>
        <v>0</v>
      </c>
      <c r="I484" s="19">
        <f t="shared" si="253"/>
        <v>2.9261250000000003</v>
      </c>
      <c r="J484" s="19">
        <f t="shared" si="253"/>
        <v>11.93859</v>
      </c>
      <c r="K484" s="19">
        <f t="shared" si="253"/>
        <v>24.979828172400001</v>
      </c>
      <c r="L484" s="19">
        <f t="shared" si="253"/>
        <v>92.307109510070447</v>
      </c>
      <c r="M484" s="19">
        <f t="shared" si="253"/>
        <v>107.50348915872223</v>
      </c>
      <c r="N484" s="19">
        <f t="shared" si="253"/>
        <v>108.64212983706463</v>
      </c>
      <c r="O484" s="19">
        <f t="shared" si="253"/>
        <v>109.78344379975795</v>
      </c>
      <c r="P484" s="19">
        <f t="shared" si="253"/>
        <v>139.58197323248913</v>
      </c>
      <c r="Q484" s="19">
        <f t="shared" si="253"/>
        <v>142.3736126971389</v>
      </c>
      <c r="R484" s="19">
        <f t="shared" si="253"/>
        <v>145.22108495108162</v>
      </c>
      <c r="S484" s="19">
        <f t="shared" si="253"/>
        <v>148.12550665010332</v>
      </c>
      <c r="T484" s="19">
        <f t="shared" si="253"/>
        <v>151.08801678310536</v>
      </c>
      <c r="U484" s="19">
        <f t="shared" si="253"/>
        <v>154.10977711876745</v>
      </c>
      <c r="V484" s="19">
        <f t="shared" si="253"/>
        <v>157.19197266114278</v>
      </c>
      <c r="W484" s="19">
        <f t="shared" si="253"/>
        <v>160.33581211436569</v>
      </c>
      <c r="X484" s="19">
        <f t="shared" si="253"/>
        <v>163.54252835665301</v>
      </c>
      <c r="Y484" s="19">
        <f t="shared" si="253"/>
        <v>166.13171594198829</v>
      </c>
      <c r="Z484" s="19">
        <f t="shared" si="253"/>
        <v>169.45273275544747</v>
      </c>
      <c r="AA484" s="19">
        <f t="shared" si="253"/>
        <v>172.83807585782557</v>
      </c>
      <c r="AB484" s="19">
        <f t="shared" si="253"/>
        <v>176.28832538292801</v>
      </c>
      <c r="AC484" s="19">
        <f t="shared" si="253"/>
        <v>179.8036710748035</v>
      </c>
      <c r="AD484" s="19">
        <f t="shared" si="253"/>
        <v>182.22451514039506</v>
      </c>
      <c r="AE484" s="19">
        <f t="shared" si="253"/>
        <v>185.84345010326007</v>
      </c>
      <c r="AF484" s="19">
        <f t="shared" si="253"/>
        <v>189.51737845099461</v>
      </c>
      <c r="AG484" s="19">
        <f t="shared" si="253"/>
        <v>194.35178334325173</v>
      </c>
      <c r="AH484" s="19">
        <f t="shared" si="253"/>
        <v>60.646433077579502</v>
      </c>
      <c r="AI484" s="19">
        <f t="shared" si="253"/>
        <v>0</v>
      </c>
      <c r="AJ484" s="19">
        <f t="shared" si="253"/>
        <v>0</v>
      </c>
      <c r="AK484" s="19">
        <f t="shared" si="253"/>
        <v>0</v>
      </c>
      <c r="AL484" s="19">
        <f t="shared" si="253"/>
        <v>0</v>
      </c>
      <c r="AM484" s="19">
        <f t="shared" si="253"/>
        <v>0</v>
      </c>
      <c r="AN484" s="19">
        <f t="shared" si="253"/>
        <v>0</v>
      </c>
      <c r="AO484" s="19">
        <f t="shared" si="253"/>
        <v>0</v>
      </c>
      <c r="AP484" s="19">
        <f t="shared" si="253"/>
        <v>0</v>
      </c>
      <c r="AQ484" s="19">
        <f t="shared" si="253"/>
        <v>0</v>
      </c>
      <c r="AR484" s="19">
        <f t="shared" si="253"/>
        <v>0</v>
      </c>
      <c r="AS484" s="19">
        <f t="shared" si="253"/>
        <v>0</v>
      </c>
      <c r="AT484" s="19">
        <f t="shared" si="253"/>
        <v>0</v>
      </c>
      <c r="AU484" s="19">
        <f t="shared" si="253"/>
        <v>0</v>
      </c>
      <c r="AV484" s="19">
        <f t="shared" si="253"/>
        <v>0</v>
      </c>
      <c r="AW484" s="19">
        <f t="shared" si="253"/>
        <v>0</v>
      </c>
      <c r="AX484" s="19">
        <f t="shared" si="253"/>
        <v>0</v>
      </c>
      <c r="AY484" s="19">
        <f t="shared" si="253"/>
        <v>0</v>
      </c>
      <c r="AZ484" s="19">
        <f t="shared" si="253"/>
        <v>0</v>
      </c>
      <c r="BA484" s="19">
        <f t="shared" si="253"/>
        <v>0</v>
      </c>
      <c r="BB484" s="19">
        <f t="shared" si="253"/>
        <v>0</v>
      </c>
      <c r="BC484" s="19">
        <f t="shared" si="253"/>
        <v>0</v>
      </c>
      <c r="BD484" s="19">
        <f t="shared" si="253"/>
        <v>0</v>
      </c>
    </row>
    <row r="485" spans="3:56" ht="15" customHeight="1">
      <c r="C485" s="21">
        <f t="shared" si="238"/>
        <v>4607.1469762171691</v>
      </c>
      <c r="D485" s="132" t="s">
        <v>532</v>
      </c>
      <c r="E485" s="18" t="s">
        <v>333</v>
      </c>
      <c r="G485" s="19">
        <f t="shared" ref="G485:AL485" si="254">G477-SUM(G478:G484)</f>
        <v>-20</v>
      </c>
      <c r="H485" s="19">
        <f t="shared" si="254"/>
        <v>-20.399999999999999</v>
      </c>
      <c r="I485" s="19">
        <f t="shared" si="254"/>
        <v>-80.956125</v>
      </c>
      <c r="J485" s="19">
        <f t="shared" si="254"/>
        <v>-330.30098999999996</v>
      </c>
      <c r="K485" s="19">
        <f t="shared" si="254"/>
        <v>39.479006955600028</v>
      </c>
      <c r="L485" s="19">
        <f t="shared" si="254"/>
        <v>210.15582652656963</v>
      </c>
      <c r="M485" s="19">
        <f t="shared" si="254"/>
        <v>201.00870559865064</v>
      </c>
      <c r="N485" s="19">
        <f t="shared" si="254"/>
        <v>206.04030881545555</v>
      </c>
      <c r="O485" s="19">
        <f t="shared" si="254"/>
        <v>211.19264362581271</v>
      </c>
      <c r="P485" s="19">
        <f t="shared" si="254"/>
        <v>187.81363594159296</v>
      </c>
      <c r="Q485" s="19">
        <f t="shared" si="254"/>
        <v>191.56990866042486</v>
      </c>
      <c r="R485" s="19">
        <f t="shared" si="254"/>
        <v>195.40130683363327</v>
      </c>
      <c r="S485" s="19">
        <f t="shared" si="254"/>
        <v>199.309332970306</v>
      </c>
      <c r="T485" s="19">
        <f t="shared" si="254"/>
        <v>203.2955196297122</v>
      </c>
      <c r="U485" s="19">
        <f t="shared" si="254"/>
        <v>207.36143002230642</v>
      </c>
      <c r="V485" s="19">
        <f t="shared" si="254"/>
        <v>211.50865862275248</v>
      </c>
      <c r="W485" s="19">
        <f t="shared" si="254"/>
        <v>215.73883179520749</v>
      </c>
      <c r="X485" s="19">
        <f t="shared" si="254"/>
        <v>220.0536084311118</v>
      </c>
      <c r="Y485" s="19">
        <f t="shared" si="254"/>
        <v>222.86413364220584</v>
      </c>
      <c r="Z485" s="19">
        <f t="shared" si="254"/>
        <v>227.31764213582869</v>
      </c>
      <c r="AA485" s="19">
        <f t="shared" si="254"/>
        <v>231.85533468883989</v>
      </c>
      <c r="AB485" s="19">
        <f t="shared" si="254"/>
        <v>236.47724673449056</v>
      </c>
      <c r="AC485" s="19">
        <f t="shared" si="254"/>
        <v>241.18247643235316</v>
      </c>
      <c r="AD485" s="19">
        <f t="shared" si="254"/>
        <v>243.26392413055657</v>
      </c>
      <c r="AE485" s="19">
        <f t="shared" si="254"/>
        <v>248.069573486634</v>
      </c>
      <c r="AF485" s="19">
        <f t="shared" si="254"/>
        <v>252.93077009626188</v>
      </c>
      <c r="AG485" s="19">
        <f t="shared" si="254"/>
        <v>290.12869078219126</v>
      </c>
      <c r="AH485" s="19">
        <f t="shared" si="254"/>
        <v>165.2976406016638</v>
      </c>
      <c r="AI485" s="19">
        <f t="shared" si="254"/>
        <v>-0.51206594299233643</v>
      </c>
      <c r="AJ485" s="19">
        <f t="shared" si="254"/>
        <v>0</v>
      </c>
      <c r="AK485" s="19">
        <f t="shared" si="254"/>
        <v>0</v>
      </c>
      <c r="AL485" s="19">
        <f t="shared" si="254"/>
        <v>0</v>
      </c>
      <c r="AM485" s="19">
        <f t="shared" ref="AM485:BD485" si="255">AM477-SUM(AM478:AM484)</f>
        <v>0</v>
      </c>
      <c r="AN485" s="19">
        <f t="shared" si="255"/>
        <v>0</v>
      </c>
      <c r="AO485" s="19">
        <f t="shared" si="255"/>
        <v>0</v>
      </c>
      <c r="AP485" s="19">
        <f t="shared" si="255"/>
        <v>0</v>
      </c>
      <c r="AQ485" s="19">
        <f t="shared" si="255"/>
        <v>0</v>
      </c>
      <c r="AR485" s="19">
        <f t="shared" si="255"/>
        <v>0</v>
      </c>
      <c r="AS485" s="19">
        <f t="shared" si="255"/>
        <v>0</v>
      </c>
      <c r="AT485" s="19">
        <f t="shared" si="255"/>
        <v>0</v>
      </c>
      <c r="AU485" s="19">
        <f t="shared" si="255"/>
        <v>0</v>
      </c>
      <c r="AV485" s="19">
        <f t="shared" si="255"/>
        <v>0</v>
      </c>
      <c r="AW485" s="19">
        <f t="shared" si="255"/>
        <v>0</v>
      </c>
      <c r="AX485" s="19">
        <f t="shared" si="255"/>
        <v>0</v>
      </c>
      <c r="AY485" s="19">
        <f t="shared" si="255"/>
        <v>0</v>
      </c>
      <c r="AZ485" s="19">
        <f t="shared" si="255"/>
        <v>0</v>
      </c>
      <c r="BA485" s="19">
        <f t="shared" si="255"/>
        <v>0</v>
      </c>
      <c r="BB485" s="19">
        <f t="shared" si="255"/>
        <v>0</v>
      </c>
      <c r="BC485" s="19">
        <f t="shared" si="255"/>
        <v>0</v>
      </c>
      <c r="BD485" s="19">
        <f t="shared" si="255"/>
        <v>0</v>
      </c>
    </row>
    <row r="486" spans="3:56" ht="15" customHeight="1">
      <c r="C486" s="21"/>
      <c r="D486" s="132"/>
      <c r="E486" s="18"/>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row>
    <row r="487" spans="3:56" ht="15" customHeight="1">
      <c r="C487" s="299"/>
      <c r="D487" s="166"/>
      <c r="E487" s="238"/>
      <c r="F487" s="166"/>
      <c r="G487" s="298"/>
      <c r="H487" s="298"/>
      <c r="I487" s="298"/>
      <c r="J487" s="298"/>
      <c r="K487" s="298"/>
      <c r="L487" s="298"/>
      <c r="M487" s="298"/>
      <c r="N487" s="298"/>
      <c r="O487" s="298"/>
      <c r="P487" s="298"/>
      <c r="Q487" s="298"/>
      <c r="R487" s="298"/>
      <c r="S487" s="298"/>
      <c r="T487" s="298"/>
      <c r="U487" s="298"/>
      <c r="V487" s="298"/>
      <c r="W487" s="298"/>
      <c r="X487" s="298"/>
      <c r="Y487" s="298"/>
      <c r="Z487" s="298"/>
      <c r="AA487" s="298"/>
      <c r="AB487" s="298"/>
      <c r="AC487" s="298"/>
      <c r="AD487" s="298"/>
      <c r="AE487" s="298"/>
      <c r="AF487" s="298"/>
      <c r="AG487" s="298"/>
      <c r="AH487" s="298"/>
      <c r="AI487" s="298"/>
      <c r="AJ487" s="298"/>
      <c r="AK487" s="298"/>
      <c r="AL487" s="298"/>
      <c r="AM487" s="298"/>
      <c r="AN487" s="298"/>
      <c r="AO487" s="298"/>
      <c r="AP487" s="298"/>
      <c r="AQ487" s="298"/>
      <c r="AR487" s="298"/>
      <c r="AS487" s="298"/>
      <c r="AT487" s="298"/>
      <c r="AU487" s="298"/>
      <c r="AV487" s="298"/>
      <c r="AW487" s="298"/>
      <c r="AX487" s="298"/>
      <c r="AY487" s="298"/>
      <c r="AZ487" s="298"/>
      <c r="BA487" s="298"/>
      <c r="BB487" s="298"/>
      <c r="BC487" s="298"/>
      <c r="BD487" s="298"/>
    </row>
    <row r="488" spans="3:56" ht="15" customHeight="1">
      <c r="C488" s="20"/>
      <c r="D488" s="9" t="s">
        <v>533</v>
      </c>
      <c r="E488" s="18"/>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row>
    <row r="489" spans="3:56" ht="15" customHeight="1">
      <c r="C489" s="21">
        <f>SUM(G489:BD489)</f>
        <v>-1259.3805902842507</v>
      </c>
      <c r="D489" s="11" t="s">
        <v>534</v>
      </c>
      <c r="E489" s="18" t="s">
        <v>333</v>
      </c>
      <c r="G489" s="21">
        <f>F492*(F492&lt;0)</f>
        <v>0</v>
      </c>
      <c r="H489" s="21">
        <f t="shared" ref="H489:AL489" si="256">G492*(G492&lt;0)</f>
        <v>-20</v>
      </c>
      <c r="I489" s="21">
        <f t="shared" si="256"/>
        <v>-40.4</v>
      </c>
      <c r="J489" s="21">
        <f t="shared" si="256"/>
        <v>-121.35612499999999</v>
      </c>
      <c r="K489" s="21">
        <f t="shared" si="256"/>
        <v>-451.65711499999998</v>
      </c>
      <c r="L489" s="21">
        <f t="shared" si="256"/>
        <v>-412.17810804439995</v>
      </c>
      <c r="M489" s="21">
        <f t="shared" si="256"/>
        <v>-202.02228151783032</v>
      </c>
      <c r="N489" s="21">
        <f t="shared" si="256"/>
        <v>-1.0135759191796865</v>
      </c>
      <c r="O489" s="21">
        <f t="shared" si="256"/>
        <v>0</v>
      </c>
      <c r="P489" s="21">
        <f t="shared" si="256"/>
        <v>0</v>
      </c>
      <c r="Q489" s="21">
        <f t="shared" si="256"/>
        <v>0</v>
      </c>
      <c r="R489" s="21">
        <f t="shared" si="256"/>
        <v>0</v>
      </c>
      <c r="S489" s="21">
        <f t="shared" si="256"/>
        <v>0</v>
      </c>
      <c r="T489" s="21">
        <f t="shared" si="256"/>
        <v>0</v>
      </c>
      <c r="U489" s="21">
        <f t="shared" si="256"/>
        <v>0</v>
      </c>
      <c r="V489" s="21">
        <f t="shared" si="256"/>
        <v>0</v>
      </c>
      <c r="W489" s="21">
        <f t="shared" si="256"/>
        <v>0</v>
      </c>
      <c r="X489" s="21">
        <f t="shared" si="256"/>
        <v>0</v>
      </c>
      <c r="Y489" s="21">
        <f t="shared" si="256"/>
        <v>0</v>
      </c>
      <c r="Z489" s="21">
        <f t="shared" si="256"/>
        <v>0</v>
      </c>
      <c r="AA489" s="21">
        <f t="shared" si="256"/>
        <v>0</v>
      </c>
      <c r="AB489" s="21">
        <f t="shared" si="256"/>
        <v>0</v>
      </c>
      <c r="AC489" s="21">
        <f t="shared" si="256"/>
        <v>0</v>
      </c>
      <c r="AD489" s="21">
        <f t="shared" si="256"/>
        <v>0</v>
      </c>
      <c r="AE489" s="21">
        <f t="shared" si="256"/>
        <v>0</v>
      </c>
      <c r="AF489" s="21">
        <f t="shared" si="256"/>
        <v>0</v>
      </c>
      <c r="AG489" s="21">
        <f t="shared" si="256"/>
        <v>0</v>
      </c>
      <c r="AH489" s="21">
        <f t="shared" si="256"/>
        <v>0</v>
      </c>
      <c r="AI489" s="21">
        <f t="shared" si="256"/>
        <v>0</v>
      </c>
      <c r="AJ489" s="21">
        <f t="shared" si="256"/>
        <v>-0.51206594299233643</v>
      </c>
      <c r="AK489" s="21">
        <f t="shared" si="256"/>
        <v>-0.51206594299233643</v>
      </c>
      <c r="AL489" s="21">
        <f t="shared" si="256"/>
        <v>-0.51206594299233643</v>
      </c>
      <c r="AM489" s="21">
        <f t="shared" ref="AM489:BD489" si="257">AL492*(AL492&lt;0)</f>
        <v>-0.51206594299233643</v>
      </c>
      <c r="AN489" s="21">
        <f t="shared" si="257"/>
        <v>-0.51206594299233643</v>
      </c>
      <c r="AO489" s="21">
        <f t="shared" si="257"/>
        <v>-0.51206594299233643</v>
      </c>
      <c r="AP489" s="21">
        <f t="shared" si="257"/>
        <v>-0.51206594299233643</v>
      </c>
      <c r="AQ489" s="21">
        <f t="shared" si="257"/>
        <v>-0.51206594299233643</v>
      </c>
      <c r="AR489" s="21">
        <f t="shared" si="257"/>
        <v>-0.51206594299233643</v>
      </c>
      <c r="AS489" s="21">
        <f t="shared" si="257"/>
        <v>-0.51206594299233643</v>
      </c>
      <c r="AT489" s="21">
        <f t="shared" si="257"/>
        <v>-0.51206594299233643</v>
      </c>
      <c r="AU489" s="21">
        <f t="shared" si="257"/>
        <v>-0.51206594299233643</v>
      </c>
      <c r="AV489" s="21">
        <f t="shared" si="257"/>
        <v>-0.51206594299233643</v>
      </c>
      <c r="AW489" s="21">
        <f t="shared" si="257"/>
        <v>-0.51206594299233643</v>
      </c>
      <c r="AX489" s="21">
        <f t="shared" si="257"/>
        <v>-0.51206594299233643</v>
      </c>
      <c r="AY489" s="21">
        <f t="shared" si="257"/>
        <v>-0.51206594299233643</v>
      </c>
      <c r="AZ489" s="21">
        <f t="shared" si="257"/>
        <v>-0.51206594299233643</v>
      </c>
      <c r="BA489" s="21">
        <f t="shared" si="257"/>
        <v>-0.51206594299233643</v>
      </c>
      <c r="BB489" s="21">
        <f t="shared" si="257"/>
        <v>-0.51206594299233643</v>
      </c>
      <c r="BC489" s="21">
        <f t="shared" si="257"/>
        <v>-0.51206594299233643</v>
      </c>
      <c r="BD489" s="21">
        <f t="shared" si="257"/>
        <v>-0.51206594299233643</v>
      </c>
    </row>
    <row r="490" spans="3:56" ht="15" customHeight="1">
      <c r="C490" s="21">
        <f>SUM(G490:BD490)</f>
        <v>0</v>
      </c>
      <c r="D490" s="11" t="s">
        <v>535</v>
      </c>
      <c r="E490" s="18" t="s">
        <v>333</v>
      </c>
      <c r="G490" s="21">
        <f>G489*Inputs!$E$65</f>
        <v>0</v>
      </c>
      <c r="H490" s="21">
        <f>H489*Inputs!$E$65</f>
        <v>0</v>
      </c>
      <c r="I490" s="21">
        <f>I489*Inputs!$E$65</f>
        <v>0</v>
      </c>
      <c r="J490" s="21">
        <f>J489*Inputs!$E$65</f>
        <v>0</v>
      </c>
      <c r="K490" s="21">
        <f>K489*Inputs!$E$65</f>
        <v>0</v>
      </c>
      <c r="L490" s="21">
        <f>L489*Inputs!$E$65</f>
        <v>0</v>
      </c>
      <c r="M490" s="21">
        <f>M489*Inputs!$E$65</f>
        <v>0</v>
      </c>
      <c r="N490" s="21">
        <f>N489*Inputs!$E$65</f>
        <v>0</v>
      </c>
      <c r="O490" s="21">
        <f>O489*Inputs!$E$65</f>
        <v>0</v>
      </c>
      <c r="P490" s="21">
        <f>P489*Inputs!$E$65</f>
        <v>0</v>
      </c>
      <c r="Q490" s="21">
        <f>Q489*Inputs!$E$65</f>
        <v>0</v>
      </c>
      <c r="R490" s="21">
        <f>R489*Inputs!$E$65</f>
        <v>0</v>
      </c>
      <c r="S490" s="21">
        <f>S489*Inputs!$E$65</f>
        <v>0</v>
      </c>
      <c r="T490" s="21">
        <f>T489*Inputs!$E$65</f>
        <v>0</v>
      </c>
      <c r="U490" s="21">
        <f>U489*Inputs!$E$65</f>
        <v>0</v>
      </c>
      <c r="V490" s="21">
        <f>V489*Inputs!$E$65</f>
        <v>0</v>
      </c>
      <c r="W490" s="21">
        <f>W489*Inputs!$E$65</f>
        <v>0</v>
      </c>
      <c r="X490" s="21">
        <f>X489*Inputs!$E$65</f>
        <v>0</v>
      </c>
      <c r="Y490" s="21">
        <f>Y489*Inputs!$E$65</f>
        <v>0</v>
      </c>
      <c r="Z490" s="21">
        <f>Z489*Inputs!$E$65</f>
        <v>0</v>
      </c>
      <c r="AA490" s="21">
        <f>AA489*Inputs!$E$65</f>
        <v>0</v>
      </c>
      <c r="AB490" s="21">
        <f>AB489*Inputs!$E$65</f>
        <v>0</v>
      </c>
      <c r="AC490" s="21">
        <f>AC489*Inputs!$E$65</f>
        <v>0</v>
      </c>
      <c r="AD490" s="21">
        <f>AD489*Inputs!$E$65</f>
        <v>0</v>
      </c>
      <c r="AE490" s="21">
        <f>AE489*Inputs!$E$65</f>
        <v>0</v>
      </c>
      <c r="AF490" s="21">
        <f>AF489*Inputs!$E$65</f>
        <v>0</v>
      </c>
      <c r="AG490" s="21">
        <f>AG489*Inputs!$E$65</f>
        <v>0</v>
      </c>
      <c r="AH490" s="21">
        <f>AH489*Inputs!$E$65</f>
        <v>0</v>
      </c>
      <c r="AI490" s="21">
        <f>AI489*Inputs!$E$65</f>
        <v>0</v>
      </c>
      <c r="AJ490" s="21">
        <f>AJ489*Inputs!$E$65</f>
        <v>0</v>
      </c>
      <c r="AK490" s="21">
        <f>AK489*Inputs!$E$65</f>
        <v>0</v>
      </c>
      <c r="AL490" s="21">
        <f>AL489*Inputs!$E$65</f>
        <v>0</v>
      </c>
      <c r="AM490" s="21">
        <f>AM489*Inputs!$E$65</f>
        <v>0</v>
      </c>
      <c r="AN490" s="21">
        <f>AN489*Inputs!$E$65</f>
        <v>0</v>
      </c>
      <c r="AO490" s="21">
        <f>AO489*Inputs!$E$65</f>
        <v>0</v>
      </c>
      <c r="AP490" s="21">
        <f>AP489*Inputs!$E$65</f>
        <v>0</v>
      </c>
      <c r="AQ490" s="21">
        <f>AQ489*Inputs!$E$65</f>
        <v>0</v>
      </c>
      <c r="AR490" s="21">
        <f>AR489*Inputs!$E$65</f>
        <v>0</v>
      </c>
      <c r="AS490" s="21">
        <f>AS489*Inputs!$E$65</f>
        <v>0</v>
      </c>
      <c r="AT490" s="21">
        <f>AT489*Inputs!$E$65</f>
        <v>0</v>
      </c>
      <c r="AU490" s="21">
        <f>AU489*Inputs!$E$65</f>
        <v>0</v>
      </c>
      <c r="AV490" s="21">
        <f>AV489*Inputs!$E$65</f>
        <v>0</v>
      </c>
      <c r="AW490" s="21">
        <f>AW489*Inputs!$E$65</f>
        <v>0</v>
      </c>
      <c r="AX490" s="21">
        <f>AX489*Inputs!$E$65</f>
        <v>0</v>
      </c>
      <c r="AY490" s="21">
        <f>AY489*Inputs!$E$65</f>
        <v>0</v>
      </c>
      <c r="AZ490" s="21">
        <f>AZ489*Inputs!$E$65</f>
        <v>0</v>
      </c>
      <c r="BA490" s="21">
        <f>BA489*Inputs!$E$65</f>
        <v>0</v>
      </c>
      <c r="BB490" s="21">
        <f>BB489*Inputs!$E$65</f>
        <v>0</v>
      </c>
      <c r="BC490" s="21">
        <f>BC489*Inputs!$E$65</f>
        <v>0</v>
      </c>
      <c r="BD490" s="21">
        <f>BD489*Inputs!$E$65</f>
        <v>0</v>
      </c>
    </row>
    <row r="491" spans="3:56" ht="15" customHeight="1">
      <c r="C491" s="21">
        <f>SUM(G491:BD491)</f>
        <v>4607.1469762171691</v>
      </c>
      <c r="D491" s="11" t="s">
        <v>536</v>
      </c>
      <c r="E491" s="18" t="s">
        <v>333</v>
      </c>
      <c r="G491" s="21">
        <f>G485 - (G440 * (Inputs!$E$66 = 1))</f>
        <v>-20</v>
      </c>
      <c r="H491" s="21">
        <f>H485 - (H440 * (Inputs!$E$66 = 1))</f>
        <v>-20.399999999999999</v>
      </c>
      <c r="I491" s="21">
        <f>I485 - (I440 * (Inputs!$E$66 = 1))</f>
        <v>-80.956125</v>
      </c>
      <c r="J491" s="21">
        <f>J485 - (J440 * (Inputs!$E$66 = 1))</f>
        <v>-330.30098999999996</v>
      </c>
      <c r="K491" s="21">
        <f>K485 - (K440 * (Inputs!$E$66 = 1))</f>
        <v>39.479006955600028</v>
      </c>
      <c r="L491" s="21">
        <f>L485 - (L440 * (Inputs!$E$66 = 1))</f>
        <v>210.15582652656963</v>
      </c>
      <c r="M491" s="21">
        <f>M485 - (M440 * (Inputs!$E$66 = 1))</f>
        <v>201.00870559865064</v>
      </c>
      <c r="N491" s="21">
        <f>N485 - (N440 * (Inputs!$E$66 = 1))</f>
        <v>206.04030881545555</v>
      </c>
      <c r="O491" s="21">
        <f>O485 - (O440 * (Inputs!$E$66 = 1))</f>
        <v>211.19264362581271</v>
      </c>
      <c r="P491" s="21">
        <f>P485 - (P440 * (Inputs!$E$66 = 1))</f>
        <v>187.81363594159296</v>
      </c>
      <c r="Q491" s="21">
        <f>Q485 - (Q440 * (Inputs!$E$66 = 1))</f>
        <v>191.56990866042486</v>
      </c>
      <c r="R491" s="21">
        <f>R485 - (R440 * (Inputs!$E$66 = 1))</f>
        <v>195.40130683363327</v>
      </c>
      <c r="S491" s="21">
        <f>S485 - (S440 * (Inputs!$E$66 = 1))</f>
        <v>199.309332970306</v>
      </c>
      <c r="T491" s="21">
        <f>T485 - (T440 * (Inputs!$E$66 = 1))</f>
        <v>203.2955196297122</v>
      </c>
      <c r="U491" s="21">
        <f>U485 - (U440 * (Inputs!$E$66 = 1))</f>
        <v>207.36143002230642</v>
      </c>
      <c r="V491" s="21">
        <f>V485 - (V440 * (Inputs!$E$66 = 1))</f>
        <v>211.50865862275248</v>
      </c>
      <c r="W491" s="21">
        <f>W485 - (W440 * (Inputs!$E$66 = 1))</f>
        <v>215.73883179520749</v>
      </c>
      <c r="X491" s="21">
        <f>X485 - (X440 * (Inputs!$E$66 = 1))</f>
        <v>220.0536084311118</v>
      </c>
      <c r="Y491" s="21">
        <f>Y485 - (Y440 * (Inputs!$E$66 = 1))</f>
        <v>222.86413364220584</v>
      </c>
      <c r="Z491" s="21">
        <f>Z485 - (Z440 * (Inputs!$E$66 = 1))</f>
        <v>227.31764213582869</v>
      </c>
      <c r="AA491" s="21">
        <f>AA485 - (AA440 * (Inputs!$E$66 = 1))</f>
        <v>231.85533468883989</v>
      </c>
      <c r="AB491" s="21">
        <f>AB485 - (AB440 * (Inputs!$E$66 = 1))</f>
        <v>236.47724673449056</v>
      </c>
      <c r="AC491" s="21">
        <f>AC485 - (AC440 * (Inputs!$E$66 = 1))</f>
        <v>241.18247643235316</v>
      </c>
      <c r="AD491" s="21">
        <f>AD485 - (AD440 * (Inputs!$E$66 = 1))</f>
        <v>243.26392413055657</v>
      </c>
      <c r="AE491" s="21">
        <f>AE485 - (AE440 * (Inputs!$E$66 = 1))</f>
        <v>248.069573486634</v>
      </c>
      <c r="AF491" s="21">
        <f>AF485 - (AF440 * (Inputs!$E$66 = 1))</f>
        <v>252.93077009626188</v>
      </c>
      <c r="AG491" s="21">
        <f>AG485 - (AG440 * (Inputs!$E$66 = 1))</f>
        <v>290.12869078219126</v>
      </c>
      <c r="AH491" s="21">
        <f>AH485 - (AH440 * (Inputs!$E$66 = 1))</f>
        <v>165.2976406016638</v>
      </c>
      <c r="AI491" s="21">
        <f>AI485 - (AI440 * (Inputs!$E$66 = 1))</f>
        <v>-0.51206594299233643</v>
      </c>
      <c r="AJ491" s="21">
        <f>AJ485 - (AJ440 * (Inputs!$E$66 = 1))</f>
        <v>0</v>
      </c>
      <c r="AK491" s="21">
        <f>AK485 - (AK440 * (Inputs!$E$66 = 1))</f>
        <v>0</v>
      </c>
      <c r="AL491" s="21">
        <f>AL485 - (AL440 * (Inputs!$E$66 = 1))</f>
        <v>0</v>
      </c>
      <c r="AM491" s="21">
        <f>AM485 - (AM440 * (Inputs!$E$66 = 1))</f>
        <v>0</v>
      </c>
      <c r="AN491" s="21">
        <f>AN485 - (AN440 * (Inputs!$E$66 = 1))</f>
        <v>0</v>
      </c>
      <c r="AO491" s="21">
        <f>AO485 - (AO440 * (Inputs!$E$66 = 1))</f>
        <v>0</v>
      </c>
      <c r="AP491" s="21">
        <f>AP485 - (AP440 * (Inputs!$E$66 = 1))</f>
        <v>0</v>
      </c>
      <c r="AQ491" s="21">
        <f>AQ485 - (AQ440 * (Inputs!$E$66 = 1))</f>
        <v>0</v>
      </c>
      <c r="AR491" s="21">
        <f>AR485 - (AR440 * (Inputs!$E$66 = 1))</f>
        <v>0</v>
      </c>
      <c r="AS491" s="21">
        <f>AS485 - (AS440 * (Inputs!$E$66 = 1))</f>
        <v>0</v>
      </c>
      <c r="AT491" s="21">
        <f>AT485 - (AT440 * (Inputs!$E$66 = 1))</f>
        <v>0</v>
      </c>
      <c r="AU491" s="21">
        <f>AU485 - (AU440 * (Inputs!$E$66 = 1))</f>
        <v>0</v>
      </c>
      <c r="AV491" s="21">
        <f>AV485 - (AV440 * (Inputs!$E$66 = 1))</f>
        <v>0</v>
      </c>
      <c r="AW491" s="21">
        <f>AW485 - (AW440 * (Inputs!$E$66 = 1))</f>
        <v>0</v>
      </c>
      <c r="AX491" s="21">
        <f>AX485 - (AX440 * (Inputs!$E$66 = 1))</f>
        <v>0</v>
      </c>
      <c r="AY491" s="21">
        <f>AY485 - (AY440 * (Inputs!$E$66 = 1))</f>
        <v>0</v>
      </c>
      <c r="AZ491" s="21">
        <f>AZ485 - (AZ440 * (Inputs!$E$66 = 1))</f>
        <v>0</v>
      </c>
      <c r="BA491" s="21">
        <f>BA485 - (BA440 * (Inputs!$E$66 = 1))</f>
        <v>0</v>
      </c>
      <c r="BB491" s="21">
        <f>BB485 - (BB440 * (Inputs!$E$66 = 1))</f>
        <v>0</v>
      </c>
      <c r="BC491" s="21">
        <f>BC485 - (BC440 * (Inputs!$E$66 = 1))</f>
        <v>0</v>
      </c>
      <c r="BD491" s="21">
        <f>BD485 - (BD440 * (Inputs!$E$66 = 1))</f>
        <v>0</v>
      </c>
    </row>
    <row r="492" spans="3:56" ht="15" customHeight="1">
      <c r="C492" s="21">
        <f>SUM(G492:BD492)</f>
        <v>3347.7663859329236</v>
      </c>
      <c r="D492" s="42" t="s">
        <v>537</v>
      </c>
      <c r="E492" s="18" t="s">
        <v>333</v>
      </c>
      <c r="G492" s="21">
        <f t="shared" ref="G492:AL492" si="258">SUM(G489:G491)</f>
        <v>-20</v>
      </c>
      <c r="H492" s="21">
        <f t="shared" si="258"/>
        <v>-40.4</v>
      </c>
      <c r="I492" s="21">
        <f t="shared" si="258"/>
        <v>-121.35612499999999</v>
      </c>
      <c r="J492" s="21">
        <f t="shared" si="258"/>
        <v>-451.65711499999998</v>
      </c>
      <c r="K492" s="21">
        <f t="shared" si="258"/>
        <v>-412.17810804439995</v>
      </c>
      <c r="L492" s="21">
        <f t="shared" si="258"/>
        <v>-202.02228151783032</v>
      </c>
      <c r="M492" s="21">
        <f t="shared" si="258"/>
        <v>-1.0135759191796865</v>
      </c>
      <c r="N492" s="21">
        <f t="shared" si="258"/>
        <v>205.02673289627586</v>
      </c>
      <c r="O492" s="21">
        <f t="shared" si="258"/>
        <v>211.19264362581271</v>
      </c>
      <c r="P492" s="21">
        <f t="shared" si="258"/>
        <v>187.81363594159296</v>
      </c>
      <c r="Q492" s="21">
        <f t="shared" si="258"/>
        <v>191.56990866042486</v>
      </c>
      <c r="R492" s="21">
        <f t="shared" si="258"/>
        <v>195.40130683363327</v>
      </c>
      <c r="S492" s="21">
        <f t="shared" si="258"/>
        <v>199.309332970306</v>
      </c>
      <c r="T492" s="21">
        <f t="shared" si="258"/>
        <v>203.2955196297122</v>
      </c>
      <c r="U492" s="21">
        <f t="shared" si="258"/>
        <v>207.36143002230642</v>
      </c>
      <c r="V492" s="21">
        <f t="shared" si="258"/>
        <v>211.50865862275248</v>
      </c>
      <c r="W492" s="21">
        <f t="shared" si="258"/>
        <v>215.73883179520749</v>
      </c>
      <c r="X492" s="21">
        <f t="shared" si="258"/>
        <v>220.0536084311118</v>
      </c>
      <c r="Y492" s="21">
        <f t="shared" si="258"/>
        <v>222.86413364220584</v>
      </c>
      <c r="Z492" s="21">
        <f t="shared" si="258"/>
        <v>227.31764213582869</v>
      </c>
      <c r="AA492" s="21">
        <f t="shared" si="258"/>
        <v>231.85533468883989</v>
      </c>
      <c r="AB492" s="21">
        <f t="shared" si="258"/>
        <v>236.47724673449056</v>
      </c>
      <c r="AC492" s="21">
        <f t="shared" si="258"/>
        <v>241.18247643235316</v>
      </c>
      <c r="AD492" s="21">
        <f t="shared" si="258"/>
        <v>243.26392413055657</v>
      </c>
      <c r="AE492" s="21">
        <f t="shared" si="258"/>
        <v>248.069573486634</v>
      </c>
      <c r="AF492" s="21">
        <f t="shared" si="258"/>
        <v>252.93077009626188</v>
      </c>
      <c r="AG492" s="21">
        <f t="shared" si="258"/>
        <v>290.12869078219126</v>
      </c>
      <c r="AH492" s="21">
        <f t="shared" si="258"/>
        <v>165.2976406016638</v>
      </c>
      <c r="AI492" s="21">
        <f t="shared" si="258"/>
        <v>-0.51206594299233643</v>
      </c>
      <c r="AJ492" s="21">
        <f t="shared" si="258"/>
        <v>-0.51206594299233643</v>
      </c>
      <c r="AK492" s="21">
        <f t="shared" si="258"/>
        <v>-0.51206594299233643</v>
      </c>
      <c r="AL492" s="21">
        <f t="shared" si="258"/>
        <v>-0.51206594299233643</v>
      </c>
      <c r="AM492" s="21">
        <f t="shared" ref="AM492:BD492" si="259">SUM(AM489:AM491)</f>
        <v>-0.51206594299233643</v>
      </c>
      <c r="AN492" s="21">
        <f t="shared" si="259"/>
        <v>-0.51206594299233643</v>
      </c>
      <c r="AO492" s="21">
        <f t="shared" si="259"/>
        <v>-0.51206594299233643</v>
      </c>
      <c r="AP492" s="21">
        <f t="shared" si="259"/>
        <v>-0.51206594299233643</v>
      </c>
      <c r="AQ492" s="21">
        <f t="shared" si="259"/>
        <v>-0.51206594299233643</v>
      </c>
      <c r="AR492" s="21">
        <f t="shared" si="259"/>
        <v>-0.51206594299233643</v>
      </c>
      <c r="AS492" s="21">
        <f t="shared" si="259"/>
        <v>-0.51206594299233643</v>
      </c>
      <c r="AT492" s="21">
        <f t="shared" si="259"/>
        <v>-0.51206594299233643</v>
      </c>
      <c r="AU492" s="21">
        <f t="shared" si="259"/>
        <v>-0.51206594299233643</v>
      </c>
      <c r="AV492" s="21">
        <f t="shared" si="259"/>
        <v>-0.51206594299233643</v>
      </c>
      <c r="AW492" s="21">
        <f t="shared" si="259"/>
        <v>-0.51206594299233643</v>
      </c>
      <c r="AX492" s="21">
        <f t="shared" si="259"/>
        <v>-0.51206594299233643</v>
      </c>
      <c r="AY492" s="21">
        <f t="shared" si="259"/>
        <v>-0.51206594299233643</v>
      </c>
      <c r="AZ492" s="21">
        <f t="shared" si="259"/>
        <v>-0.51206594299233643</v>
      </c>
      <c r="BA492" s="21">
        <f t="shared" si="259"/>
        <v>-0.51206594299233643</v>
      </c>
      <c r="BB492" s="21">
        <f t="shared" si="259"/>
        <v>-0.51206594299233643</v>
      </c>
      <c r="BC492" s="21">
        <f t="shared" si="259"/>
        <v>-0.51206594299233643</v>
      </c>
      <c r="BD492" s="21">
        <f t="shared" si="259"/>
        <v>-0.51206594299233643</v>
      </c>
    </row>
    <row r="493" spans="3:56" ht="15" customHeight="1">
      <c r="C493" s="21">
        <f>SUM(G493:BD493)</f>
        <v>0</v>
      </c>
      <c r="D493" s="11" t="s">
        <v>538</v>
      </c>
      <c r="E493" s="18" t="s">
        <v>333</v>
      </c>
      <c r="G493" s="21">
        <f>G492 * (G492 &gt; 0) * Inputs!$E$64 * IF($E$473 &lt;&gt; 3, 1, G224)</f>
        <v>0</v>
      </c>
      <c r="H493" s="21">
        <f>H492 * (H492 &gt; 0) * Inputs!$E$64 * IF($E$473 &lt;&gt; 3, 1, H224)</f>
        <v>0</v>
      </c>
      <c r="I493" s="21">
        <f>I492 * (I492 &gt; 0) * Inputs!$E$64 * IF($E$473 &lt;&gt; 3, 1, I224)</f>
        <v>0</v>
      </c>
      <c r="J493" s="21">
        <f>J492 * (J492 &gt; 0) * Inputs!$E$64 * IF($E$473 &lt;&gt; 3, 1, J224)</f>
        <v>0</v>
      </c>
      <c r="K493" s="21">
        <f>K492 * (K492 &gt; 0) * Inputs!$E$64 * IF($E$473 &lt;&gt; 3, 1, K224)</f>
        <v>0</v>
      </c>
      <c r="L493" s="21">
        <f>L492 * (L492 &gt; 0) * Inputs!$E$64 * IF($E$473 &lt;&gt; 3, 1, L224)</f>
        <v>0</v>
      </c>
      <c r="M493" s="21">
        <f>M492 * (M492 &gt; 0) * Inputs!$E$64 * IF($E$473 &lt;&gt; 3, 1, M224)</f>
        <v>0</v>
      </c>
      <c r="N493" s="21">
        <f>N492 * (N492 &gt; 0) * Inputs!$E$64 * IF($E$473 &lt;&gt; 3, 1, N224)</f>
        <v>0</v>
      </c>
      <c r="O493" s="21">
        <f>O492 * (O492 &gt; 0) * Inputs!$E$64 * IF($E$473 &lt;&gt; 3, 1, O224)</f>
        <v>0</v>
      </c>
      <c r="P493" s="21">
        <f>P492 * (P492 &gt; 0) * Inputs!$E$64 * IF($E$473 &lt;&gt; 3, 1, P224)</f>
        <v>0</v>
      </c>
      <c r="Q493" s="21">
        <f>Q492 * (Q492 &gt; 0) * Inputs!$E$64 * IF($E$473 &lt;&gt; 3, 1, Q224)</f>
        <v>0</v>
      </c>
      <c r="R493" s="21">
        <f>R492 * (R492 &gt; 0) * Inputs!$E$64 * IF($E$473 &lt;&gt; 3, 1, R224)</f>
        <v>0</v>
      </c>
      <c r="S493" s="21">
        <f>S492 * (S492 &gt; 0) * Inputs!$E$64 * IF($E$473 &lt;&gt; 3, 1, S224)</f>
        <v>0</v>
      </c>
      <c r="T493" s="21">
        <f>T492 * (T492 &gt; 0) * Inputs!$E$64 * IF($E$473 &lt;&gt; 3, 1, T224)</f>
        <v>0</v>
      </c>
      <c r="U493" s="21">
        <f>U492 * (U492 &gt; 0) * Inputs!$E$64 * IF($E$473 &lt;&gt; 3, 1, U224)</f>
        <v>0</v>
      </c>
      <c r="V493" s="21">
        <f>V492 * (V492 &gt; 0) * Inputs!$E$64 * IF($E$473 &lt;&gt; 3, 1, V224)</f>
        <v>0</v>
      </c>
      <c r="W493" s="21">
        <f>W492 * (W492 &gt; 0) * Inputs!$E$64 * IF($E$473 &lt;&gt; 3, 1, W224)</f>
        <v>0</v>
      </c>
      <c r="X493" s="21">
        <f>X492 * (X492 &gt; 0) * Inputs!$E$64 * IF($E$473 &lt;&gt; 3, 1, X224)</f>
        <v>0</v>
      </c>
      <c r="Y493" s="21">
        <f>Y492 * (Y492 &gt; 0) * Inputs!$E$64 * IF($E$473 &lt;&gt; 3, 1, Y224)</f>
        <v>0</v>
      </c>
      <c r="Z493" s="21">
        <f>Z492 * (Z492 &gt; 0) * Inputs!$E$64 * IF($E$473 &lt;&gt; 3, 1, Z224)</f>
        <v>0</v>
      </c>
      <c r="AA493" s="21">
        <f>AA492 * (AA492 &gt; 0) * Inputs!$E$64 * IF($E$473 &lt;&gt; 3, 1, AA224)</f>
        <v>0</v>
      </c>
      <c r="AB493" s="21">
        <f>AB492 * (AB492 &gt; 0) * Inputs!$E$64 * IF($E$473 &lt;&gt; 3, 1, AB224)</f>
        <v>0</v>
      </c>
      <c r="AC493" s="21">
        <f>AC492 * (AC492 &gt; 0) * Inputs!$E$64 * IF($E$473 &lt;&gt; 3, 1, AC224)</f>
        <v>0</v>
      </c>
      <c r="AD493" s="21">
        <f>AD492 * (AD492 &gt; 0) * Inputs!$E$64 * IF($E$473 &lt;&gt; 3, 1, AD224)</f>
        <v>0</v>
      </c>
      <c r="AE493" s="21">
        <f>AE492 * (AE492 &gt; 0) * Inputs!$E$64 * IF($E$473 &lt;&gt; 3, 1, AE224)</f>
        <v>0</v>
      </c>
      <c r="AF493" s="21">
        <f>AF492 * (AF492 &gt; 0) * Inputs!$E$64 * IF($E$473 &lt;&gt; 3, 1, AF224)</f>
        <v>0</v>
      </c>
      <c r="AG493" s="21">
        <f>AG492 * (AG492 &gt; 0) * Inputs!$E$64 * IF($E$473 &lt;&gt; 3, 1, AG224)</f>
        <v>0</v>
      </c>
      <c r="AH493" s="21">
        <f>AH492 * (AH492 &gt; 0) * Inputs!$E$64 * IF($E$473 &lt;&gt; 3, 1, AH224)</f>
        <v>0</v>
      </c>
      <c r="AI493" s="21">
        <f>AI492 * (AI492 &gt; 0) * Inputs!$E$64 * IF($E$473 &lt;&gt; 3, 1, AI224)</f>
        <v>0</v>
      </c>
      <c r="AJ493" s="21">
        <f>AJ492 * (AJ492 &gt; 0) * Inputs!$E$64 * IF($E$473 &lt;&gt; 3, 1, AJ224)</f>
        <v>0</v>
      </c>
      <c r="AK493" s="21">
        <f>AK492 * (AK492 &gt; 0) * Inputs!$E$64 * IF($E$473 &lt;&gt; 3, 1, AK224)</f>
        <v>0</v>
      </c>
      <c r="AL493" s="21">
        <f>AL492 * (AL492 &gt; 0) * Inputs!$E$64 * IF($E$473 &lt;&gt; 3, 1, AL224)</f>
        <v>0</v>
      </c>
      <c r="AM493" s="21">
        <f>AM492 * (AM492 &gt; 0) * Inputs!$E$64 * IF($E$473 &lt;&gt; 3, 1, AM224)</f>
        <v>0</v>
      </c>
      <c r="AN493" s="21">
        <f>AN492 * (AN492 &gt; 0) * Inputs!$E$64 * IF($E$473 &lt;&gt; 3, 1, AN224)</f>
        <v>0</v>
      </c>
      <c r="AO493" s="21">
        <f>AO492 * (AO492 &gt; 0) * Inputs!$E$64 * IF($E$473 &lt;&gt; 3, 1, AO224)</f>
        <v>0</v>
      </c>
      <c r="AP493" s="21">
        <f>AP492 * (AP492 &gt; 0) * Inputs!$E$64 * IF($E$473 &lt;&gt; 3, 1, AP224)</f>
        <v>0</v>
      </c>
      <c r="AQ493" s="21">
        <f>AQ492 * (AQ492 &gt; 0) * Inputs!$E$64 * IF($E$473 &lt;&gt; 3, 1, AQ224)</f>
        <v>0</v>
      </c>
      <c r="AR493" s="21">
        <f>AR492 * (AR492 &gt; 0) * Inputs!$E$64 * IF($E$473 &lt;&gt; 3, 1, AR224)</f>
        <v>0</v>
      </c>
      <c r="AS493" s="21">
        <f>AS492 * (AS492 &gt; 0) * Inputs!$E$64 * IF($E$473 &lt;&gt; 3, 1, AS224)</f>
        <v>0</v>
      </c>
      <c r="AT493" s="21">
        <f>AT492 * (AT492 &gt; 0) * Inputs!$E$64 * IF($E$473 &lt;&gt; 3, 1, AT224)</f>
        <v>0</v>
      </c>
      <c r="AU493" s="21">
        <f>AU492 * (AU492 &gt; 0) * Inputs!$E$64 * IF($E$473 &lt;&gt; 3, 1, AU224)</f>
        <v>0</v>
      </c>
      <c r="AV493" s="21">
        <f>AV492 * (AV492 &gt; 0) * Inputs!$E$64 * IF($E$473 &lt;&gt; 3, 1, AV224)</f>
        <v>0</v>
      </c>
      <c r="AW493" s="21">
        <f>AW492 * (AW492 &gt; 0) * Inputs!$E$64 * IF($E$473 &lt;&gt; 3, 1, AW224)</f>
        <v>0</v>
      </c>
      <c r="AX493" s="21">
        <f>AX492 * (AX492 &gt; 0) * Inputs!$E$64 * IF($E$473 &lt;&gt; 3, 1, AX224)</f>
        <v>0</v>
      </c>
      <c r="AY493" s="21">
        <f>AY492 * (AY492 &gt; 0) * Inputs!$E$64 * IF($E$473 &lt;&gt; 3, 1, AY224)</f>
        <v>0</v>
      </c>
      <c r="AZ493" s="21">
        <f>AZ492 * (AZ492 &gt; 0) * Inputs!$E$64 * IF($E$473 &lt;&gt; 3, 1, AZ224)</f>
        <v>0</v>
      </c>
      <c r="BA493" s="21">
        <f>BA492 * (BA492 &gt; 0) * Inputs!$E$64 * IF($E$473 &lt;&gt; 3, 1, BA224)</f>
        <v>0</v>
      </c>
      <c r="BB493" s="21">
        <f>BB492 * (BB492 &gt; 0) * Inputs!$E$64 * IF($E$473 &lt;&gt; 3, 1, BB224)</f>
        <v>0</v>
      </c>
      <c r="BC493" s="21">
        <f>BC492 * (BC492 &gt; 0) * Inputs!$E$64 * IF($E$473 &lt;&gt; 3, 1, BC224)</f>
        <v>0</v>
      </c>
      <c r="BD493" s="21">
        <f>BD492 * (BD492 &gt; 0) * Inputs!$E$64 * IF($E$473 &lt;&gt; 3, 1, BD224)</f>
        <v>0</v>
      </c>
    </row>
    <row r="494" spans="3:56" ht="15" customHeight="1">
      <c r="C494" s="20"/>
      <c r="E494" s="18"/>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row>
    <row r="495" spans="3:56" ht="15" customHeight="1">
      <c r="C495" s="237"/>
      <c r="D495" s="166"/>
      <c r="E495" s="238"/>
      <c r="F495" s="166"/>
      <c r="G495" s="239"/>
      <c r="H495" s="239"/>
      <c r="I495" s="239"/>
      <c r="J495" s="239"/>
      <c r="K495" s="239"/>
      <c r="L495" s="239"/>
      <c r="M495" s="239"/>
      <c r="N495" s="239"/>
      <c r="O495" s="239"/>
      <c r="P495" s="239"/>
      <c r="Q495" s="239"/>
      <c r="R495" s="239"/>
      <c r="S495" s="239"/>
      <c r="T495" s="239"/>
      <c r="U495" s="239"/>
      <c r="V495" s="239"/>
      <c r="W495" s="239"/>
      <c r="X495" s="239"/>
      <c r="Y495" s="239"/>
      <c r="Z495" s="239"/>
      <c r="AA495" s="239"/>
      <c r="AB495" s="239"/>
      <c r="AC495" s="239"/>
      <c r="AD495" s="239"/>
      <c r="AE495" s="239"/>
      <c r="AF495" s="239"/>
      <c r="AG495" s="239"/>
      <c r="AH495" s="239"/>
      <c r="AI495" s="239"/>
      <c r="AJ495" s="239"/>
      <c r="AK495" s="239"/>
      <c r="AL495" s="239"/>
      <c r="AM495" s="239"/>
      <c r="AN495" s="239"/>
      <c r="AO495" s="239"/>
      <c r="AP495" s="239"/>
      <c r="AQ495" s="239"/>
      <c r="AR495" s="239"/>
      <c r="AS495" s="239"/>
      <c r="AT495" s="239"/>
      <c r="AU495" s="239"/>
      <c r="AV495" s="239"/>
      <c r="AW495" s="239"/>
      <c r="AX495" s="239"/>
      <c r="AY495" s="239"/>
      <c r="AZ495" s="239"/>
      <c r="BA495" s="239"/>
      <c r="BB495" s="239"/>
      <c r="BC495" s="239"/>
      <c r="BD495" s="239"/>
    </row>
    <row r="496" spans="3:56" ht="15" customHeight="1">
      <c r="C496" s="20"/>
      <c r="D496" s="9" t="s">
        <v>539</v>
      </c>
      <c r="E496" s="18"/>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row>
    <row r="497" spans="3:56" ht="15" customHeight="1">
      <c r="C497" s="20"/>
      <c r="D497" s="11" t="s">
        <v>540</v>
      </c>
      <c r="E497" s="18"/>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row>
    <row r="498" spans="3:56" ht="15" customHeight="1">
      <c r="C498" s="21">
        <f t="shared" ref="C498:C509" si="260">SUM(G498:BD498)</f>
        <v>-1326.8991943520955</v>
      </c>
      <c r="D498" s="11" t="s">
        <v>541</v>
      </c>
      <c r="E498" s="18" t="s">
        <v>333</v>
      </c>
      <c r="G498" s="17">
        <f>F501*(F501&lt;0)</f>
        <v>0</v>
      </c>
      <c r="H498" s="17">
        <f t="shared" ref="H498:BD498" si="261">G501*(G501&lt;0)</f>
        <v>-20</v>
      </c>
      <c r="I498" s="17">
        <f t="shared" si="261"/>
        <v>-40.799999999999997</v>
      </c>
      <c r="J498" s="17">
        <f t="shared" si="261"/>
        <v>-122.572125</v>
      </c>
      <c r="K498" s="17">
        <f t="shared" si="261"/>
        <v>-455.32455749999997</v>
      </c>
      <c r="L498" s="17">
        <f t="shared" si="261"/>
        <v>-424.95204169439995</v>
      </c>
      <c r="M498" s="17">
        <f t="shared" si="261"/>
        <v>-223.29525600171831</v>
      </c>
      <c r="N498" s="17">
        <f t="shared" si="261"/>
        <v>-26.752455523102043</v>
      </c>
      <c r="O498" s="17">
        <f t="shared" si="261"/>
        <v>0</v>
      </c>
      <c r="P498" s="17">
        <f t="shared" si="261"/>
        <v>0</v>
      </c>
      <c r="Q498" s="17">
        <f t="shared" si="261"/>
        <v>0</v>
      </c>
      <c r="R498" s="17">
        <f t="shared" si="261"/>
        <v>0</v>
      </c>
      <c r="S498" s="17">
        <f t="shared" si="261"/>
        <v>0</v>
      </c>
      <c r="T498" s="17">
        <f t="shared" si="261"/>
        <v>0</v>
      </c>
      <c r="U498" s="17">
        <f t="shared" si="261"/>
        <v>0</v>
      </c>
      <c r="V498" s="17">
        <f t="shared" si="261"/>
        <v>0</v>
      </c>
      <c r="W498" s="17">
        <f t="shared" si="261"/>
        <v>0</v>
      </c>
      <c r="X498" s="17">
        <f t="shared" si="261"/>
        <v>0</v>
      </c>
      <c r="Y498" s="17">
        <f t="shared" si="261"/>
        <v>0</v>
      </c>
      <c r="Z498" s="17">
        <f t="shared" si="261"/>
        <v>0</v>
      </c>
      <c r="AA498" s="17">
        <f t="shared" si="261"/>
        <v>0</v>
      </c>
      <c r="AB498" s="17">
        <f t="shared" si="261"/>
        <v>0</v>
      </c>
      <c r="AC498" s="17">
        <f t="shared" si="261"/>
        <v>0</v>
      </c>
      <c r="AD498" s="17">
        <f t="shared" si="261"/>
        <v>0</v>
      </c>
      <c r="AE498" s="17">
        <f t="shared" si="261"/>
        <v>0</v>
      </c>
      <c r="AF498" s="17">
        <f t="shared" si="261"/>
        <v>0</v>
      </c>
      <c r="AG498" s="17">
        <f t="shared" si="261"/>
        <v>0</v>
      </c>
      <c r="AH498" s="17">
        <f t="shared" si="261"/>
        <v>0</v>
      </c>
      <c r="AI498" s="17">
        <f t="shared" si="261"/>
        <v>0</v>
      </c>
      <c r="AJ498" s="17">
        <f t="shared" si="261"/>
        <v>-0.51206594299233643</v>
      </c>
      <c r="AK498" s="17">
        <f t="shared" si="261"/>
        <v>-0.52230726185218312</v>
      </c>
      <c r="AL498" s="17">
        <f t="shared" si="261"/>
        <v>-0.5327534070892268</v>
      </c>
      <c r="AM498" s="17">
        <f t="shared" si="261"/>
        <v>-0.54340847523101132</v>
      </c>
      <c r="AN498" s="17">
        <f t="shared" si="261"/>
        <v>-0.55427664473563154</v>
      </c>
      <c r="AO498" s="17">
        <f t="shared" si="261"/>
        <v>-0.56536217763034413</v>
      </c>
      <c r="AP498" s="17">
        <f t="shared" si="261"/>
        <v>-0.57666942118295106</v>
      </c>
      <c r="AQ498" s="17">
        <f t="shared" si="261"/>
        <v>-0.58820280960661009</v>
      </c>
      <c r="AR498" s="17">
        <f t="shared" si="261"/>
        <v>-0.59996686579874225</v>
      </c>
      <c r="AS498" s="17">
        <f t="shared" si="261"/>
        <v>-0.61196620311471706</v>
      </c>
      <c r="AT498" s="17">
        <f t="shared" si="261"/>
        <v>-0.62420552717701139</v>
      </c>
      <c r="AU498" s="17">
        <f t="shared" si="261"/>
        <v>-0.63668963772055165</v>
      </c>
      <c r="AV498" s="17">
        <f t="shared" si="261"/>
        <v>-0.64942343047496265</v>
      </c>
      <c r="AW498" s="17">
        <f t="shared" si="261"/>
        <v>-0.66241189908446196</v>
      </c>
      <c r="AX498" s="17">
        <f t="shared" si="261"/>
        <v>-0.67566013706615125</v>
      </c>
      <c r="AY498" s="17">
        <f t="shared" si="261"/>
        <v>-0.68917333980747431</v>
      </c>
      <c r="AZ498" s="17">
        <f t="shared" si="261"/>
        <v>-0.70295680660362381</v>
      </c>
      <c r="BA498" s="17">
        <f t="shared" si="261"/>
        <v>-0.71701594273569624</v>
      </c>
      <c r="BB498" s="17">
        <f t="shared" si="261"/>
        <v>-0.73135626159041023</v>
      </c>
      <c r="BC498" s="17">
        <f t="shared" si="261"/>
        <v>-0.74598338682221843</v>
      </c>
      <c r="BD498" s="17">
        <f t="shared" si="261"/>
        <v>-0.76090305455866281</v>
      </c>
    </row>
    <row r="499" spans="3:56" ht="15" customHeight="1">
      <c r="C499" s="21">
        <f t="shared" si="260"/>
        <v>-1353.4371782391372</v>
      </c>
      <c r="D499" s="11" t="s">
        <v>542</v>
      </c>
      <c r="E499" s="18" t="s">
        <v>333</v>
      </c>
      <c r="G499" s="17">
        <f>(G498*(1+Inputs!$E$68))*(1+Inputs!$E$202)</f>
        <v>0</v>
      </c>
      <c r="H499" s="17">
        <f>(H498*(1+Inputs!$E$68))*(1+Inputs!$E$202)</f>
        <v>-20.399999999999999</v>
      </c>
      <c r="I499" s="17">
        <f>(I498*(1+Inputs!$E$68))*(1+Inputs!$E$202)</f>
        <v>-41.616</v>
      </c>
      <c r="J499" s="17">
        <f>(J498*(1+Inputs!$E$68))*(1+Inputs!$E$202)</f>
        <v>-125.0235675</v>
      </c>
      <c r="K499" s="17">
        <f>(K498*(1+Inputs!$E$68))*(1+Inputs!$E$202)</f>
        <v>-464.43104864999998</v>
      </c>
      <c r="L499" s="17">
        <f>(L498*(1+Inputs!$E$68))*(1+Inputs!$E$202)</f>
        <v>-433.45108252828794</v>
      </c>
      <c r="M499" s="17">
        <f>(M498*(1+Inputs!$E$68))*(1+Inputs!$E$202)</f>
        <v>-227.76116112175268</v>
      </c>
      <c r="N499" s="17">
        <f>(N498*(1+Inputs!$E$68))*(1+Inputs!$E$202)</f>
        <v>-27.287504633564083</v>
      </c>
      <c r="O499" s="17">
        <f>(O498*(1+Inputs!$E$68))*(1+Inputs!$E$202)</f>
        <v>0</v>
      </c>
      <c r="P499" s="17">
        <f>(P498*(1+Inputs!$E$68))*(1+Inputs!$E$202)</f>
        <v>0</v>
      </c>
      <c r="Q499" s="17">
        <f>(Q498*(1+Inputs!$E$68))*(1+Inputs!$E$202)</f>
        <v>0</v>
      </c>
      <c r="R499" s="17">
        <f>(R498*(1+Inputs!$E$68))*(1+Inputs!$E$202)</f>
        <v>0</v>
      </c>
      <c r="S499" s="17">
        <f>(S498*(1+Inputs!$E$68))*(1+Inputs!$E$202)</f>
        <v>0</v>
      </c>
      <c r="T499" s="17">
        <f>(T498*(1+Inputs!$E$68))*(1+Inputs!$E$202)</f>
        <v>0</v>
      </c>
      <c r="U499" s="17">
        <f>(U498*(1+Inputs!$E$68))*(1+Inputs!$E$202)</f>
        <v>0</v>
      </c>
      <c r="V499" s="17">
        <f>(V498*(1+Inputs!$E$68))*(1+Inputs!$E$202)</f>
        <v>0</v>
      </c>
      <c r="W499" s="17">
        <f>(W498*(1+Inputs!$E$68))*(1+Inputs!$E$202)</f>
        <v>0</v>
      </c>
      <c r="X499" s="17">
        <f>(X498*(1+Inputs!$E$68))*(1+Inputs!$E$202)</f>
        <v>0</v>
      </c>
      <c r="Y499" s="17">
        <f>(Y498*(1+Inputs!$E$68))*(1+Inputs!$E$202)</f>
        <v>0</v>
      </c>
      <c r="Z499" s="17">
        <f>(Z498*(1+Inputs!$E$68))*(1+Inputs!$E$202)</f>
        <v>0</v>
      </c>
      <c r="AA499" s="17">
        <f>(AA498*(1+Inputs!$E$68))*(1+Inputs!$E$202)</f>
        <v>0</v>
      </c>
      <c r="AB499" s="17">
        <f>(AB498*(1+Inputs!$E$68))*(1+Inputs!$E$202)</f>
        <v>0</v>
      </c>
      <c r="AC499" s="17">
        <f>(AC498*(1+Inputs!$E$68))*(1+Inputs!$E$202)</f>
        <v>0</v>
      </c>
      <c r="AD499" s="17">
        <f>(AD498*(1+Inputs!$E$68))*(1+Inputs!$E$202)</f>
        <v>0</v>
      </c>
      <c r="AE499" s="17">
        <f>(AE498*(1+Inputs!$E$68))*(1+Inputs!$E$202)</f>
        <v>0</v>
      </c>
      <c r="AF499" s="17">
        <f>(AF498*(1+Inputs!$E$68))*(1+Inputs!$E$202)</f>
        <v>0</v>
      </c>
      <c r="AG499" s="17">
        <f>(AG498*(1+Inputs!$E$68))*(1+Inputs!$E$202)</f>
        <v>0</v>
      </c>
      <c r="AH499" s="17">
        <f>(AH498*(1+Inputs!$E$68))*(1+Inputs!$E$202)</f>
        <v>0</v>
      </c>
      <c r="AI499" s="17">
        <f>(AI498*(1+Inputs!$E$68))*(1+Inputs!$E$202)</f>
        <v>0</v>
      </c>
      <c r="AJ499" s="17">
        <f>(AJ498*(1+Inputs!$E$68))*(1+Inputs!$E$202)</f>
        <v>-0.52230726185218312</v>
      </c>
      <c r="AK499" s="17">
        <f>(AK498*(1+Inputs!$E$68))*(1+Inputs!$E$202)</f>
        <v>-0.5327534070892268</v>
      </c>
      <c r="AL499" s="17">
        <f>(AL498*(1+Inputs!$E$68))*(1+Inputs!$E$202)</f>
        <v>-0.54340847523101132</v>
      </c>
      <c r="AM499" s="17">
        <f>(AM498*(1+Inputs!$E$68))*(1+Inputs!$E$202)</f>
        <v>-0.55427664473563154</v>
      </c>
      <c r="AN499" s="17">
        <f>(AN498*(1+Inputs!$E$68))*(1+Inputs!$E$202)</f>
        <v>-0.56536217763034413</v>
      </c>
      <c r="AO499" s="17">
        <f>(AO498*(1+Inputs!$E$68))*(1+Inputs!$E$202)</f>
        <v>-0.57666942118295106</v>
      </c>
      <c r="AP499" s="17">
        <f>(AP498*(1+Inputs!$E$68))*(1+Inputs!$E$202)</f>
        <v>-0.58820280960661009</v>
      </c>
      <c r="AQ499" s="17">
        <f>(AQ498*(1+Inputs!$E$68))*(1+Inputs!$E$202)</f>
        <v>-0.59996686579874225</v>
      </c>
      <c r="AR499" s="17">
        <f>(AR498*(1+Inputs!$E$68))*(1+Inputs!$E$202)</f>
        <v>-0.61196620311471706</v>
      </c>
      <c r="AS499" s="17">
        <f>(AS498*(1+Inputs!$E$68))*(1+Inputs!$E$202)</f>
        <v>-0.62420552717701139</v>
      </c>
      <c r="AT499" s="17">
        <f>(AT498*(1+Inputs!$E$68))*(1+Inputs!$E$202)</f>
        <v>-0.63668963772055165</v>
      </c>
      <c r="AU499" s="17">
        <f>(AU498*(1+Inputs!$E$68))*(1+Inputs!$E$202)</f>
        <v>-0.64942343047496265</v>
      </c>
      <c r="AV499" s="17">
        <f>(AV498*(1+Inputs!$E$68))*(1+Inputs!$E$202)</f>
        <v>-0.66241189908446196</v>
      </c>
      <c r="AW499" s="17">
        <f>(AW498*(1+Inputs!$E$68))*(1+Inputs!$E$202)</f>
        <v>-0.67566013706615125</v>
      </c>
      <c r="AX499" s="17">
        <f>(AX498*(1+Inputs!$E$68))*(1+Inputs!$E$202)</f>
        <v>-0.68917333980747431</v>
      </c>
      <c r="AY499" s="17">
        <f>(AY498*(1+Inputs!$E$68))*(1+Inputs!$E$202)</f>
        <v>-0.70295680660362381</v>
      </c>
      <c r="AZ499" s="17">
        <f>(AZ498*(1+Inputs!$E$68))*(1+Inputs!$E$202)</f>
        <v>-0.71701594273569624</v>
      </c>
      <c r="BA499" s="17">
        <f>(BA498*(1+Inputs!$E$68))*(1+Inputs!$E$202)</f>
        <v>-0.73135626159041023</v>
      </c>
      <c r="BB499" s="17">
        <f>(BB498*(1+Inputs!$E$68))*(1+Inputs!$E$202)</f>
        <v>-0.74598338682221843</v>
      </c>
      <c r="BC499" s="17">
        <f>(BC498*(1+Inputs!$E$68))*(1+Inputs!$E$202)</f>
        <v>-0.76090305455866281</v>
      </c>
      <c r="BD499" s="17">
        <f>(BD498*(1+Inputs!$E$68))*(1+Inputs!$E$202)</f>
        <v>-0.7761211156498361</v>
      </c>
    </row>
    <row r="500" spans="3:56" ht="15" customHeight="1">
      <c r="C500" s="21">
        <f t="shared" si="260"/>
        <v>4607.1469762171691</v>
      </c>
      <c r="D500" s="11" t="s">
        <v>536</v>
      </c>
      <c r="E500" s="18" t="s">
        <v>333</v>
      </c>
      <c r="G500" s="17">
        <f t="shared" ref="G500:AL500" si="262">G485</f>
        <v>-20</v>
      </c>
      <c r="H500" s="17">
        <f t="shared" si="262"/>
        <v>-20.399999999999999</v>
      </c>
      <c r="I500" s="17">
        <f t="shared" si="262"/>
        <v>-80.956125</v>
      </c>
      <c r="J500" s="17">
        <f t="shared" si="262"/>
        <v>-330.30098999999996</v>
      </c>
      <c r="K500" s="17">
        <f t="shared" si="262"/>
        <v>39.479006955600028</v>
      </c>
      <c r="L500" s="17">
        <f t="shared" si="262"/>
        <v>210.15582652656963</v>
      </c>
      <c r="M500" s="17">
        <f t="shared" si="262"/>
        <v>201.00870559865064</v>
      </c>
      <c r="N500" s="17">
        <f t="shared" si="262"/>
        <v>206.04030881545555</v>
      </c>
      <c r="O500" s="17">
        <f t="shared" si="262"/>
        <v>211.19264362581271</v>
      </c>
      <c r="P500" s="17">
        <f t="shared" si="262"/>
        <v>187.81363594159296</v>
      </c>
      <c r="Q500" s="17">
        <f t="shared" si="262"/>
        <v>191.56990866042486</v>
      </c>
      <c r="R500" s="17">
        <f t="shared" si="262"/>
        <v>195.40130683363327</v>
      </c>
      <c r="S500" s="17">
        <f t="shared" si="262"/>
        <v>199.309332970306</v>
      </c>
      <c r="T500" s="17">
        <f t="shared" si="262"/>
        <v>203.2955196297122</v>
      </c>
      <c r="U500" s="17">
        <f t="shared" si="262"/>
        <v>207.36143002230642</v>
      </c>
      <c r="V500" s="17">
        <f t="shared" si="262"/>
        <v>211.50865862275248</v>
      </c>
      <c r="W500" s="17">
        <f t="shared" si="262"/>
        <v>215.73883179520749</v>
      </c>
      <c r="X500" s="17">
        <f t="shared" si="262"/>
        <v>220.0536084311118</v>
      </c>
      <c r="Y500" s="17">
        <f t="shared" si="262"/>
        <v>222.86413364220584</v>
      </c>
      <c r="Z500" s="17">
        <f t="shared" si="262"/>
        <v>227.31764213582869</v>
      </c>
      <c r="AA500" s="17">
        <f t="shared" si="262"/>
        <v>231.85533468883989</v>
      </c>
      <c r="AB500" s="17">
        <f t="shared" si="262"/>
        <v>236.47724673449056</v>
      </c>
      <c r="AC500" s="17">
        <f t="shared" si="262"/>
        <v>241.18247643235316</v>
      </c>
      <c r="AD500" s="17">
        <f t="shared" si="262"/>
        <v>243.26392413055657</v>
      </c>
      <c r="AE500" s="17">
        <f t="shared" si="262"/>
        <v>248.069573486634</v>
      </c>
      <c r="AF500" s="17">
        <f t="shared" si="262"/>
        <v>252.93077009626188</v>
      </c>
      <c r="AG500" s="17">
        <f t="shared" si="262"/>
        <v>290.12869078219126</v>
      </c>
      <c r="AH500" s="17">
        <f t="shared" si="262"/>
        <v>165.2976406016638</v>
      </c>
      <c r="AI500" s="17">
        <f t="shared" si="262"/>
        <v>-0.51206594299233643</v>
      </c>
      <c r="AJ500" s="17">
        <f t="shared" si="262"/>
        <v>0</v>
      </c>
      <c r="AK500" s="17">
        <f t="shared" si="262"/>
        <v>0</v>
      </c>
      <c r="AL500" s="17">
        <f t="shared" si="262"/>
        <v>0</v>
      </c>
      <c r="AM500" s="17">
        <f t="shared" ref="AM500:BD500" si="263">AM485</f>
        <v>0</v>
      </c>
      <c r="AN500" s="17">
        <f t="shared" si="263"/>
        <v>0</v>
      </c>
      <c r="AO500" s="17">
        <f t="shared" si="263"/>
        <v>0</v>
      </c>
      <c r="AP500" s="17">
        <f t="shared" si="263"/>
        <v>0</v>
      </c>
      <c r="AQ500" s="17">
        <f t="shared" si="263"/>
        <v>0</v>
      </c>
      <c r="AR500" s="17">
        <f t="shared" si="263"/>
        <v>0</v>
      </c>
      <c r="AS500" s="17">
        <f t="shared" si="263"/>
        <v>0</v>
      </c>
      <c r="AT500" s="17">
        <f t="shared" si="263"/>
        <v>0</v>
      </c>
      <c r="AU500" s="17">
        <f t="shared" si="263"/>
        <v>0</v>
      </c>
      <c r="AV500" s="17">
        <f t="shared" si="263"/>
        <v>0</v>
      </c>
      <c r="AW500" s="17">
        <f t="shared" si="263"/>
        <v>0</v>
      </c>
      <c r="AX500" s="17">
        <f t="shared" si="263"/>
        <v>0</v>
      </c>
      <c r="AY500" s="17">
        <f t="shared" si="263"/>
        <v>0</v>
      </c>
      <c r="AZ500" s="17">
        <f t="shared" si="263"/>
        <v>0</v>
      </c>
      <c r="BA500" s="17">
        <f t="shared" si="263"/>
        <v>0</v>
      </c>
      <c r="BB500" s="17">
        <f t="shared" si="263"/>
        <v>0</v>
      </c>
      <c r="BC500" s="17">
        <f t="shared" si="263"/>
        <v>0</v>
      </c>
      <c r="BD500" s="17">
        <f t="shared" si="263"/>
        <v>0</v>
      </c>
    </row>
    <row r="501" spans="3:56" ht="15" customHeight="1">
      <c r="C501" s="21">
        <f t="shared" si="260"/>
        <v>3253.7097979780319</v>
      </c>
      <c r="D501" s="11" t="s">
        <v>543</v>
      </c>
      <c r="E501" s="18" t="s">
        <v>333</v>
      </c>
      <c r="G501" s="17">
        <f>SUM(G499:G500)</f>
        <v>-20</v>
      </c>
      <c r="H501" s="17">
        <f t="shared" ref="H501:BD501" si="264">SUM(H499:H500)</f>
        <v>-40.799999999999997</v>
      </c>
      <c r="I501" s="17">
        <f t="shared" si="264"/>
        <v>-122.572125</v>
      </c>
      <c r="J501" s="17">
        <f t="shared" si="264"/>
        <v>-455.32455749999997</v>
      </c>
      <c r="K501" s="17">
        <f t="shared" si="264"/>
        <v>-424.95204169439995</v>
      </c>
      <c r="L501" s="17">
        <f t="shared" si="264"/>
        <v>-223.29525600171831</v>
      </c>
      <c r="M501" s="17">
        <f t="shared" si="264"/>
        <v>-26.752455523102043</v>
      </c>
      <c r="N501" s="17">
        <f t="shared" si="264"/>
        <v>178.75280418189146</v>
      </c>
      <c r="O501" s="17">
        <f t="shared" si="264"/>
        <v>211.19264362581271</v>
      </c>
      <c r="P501" s="17">
        <f t="shared" si="264"/>
        <v>187.81363594159296</v>
      </c>
      <c r="Q501" s="17">
        <f t="shared" si="264"/>
        <v>191.56990866042486</v>
      </c>
      <c r="R501" s="17">
        <f t="shared" si="264"/>
        <v>195.40130683363327</v>
      </c>
      <c r="S501" s="17">
        <f t="shared" si="264"/>
        <v>199.309332970306</v>
      </c>
      <c r="T501" s="17">
        <f t="shared" si="264"/>
        <v>203.2955196297122</v>
      </c>
      <c r="U501" s="17">
        <f t="shared" si="264"/>
        <v>207.36143002230642</v>
      </c>
      <c r="V501" s="17">
        <f t="shared" si="264"/>
        <v>211.50865862275248</v>
      </c>
      <c r="W501" s="17">
        <f t="shared" si="264"/>
        <v>215.73883179520749</v>
      </c>
      <c r="X501" s="17">
        <f t="shared" si="264"/>
        <v>220.0536084311118</v>
      </c>
      <c r="Y501" s="17">
        <f t="shared" si="264"/>
        <v>222.86413364220584</v>
      </c>
      <c r="Z501" s="17">
        <f t="shared" si="264"/>
        <v>227.31764213582869</v>
      </c>
      <c r="AA501" s="17">
        <f t="shared" si="264"/>
        <v>231.85533468883989</v>
      </c>
      <c r="AB501" s="17">
        <f t="shared" si="264"/>
        <v>236.47724673449056</v>
      </c>
      <c r="AC501" s="17">
        <f t="shared" si="264"/>
        <v>241.18247643235316</v>
      </c>
      <c r="AD501" s="17">
        <f t="shared" si="264"/>
        <v>243.26392413055657</v>
      </c>
      <c r="AE501" s="17">
        <f t="shared" si="264"/>
        <v>248.069573486634</v>
      </c>
      <c r="AF501" s="17">
        <f t="shared" si="264"/>
        <v>252.93077009626188</v>
      </c>
      <c r="AG501" s="17">
        <f t="shared" si="264"/>
        <v>290.12869078219126</v>
      </c>
      <c r="AH501" s="17">
        <f t="shared" si="264"/>
        <v>165.2976406016638</v>
      </c>
      <c r="AI501" s="17">
        <f t="shared" si="264"/>
        <v>-0.51206594299233643</v>
      </c>
      <c r="AJ501" s="17">
        <f t="shared" si="264"/>
        <v>-0.52230726185218312</v>
      </c>
      <c r="AK501" s="17">
        <f t="shared" si="264"/>
        <v>-0.5327534070892268</v>
      </c>
      <c r="AL501" s="17">
        <f t="shared" si="264"/>
        <v>-0.54340847523101132</v>
      </c>
      <c r="AM501" s="17">
        <f t="shared" si="264"/>
        <v>-0.55427664473563154</v>
      </c>
      <c r="AN501" s="17">
        <f t="shared" si="264"/>
        <v>-0.56536217763034413</v>
      </c>
      <c r="AO501" s="17">
        <f t="shared" si="264"/>
        <v>-0.57666942118295106</v>
      </c>
      <c r="AP501" s="17">
        <f t="shared" si="264"/>
        <v>-0.58820280960661009</v>
      </c>
      <c r="AQ501" s="17">
        <f t="shared" si="264"/>
        <v>-0.59996686579874225</v>
      </c>
      <c r="AR501" s="17">
        <f t="shared" si="264"/>
        <v>-0.61196620311471706</v>
      </c>
      <c r="AS501" s="17">
        <f t="shared" si="264"/>
        <v>-0.62420552717701139</v>
      </c>
      <c r="AT501" s="17">
        <f t="shared" si="264"/>
        <v>-0.63668963772055165</v>
      </c>
      <c r="AU501" s="17">
        <f t="shared" si="264"/>
        <v>-0.64942343047496265</v>
      </c>
      <c r="AV501" s="17">
        <f t="shared" si="264"/>
        <v>-0.66241189908446196</v>
      </c>
      <c r="AW501" s="17">
        <f t="shared" si="264"/>
        <v>-0.67566013706615125</v>
      </c>
      <c r="AX501" s="17">
        <f t="shared" si="264"/>
        <v>-0.68917333980747431</v>
      </c>
      <c r="AY501" s="17">
        <f t="shared" si="264"/>
        <v>-0.70295680660362381</v>
      </c>
      <c r="AZ501" s="17">
        <f t="shared" si="264"/>
        <v>-0.71701594273569624</v>
      </c>
      <c r="BA501" s="17">
        <f t="shared" si="264"/>
        <v>-0.73135626159041023</v>
      </c>
      <c r="BB501" s="17">
        <f t="shared" si="264"/>
        <v>-0.74598338682221843</v>
      </c>
      <c r="BC501" s="17">
        <f t="shared" si="264"/>
        <v>-0.76090305455866281</v>
      </c>
      <c r="BD501" s="17">
        <f t="shared" si="264"/>
        <v>-0.7761211156498361</v>
      </c>
    </row>
    <row r="502" spans="3:56" ht="15" customHeight="1">
      <c r="C502" s="21">
        <f>SUM(G502:BD502)</f>
        <v>0</v>
      </c>
      <c r="D502" s="11" t="s">
        <v>544</v>
      </c>
      <c r="E502" s="18" t="s">
        <v>333</v>
      </c>
      <c r="G502" s="17">
        <f>G501*(G501&gt;0)*Inputs!$E$69*Inputs!$E$67</f>
        <v>0</v>
      </c>
      <c r="H502" s="17">
        <f>H501*(H501&gt;0)*Inputs!$E$69*Inputs!$E$67</f>
        <v>0</v>
      </c>
      <c r="I502" s="17">
        <f>I501*(I501&gt;0)*Inputs!$E$69*Inputs!$E$67</f>
        <v>0</v>
      </c>
      <c r="J502" s="17">
        <f>J501*(J501&gt;0)*Inputs!$E$69*Inputs!$E$67</f>
        <v>0</v>
      </c>
      <c r="K502" s="17">
        <f>K501*(K501&gt;0)*Inputs!$E$69*Inputs!$E$67</f>
        <v>0</v>
      </c>
      <c r="L502" s="17">
        <f>L501*(L501&gt;0)*Inputs!$E$69*Inputs!$E$67</f>
        <v>0</v>
      </c>
      <c r="M502" s="17">
        <f>M501*(M501&gt;0)*Inputs!$E$69*Inputs!$E$67</f>
        <v>0</v>
      </c>
      <c r="N502" s="17">
        <f>N501*(N501&gt;0)*Inputs!$E$69*Inputs!$E$67</f>
        <v>0</v>
      </c>
      <c r="O502" s="17">
        <f>O501*(O501&gt;0)*Inputs!$E$69*Inputs!$E$67</f>
        <v>0</v>
      </c>
      <c r="P502" s="17">
        <f>P501*(P501&gt;0)*Inputs!$E$69*Inputs!$E$67</f>
        <v>0</v>
      </c>
      <c r="Q502" s="17">
        <f>Q501*(Q501&gt;0)*Inputs!$E$69*Inputs!$E$67</f>
        <v>0</v>
      </c>
      <c r="R502" s="17">
        <f>R501*(R501&gt;0)*Inputs!$E$69*Inputs!$E$67</f>
        <v>0</v>
      </c>
      <c r="S502" s="17">
        <f>S501*(S501&gt;0)*Inputs!$E$69*Inputs!$E$67</f>
        <v>0</v>
      </c>
      <c r="T502" s="17">
        <f>T501*(T501&gt;0)*Inputs!$E$69*Inputs!$E$67</f>
        <v>0</v>
      </c>
      <c r="U502" s="17">
        <f>U501*(U501&gt;0)*Inputs!$E$69*Inputs!$E$67</f>
        <v>0</v>
      </c>
      <c r="V502" s="17">
        <f>V501*(V501&gt;0)*Inputs!$E$69*Inputs!$E$67</f>
        <v>0</v>
      </c>
      <c r="W502" s="17">
        <f>W501*(W501&gt;0)*Inputs!$E$69*Inputs!$E$67</f>
        <v>0</v>
      </c>
      <c r="X502" s="17">
        <f>X501*(X501&gt;0)*Inputs!$E$69*Inputs!$E$67</f>
        <v>0</v>
      </c>
      <c r="Y502" s="17">
        <f>Y501*(Y501&gt;0)*Inputs!$E$69*Inputs!$E$67</f>
        <v>0</v>
      </c>
      <c r="Z502" s="17">
        <f>Z501*(Z501&gt;0)*Inputs!$E$69*Inputs!$E$67</f>
        <v>0</v>
      </c>
      <c r="AA502" s="17">
        <f>AA501*(AA501&gt;0)*Inputs!$E$69*Inputs!$E$67</f>
        <v>0</v>
      </c>
      <c r="AB502" s="17">
        <f>AB501*(AB501&gt;0)*Inputs!$E$69*Inputs!$E$67</f>
        <v>0</v>
      </c>
      <c r="AC502" s="17">
        <f>AC501*(AC501&gt;0)*Inputs!$E$69*Inputs!$E$67</f>
        <v>0</v>
      </c>
      <c r="AD502" s="17">
        <f>AD501*(AD501&gt;0)*Inputs!$E$69*Inputs!$E$67</f>
        <v>0</v>
      </c>
      <c r="AE502" s="17">
        <f>AE501*(AE501&gt;0)*Inputs!$E$69*Inputs!$E$67</f>
        <v>0</v>
      </c>
      <c r="AF502" s="17">
        <f>AF501*(AF501&gt;0)*Inputs!$E$69*Inputs!$E$67</f>
        <v>0</v>
      </c>
      <c r="AG502" s="17">
        <f>AG501*(AG501&gt;0)*Inputs!$E$69*Inputs!$E$67</f>
        <v>0</v>
      </c>
      <c r="AH502" s="17">
        <f>AH501*(AH501&gt;0)*Inputs!$E$69*Inputs!$E$67</f>
        <v>0</v>
      </c>
      <c r="AI502" s="17">
        <f>AI501*(AI501&gt;0)*Inputs!$E$69*Inputs!$E$67</f>
        <v>0</v>
      </c>
      <c r="AJ502" s="17">
        <f>AJ501*(AJ501&gt;0)*Inputs!$E$69*Inputs!$E$67</f>
        <v>0</v>
      </c>
      <c r="AK502" s="17">
        <f>AK501*(AK501&gt;0)*Inputs!$E$69*Inputs!$E$67</f>
        <v>0</v>
      </c>
      <c r="AL502" s="17">
        <f>AL501*(AL501&gt;0)*Inputs!$E$69*Inputs!$E$67</f>
        <v>0</v>
      </c>
      <c r="AM502" s="17">
        <f>AM501*(AM501&gt;0)*Inputs!$E$69*Inputs!$E$67</f>
        <v>0</v>
      </c>
      <c r="AN502" s="17">
        <f>AN501*(AN501&gt;0)*Inputs!$E$69*Inputs!$E$67</f>
        <v>0</v>
      </c>
      <c r="AO502" s="17">
        <f>AO501*(AO501&gt;0)*Inputs!$E$69*Inputs!$E$67</f>
        <v>0</v>
      </c>
      <c r="AP502" s="17">
        <f>AP501*(AP501&gt;0)*Inputs!$E$69*Inputs!$E$67</f>
        <v>0</v>
      </c>
      <c r="AQ502" s="17">
        <f>AQ501*(AQ501&gt;0)*Inputs!$E$69*Inputs!$E$67</f>
        <v>0</v>
      </c>
      <c r="AR502" s="17">
        <f>AR501*(AR501&gt;0)*Inputs!$E$69*Inputs!$E$67</f>
        <v>0</v>
      </c>
      <c r="AS502" s="17">
        <f>AS501*(AS501&gt;0)*Inputs!$E$69*Inputs!$E$67</f>
        <v>0</v>
      </c>
      <c r="AT502" s="17">
        <f>AT501*(AT501&gt;0)*Inputs!$E$69*Inputs!$E$67</f>
        <v>0</v>
      </c>
      <c r="AU502" s="17">
        <f>AU501*(AU501&gt;0)*Inputs!$E$69*Inputs!$E$67</f>
        <v>0</v>
      </c>
      <c r="AV502" s="17">
        <f>AV501*(AV501&gt;0)*Inputs!$E$69*Inputs!$E$67</f>
        <v>0</v>
      </c>
      <c r="AW502" s="17">
        <f>AW501*(AW501&gt;0)*Inputs!$E$69*Inputs!$E$67</f>
        <v>0</v>
      </c>
      <c r="AX502" s="17">
        <f>AX501*(AX501&gt;0)*Inputs!$E$69*Inputs!$E$67</f>
        <v>0</v>
      </c>
      <c r="AY502" s="17">
        <f>AY501*(AY501&gt;0)*Inputs!$E$69*Inputs!$E$67</f>
        <v>0</v>
      </c>
      <c r="AZ502" s="17">
        <f>AZ501*(AZ501&gt;0)*Inputs!$E$69*Inputs!$E$67</f>
        <v>0</v>
      </c>
      <c r="BA502" s="17">
        <f>BA501*(BA501&gt;0)*Inputs!$E$69*Inputs!$E$67</f>
        <v>0</v>
      </c>
      <c r="BB502" s="17">
        <f>BB501*(BB501&gt;0)*Inputs!$E$69*Inputs!$E$67</f>
        <v>0</v>
      </c>
      <c r="BC502" s="17">
        <f>BC501*(BC501&gt;0)*Inputs!$E$69*Inputs!$E$67</f>
        <v>0</v>
      </c>
      <c r="BD502" s="17">
        <f>BD501*(BD501&gt;0)*Inputs!$E$69*Inputs!$E$67</f>
        <v>0</v>
      </c>
    </row>
    <row r="503" spans="3:56" ht="15" customHeight="1">
      <c r="C503" s="21"/>
      <c r="E503" s="18"/>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row>
    <row r="504" spans="3:56" ht="15" customHeight="1">
      <c r="C504" s="21"/>
      <c r="D504" s="11" t="s">
        <v>545</v>
      </c>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row>
    <row r="505" spans="3:56" ht="15" customHeight="1">
      <c r="C505" s="21">
        <f t="shared" si="260"/>
        <v>-1326.8991943520955</v>
      </c>
      <c r="D505" s="11" t="s">
        <v>546</v>
      </c>
      <c r="E505" s="18" t="s">
        <v>333</v>
      </c>
      <c r="G505" s="17">
        <f>F508*(F508&lt;0)</f>
        <v>0</v>
      </c>
      <c r="H505" s="17">
        <f t="shared" ref="H505:BD505" si="265">G508*(G508&lt;0)</f>
        <v>-20</v>
      </c>
      <c r="I505" s="17">
        <f t="shared" si="265"/>
        <v>-40.799999999999997</v>
      </c>
      <c r="J505" s="17">
        <f t="shared" si="265"/>
        <v>-122.572125</v>
      </c>
      <c r="K505" s="17">
        <f t="shared" si="265"/>
        <v>-455.32455749999997</v>
      </c>
      <c r="L505" s="17">
        <f t="shared" si="265"/>
        <v>-424.95204169439995</v>
      </c>
      <c r="M505" s="17">
        <f t="shared" si="265"/>
        <v>-223.29525600171831</v>
      </c>
      <c r="N505" s="17">
        <f t="shared" si="265"/>
        <v>-26.752455523102043</v>
      </c>
      <c r="O505" s="17">
        <f t="shared" si="265"/>
        <v>0</v>
      </c>
      <c r="P505" s="17">
        <f t="shared" si="265"/>
        <v>0</v>
      </c>
      <c r="Q505" s="17">
        <f t="shared" si="265"/>
        <v>0</v>
      </c>
      <c r="R505" s="17">
        <f t="shared" si="265"/>
        <v>0</v>
      </c>
      <c r="S505" s="17">
        <f t="shared" si="265"/>
        <v>0</v>
      </c>
      <c r="T505" s="17">
        <f t="shared" si="265"/>
        <v>0</v>
      </c>
      <c r="U505" s="17">
        <f t="shared" si="265"/>
        <v>0</v>
      </c>
      <c r="V505" s="17">
        <f t="shared" si="265"/>
        <v>0</v>
      </c>
      <c r="W505" s="17">
        <f t="shared" si="265"/>
        <v>0</v>
      </c>
      <c r="X505" s="17">
        <f t="shared" si="265"/>
        <v>0</v>
      </c>
      <c r="Y505" s="17">
        <f t="shared" si="265"/>
        <v>0</v>
      </c>
      <c r="Z505" s="17">
        <f t="shared" si="265"/>
        <v>0</v>
      </c>
      <c r="AA505" s="17">
        <f t="shared" si="265"/>
        <v>0</v>
      </c>
      <c r="AB505" s="17">
        <f t="shared" si="265"/>
        <v>0</v>
      </c>
      <c r="AC505" s="17">
        <f t="shared" si="265"/>
        <v>0</v>
      </c>
      <c r="AD505" s="17">
        <f t="shared" si="265"/>
        <v>0</v>
      </c>
      <c r="AE505" s="17">
        <f t="shared" si="265"/>
        <v>0</v>
      </c>
      <c r="AF505" s="17">
        <f t="shared" si="265"/>
        <v>0</v>
      </c>
      <c r="AG505" s="17">
        <f t="shared" si="265"/>
        <v>0</v>
      </c>
      <c r="AH505" s="17">
        <f t="shared" si="265"/>
        <v>0</v>
      </c>
      <c r="AI505" s="17">
        <f t="shared" si="265"/>
        <v>0</v>
      </c>
      <c r="AJ505" s="17">
        <f t="shared" si="265"/>
        <v>-0.51206594299233643</v>
      </c>
      <c r="AK505" s="17">
        <f t="shared" si="265"/>
        <v>-0.52230726185218312</v>
      </c>
      <c r="AL505" s="17">
        <f t="shared" si="265"/>
        <v>-0.5327534070892268</v>
      </c>
      <c r="AM505" s="17">
        <f t="shared" si="265"/>
        <v>-0.54340847523101132</v>
      </c>
      <c r="AN505" s="17">
        <f t="shared" si="265"/>
        <v>-0.55427664473563154</v>
      </c>
      <c r="AO505" s="17">
        <f t="shared" si="265"/>
        <v>-0.56536217763034413</v>
      </c>
      <c r="AP505" s="17">
        <f t="shared" si="265"/>
        <v>-0.57666942118295106</v>
      </c>
      <c r="AQ505" s="17">
        <f t="shared" si="265"/>
        <v>-0.58820280960661009</v>
      </c>
      <c r="AR505" s="17">
        <f t="shared" si="265"/>
        <v>-0.59996686579874225</v>
      </c>
      <c r="AS505" s="17">
        <f t="shared" si="265"/>
        <v>-0.61196620311471706</v>
      </c>
      <c r="AT505" s="17">
        <f t="shared" si="265"/>
        <v>-0.62420552717701139</v>
      </c>
      <c r="AU505" s="17">
        <f t="shared" si="265"/>
        <v>-0.63668963772055165</v>
      </c>
      <c r="AV505" s="17">
        <f t="shared" si="265"/>
        <v>-0.64942343047496265</v>
      </c>
      <c r="AW505" s="17">
        <f t="shared" si="265"/>
        <v>-0.66241189908446196</v>
      </c>
      <c r="AX505" s="17">
        <f t="shared" si="265"/>
        <v>-0.67566013706615125</v>
      </c>
      <c r="AY505" s="17">
        <f t="shared" si="265"/>
        <v>-0.68917333980747431</v>
      </c>
      <c r="AZ505" s="17">
        <f t="shared" si="265"/>
        <v>-0.70295680660362381</v>
      </c>
      <c r="BA505" s="17">
        <f t="shared" si="265"/>
        <v>-0.71701594273569624</v>
      </c>
      <c r="BB505" s="17">
        <f t="shared" si="265"/>
        <v>-0.73135626159041023</v>
      </c>
      <c r="BC505" s="17">
        <f t="shared" si="265"/>
        <v>-0.74598338682221843</v>
      </c>
      <c r="BD505" s="17">
        <f t="shared" si="265"/>
        <v>-0.76090305455866281</v>
      </c>
    </row>
    <row r="506" spans="3:56" ht="15" customHeight="1">
      <c r="C506" s="21">
        <f t="shared" si="260"/>
        <v>-1353.4371782391372</v>
      </c>
      <c r="D506" s="11" t="s">
        <v>535</v>
      </c>
      <c r="E506" s="18" t="s">
        <v>333</v>
      </c>
      <c r="G506" s="17">
        <f>(G505*(1+Inputs!$E$70))*(1+Inputs!$E$202)</f>
        <v>0</v>
      </c>
      <c r="H506" s="17">
        <f>(H505*(1+Inputs!$E$70))*(1+Inputs!$E$202)</f>
        <v>-20.399999999999999</v>
      </c>
      <c r="I506" s="17">
        <f>(I505*(1+Inputs!$E$70))*(1+Inputs!$E$202)</f>
        <v>-41.616</v>
      </c>
      <c r="J506" s="17">
        <f>(J505*(1+Inputs!$E$70))*(1+Inputs!$E$202)</f>
        <v>-125.0235675</v>
      </c>
      <c r="K506" s="17">
        <f>(K505*(1+Inputs!$E$70))*(1+Inputs!$E$202)</f>
        <v>-464.43104864999998</v>
      </c>
      <c r="L506" s="17">
        <f>(L505*(1+Inputs!$E$70))*(1+Inputs!$E$202)</f>
        <v>-433.45108252828794</v>
      </c>
      <c r="M506" s="17">
        <f>(M505*(1+Inputs!$E$70))*(1+Inputs!$E$202)</f>
        <v>-227.76116112175268</v>
      </c>
      <c r="N506" s="17">
        <f>(N505*(1+Inputs!$E$70))*(1+Inputs!$E$202)</f>
        <v>-27.287504633564083</v>
      </c>
      <c r="O506" s="17">
        <f>(O505*(1+Inputs!$E$70))*(1+Inputs!$E$202)</f>
        <v>0</v>
      </c>
      <c r="P506" s="17">
        <f>(P505*(1+Inputs!$E$70))*(1+Inputs!$E$202)</f>
        <v>0</v>
      </c>
      <c r="Q506" s="17">
        <f>(Q505*(1+Inputs!$E$70))*(1+Inputs!$E$202)</f>
        <v>0</v>
      </c>
      <c r="R506" s="17">
        <f>(R505*(1+Inputs!$E$70))*(1+Inputs!$E$202)</f>
        <v>0</v>
      </c>
      <c r="S506" s="17">
        <f>(S505*(1+Inputs!$E$70))*(1+Inputs!$E$202)</f>
        <v>0</v>
      </c>
      <c r="T506" s="17">
        <f>(T505*(1+Inputs!$E$70))*(1+Inputs!$E$202)</f>
        <v>0</v>
      </c>
      <c r="U506" s="17">
        <f>(U505*(1+Inputs!$E$70))*(1+Inputs!$E$202)</f>
        <v>0</v>
      </c>
      <c r="V506" s="17">
        <f>(V505*(1+Inputs!$E$70))*(1+Inputs!$E$202)</f>
        <v>0</v>
      </c>
      <c r="W506" s="17">
        <f>(W505*(1+Inputs!$E$70))*(1+Inputs!$E$202)</f>
        <v>0</v>
      </c>
      <c r="X506" s="17">
        <f>(X505*(1+Inputs!$E$70))*(1+Inputs!$E$202)</f>
        <v>0</v>
      </c>
      <c r="Y506" s="17">
        <f>(Y505*(1+Inputs!$E$70))*(1+Inputs!$E$202)</f>
        <v>0</v>
      </c>
      <c r="Z506" s="17">
        <f>(Z505*(1+Inputs!$E$70))*(1+Inputs!$E$202)</f>
        <v>0</v>
      </c>
      <c r="AA506" s="17">
        <f>(AA505*(1+Inputs!$E$70))*(1+Inputs!$E$202)</f>
        <v>0</v>
      </c>
      <c r="AB506" s="17">
        <f>(AB505*(1+Inputs!$E$70))*(1+Inputs!$E$202)</f>
        <v>0</v>
      </c>
      <c r="AC506" s="17">
        <f>(AC505*(1+Inputs!$E$70))*(1+Inputs!$E$202)</f>
        <v>0</v>
      </c>
      <c r="AD506" s="17">
        <f>(AD505*(1+Inputs!$E$70))*(1+Inputs!$E$202)</f>
        <v>0</v>
      </c>
      <c r="AE506" s="17">
        <f>(AE505*(1+Inputs!$E$70))*(1+Inputs!$E$202)</f>
        <v>0</v>
      </c>
      <c r="AF506" s="17">
        <f>(AF505*(1+Inputs!$E$70))*(1+Inputs!$E$202)</f>
        <v>0</v>
      </c>
      <c r="AG506" s="17">
        <f>(AG505*(1+Inputs!$E$70))*(1+Inputs!$E$202)</f>
        <v>0</v>
      </c>
      <c r="AH506" s="17">
        <f>(AH505*(1+Inputs!$E$70))*(1+Inputs!$E$202)</f>
        <v>0</v>
      </c>
      <c r="AI506" s="17">
        <f>(AI505*(1+Inputs!$E$70))*(1+Inputs!$E$202)</f>
        <v>0</v>
      </c>
      <c r="AJ506" s="17">
        <f>(AJ505*(1+Inputs!$E$70))*(1+Inputs!$E$202)</f>
        <v>-0.52230726185218312</v>
      </c>
      <c r="AK506" s="17">
        <f>(AK505*(1+Inputs!$E$70))*(1+Inputs!$E$202)</f>
        <v>-0.5327534070892268</v>
      </c>
      <c r="AL506" s="17">
        <f>(AL505*(1+Inputs!$E$70))*(1+Inputs!$E$202)</f>
        <v>-0.54340847523101132</v>
      </c>
      <c r="AM506" s="17">
        <f>(AM505*(1+Inputs!$E$70))*(1+Inputs!$E$202)</f>
        <v>-0.55427664473563154</v>
      </c>
      <c r="AN506" s="17">
        <f>(AN505*(1+Inputs!$E$70))*(1+Inputs!$E$202)</f>
        <v>-0.56536217763034413</v>
      </c>
      <c r="AO506" s="17">
        <f>(AO505*(1+Inputs!$E$70))*(1+Inputs!$E$202)</f>
        <v>-0.57666942118295106</v>
      </c>
      <c r="AP506" s="17">
        <f>(AP505*(1+Inputs!$E$70))*(1+Inputs!$E$202)</f>
        <v>-0.58820280960661009</v>
      </c>
      <c r="AQ506" s="17">
        <f>(AQ505*(1+Inputs!$E$70))*(1+Inputs!$E$202)</f>
        <v>-0.59996686579874225</v>
      </c>
      <c r="AR506" s="17">
        <f>(AR505*(1+Inputs!$E$70))*(1+Inputs!$E$202)</f>
        <v>-0.61196620311471706</v>
      </c>
      <c r="AS506" s="17">
        <f>(AS505*(1+Inputs!$E$70))*(1+Inputs!$E$202)</f>
        <v>-0.62420552717701139</v>
      </c>
      <c r="AT506" s="17">
        <f>(AT505*(1+Inputs!$E$70))*(1+Inputs!$E$202)</f>
        <v>-0.63668963772055165</v>
      </c>
      <c r="AU506" s="17">
        <f>(AU505*(1+Inputs!$E$70))*(1+Inputs!$E$202)</f>
        <v>-0.64942343047496265</v>
      </c>
      <c r="AV506" s="17">
        <f>(AV505*(1+Inputs!$E$70))*(1+Inputs!$E$202)</f>
        <v>-0.66241189908446196</v>
      </c>
      <c r="AW506" s="17">
        <f>(AW505*(1+Inputs!$E$70))*(1+Inputs!$E$202)</f>
        <v>-0.67566013706615125</v>
      </c>
      <c r="AX506" s="17">
        <f>(AX505*(1+Inputs!$E$70))*(1+Inputs!$E$202)</f>
        <v>-0.68917333980747431</v>
      </c>
      <c r="AY506" s="17">
        <f>(AY505*(1+Inputs!$E$70))*(1+Inputs!$E$202)</f>
        <v>-0.70295680660362381</v>
      </c>
      <c r="AZ506" s="17">
        <f>(AZ505*(1+Inputs!$E$70))*(1+Inputs!$E$202)</f>
        <v>-0.71701594273569624</v>
      </c>
      <c r="BA506" s="17">
        <f>(BA505*(1+Inputs!$E$70))*(1+Inputs!$E$202)</f>
        <v>-0.73135626159041023</v>
      </c>
      <c r="BB506" s="17">
        <f>(BB505*(1+Inputs!$E$70))*(1+Inputs!$E$202)</f>
        <v>-0.74598338682221843</v>
      </c>
      <c r="BC506" s="17">
        <f>(BC505*(1+Inputs!$E$70))*(1+Inputs!$E$202)</f>
        <v>-0.76090305455866281</v>
      </c>
      <c r="BD506" s="17">
        <f>(BD505*(1+Inputs!$E$70))*(1+Inputs!$E$202)</f>
        <v>-0.7761211156498361</v>
      </c>
    </row>
    <row r="507" spans="3:56" ht="15" customHeight="1">
      <c r="C507" s="21">
        <f t="shared" si="260"/>
        <v>4607.1469762171691</v>
      </c>
      <c r="D507" s="11" t="s">
        <v>547</v>
      </c>
      <c r="E507" s="18" t="s">
        <v>333</v>
      </c>
      <c r="G507" s="17">
        <f>G500-G502</f>
        <v>-20</v>
      </c>
      <c r="H507" s="17">
        <f t="shared" ref="H507:BD507" si="266">H500-H502</f>
        <v>-20.399999999999999</v>
      </c>
      <c r="I507" s="17">
        <f t="shared" si="266"/>
        <v>-80.956125</v>
      </c>
      <c r="J507" s="17">
        <f t="shared" si="266"/>
        <v>-330.30098999999996</v>
      </c>
      <c r="K507" s="17">
        <f t="shared" si="266"/>
        <v>39.479006955600028</v>
      </c>
      <c r="L507" s="17">
        <f t="shared" si="266"/>
        <v>210.15582652656963</v>
      </c>
      <c r="M507" s="17">
        <f t="shared" si="266"/>
        <v>201.00870559865064</v>
      </c>
      <c r="N507" s="17">
        <f t="shared" si="266"/>
        <v>206.04030881545555</v>
      </c>
      <c r="O507" s="17">
        <f t="shared" si="266"/>
        <v>211.19264362581271</v>
      </c>
      <c r="P507" s="17">
        <f t="shared" si="266"/>
        <v>187.81363594159296</v>
      </c>
      <c r="Q507" s="17">
        <f t="shared" si="266"/>
        <v>191.56990866042486</v>
      </c>
      <c r="R507" s="17">
        <f t="shared" si="266"/>
        <v>195.40130683363327</v>
      </c>
      <c r="S507" s="17">
        <f t="shared" si="266"/>
        <v>199.309332970306</v>
      </c>
      <c r="T507" s="17">
        <f t="shared" si="266"/>
        <v>203.2955196297122</v>
      </c>
      <c r="U507" s="17">
        <f t="shared" si="266"/>
        <v>207.36143002230642</v>
      </c>
      <c r="V507" s="17">
        <f t="shared" si="266"/>
        <v>211.50865862275248</v>
      </c>
      <c r="W507" s="17">
        <f t="shared" si="266"/>
        <v>215.73883179520749</v>
      </c>
      <c r="X507" s="17">
        <f t="shared" si="266"/>
        <v>220.0536084311118</v>
      </c>
      <c r="Y507" s="17">
        <f t="shared" si="266"/>
        <v>222.86413364220584</v>
      </c>
      <c r="Z507" s="17">
        <f t="shared" si="266"/>
        <v>227.31764213582869</v>
      </c>
      <c r="AA507" s="17">
        <f t="shared" si="266"/>
        <v>231.85533468883989</v>
      </c>
      <c r="AB507" s="17">
        <f t="shared" si="266"/>
        <v>236.47724673449056</v>
      </c>
      <c r="AC507" s="17">
        <f t="shared" si="266"/>
        <v>241.18247643235316</v>
      </c>
      <c r="AD507" s="17">
        <f t="shared" si="266"/>
        <v>243.26392413055657</v>
      </c>
      <c r="AE507" s="17">
        <f t="shared" si="266"/>
        <v>248.069573486634</v>
      </c>
      <c r="AF507" s="17">
        <f t="shared" si="266"/>
        <v>252.93077009626188</v>
      </c>
      <c r="AG507" s="17">
        <f t="shared" si="266"/>
        <v>290.12869078219126</v>
      </c>
      <c r="AH507" s="17">
        <f t="shared" si="266"/>
        <v>165.2976406016638</v>
      </c>
      <c r="AI507" s="17">
        <f t="shared" si="266"/>
        <v>-0.51206594299233643</v>
      </c>
      <c r="AJ507" s="17">
        <f t="shared" si="266"/>
        <v>0</v>
      </c>
      <c r="AK507" s="17">
        <f t="shared" si="266"/>
        <v>0</v>
      </c>
      <c r="AL507" s="17">
        <f t="shared" si="266"/>
        <v>0</v>
      </c>
      <c r="AM507" s="17">
        <f t="shared" si="266"/>
        <v>0</v>
      </c>
      <c r="AN507" s="17">
        <f t="shared" si="266"/>
        <v>0</v>
      </c>
      <c r="AO507" s="17">
        <f t="shared" si="266"/>
        <v>0</v>
      </c>
      <c r="AP507" s="17">
        <f t="shared" si="266"/>
        <v>0</v>
      </c>
      <c r="AQ507" s="17">
        <f t="shared" si="266"/>
        <v>0</v>
      </c>
      <c r="AR507" s="17">
        <f t="shared" si="266"/>
        <v>0</v>
      </c>
      <c r="AS507" s="17">
        <f t="shared" si="266"/>
        <v>0</v>
      </c>
      <c r="AT507" s="17">
        <f t="shared" si="266"/>
        <v>0</v>
      </c>
      <c r="AU507" s="17">
        <f t="shared" si="266"/>
        <v>0</v>
      </c>
      <c r="AV507" s="17">
        <f t="shared" si="266"/>
        <v>0</v>
      </c>
      <c r="AW507" s="17">
        <f t="shared" si="266"/>
        <v>0</v>
      </c>
      <c r="AX507" s="17">
        <f t="shared" si="266"/>
        <v>0</v>
      </c>
      <c r="AY507" s="17">
        <f t="shared" si="266"/>
        <v>0</v>
      </c>
      <c r="AZ507" s="17">
        <f t="shared" si="266"/>
        <v>0</v>
      </c>
      <c r="BA507" s="17">
        <f t="shared" si="266"/>
        <v>0</v>
      </c>
      <c r="BB507" s="17">
        <f t="shared" si="266"/>
        <v>0</v>
      </c>
      <c r="BC507" s="17">
        <f t="shared" si="266"/>
        <v>0</v>
      </c>
      <c r="BD507" s="17">
        <f t="shared" si="266"/>
        <v>0</v>
      </c>
    </row>
    <row r="508" spans="3:56" ht="15" customHeight="1">
      <c r="C508" s="21">
        <f t="shared" si="260"/>
        <v>3253.7097979780319</v>
      </c>
      <c r="D508" s="11" t="s">
        <v>548</v>
      </c>
      <c r="E508" s="18" t="s">
        <v>333</v>
      </c>
      <c r="G508" s="17">
        <f>SUM(G506:G507)</f>
        <v>-20</v>
      </c>
      <c r="H508" s="17">
        <f t="shared" ref="H508:BD508" si="267">SUM(H506:H507)</f>
        <v>-40.799999999999997</v>
      </c>
      <c r="I508" s="17">
        <f t="shared" si="267"/>
        <v>-122.572125</v>
      </c>
      <c r="J508" s="17">
        <f t="shared" si="267"/>
        <v>-455.32455749999997</v>
      </c>
      <c r="K508" s="17">
        <f t="shared" si="267"/>
        <v>-424.95204169439995</v>
      </c>
      <c r="L508" s="17">
        <f t="shared" si="267"/>
        <v>-223.29525600171831</v>
      </c>
      <c r="M508" s="17">
        <f t="shared" si="267"/>
        <v>-26.752455523102043</v>
      </c>
      <c r="N508" s="17">
        <f t="shared" si="267"/>
        <v>178.75280418189146</v>
      </c>
      <c r="O508" s="17">
        <f t="shared" si="267"/>
        <v>211.19264362581271</v>
      </c>
      <c r="P508" s="17">
        <f t="shared" si="267"/>
        <v>187.81363594159296</v>
      </c>
      <c r="Q508" s="17">
        <f t="shared" si="267"/>
        <v>191.56990866042486</v>
      </c>
      <c r="R508" s="17">
        <f t="shared" si="267"/>
        <v>195.40130683363327</v>
      </c>
      <c r="S508" s="17">
        <f t="shared" si="267"/>
        <v>199.309332970306</v>
      </c>
      <c r="T508" s="17">
        <f t="shared" si="267"/>
        <v>203.2955196297122</v>
      </c>
      <c r="U508" s="17">
        <f t="shared" si="267"/>
        <v>207.36143002230642</v>
      </c>
      <c r="V508" s="17">
        <f t="shared" si="267"/>
        <v>211.50865862275248</v>
      </c>
      <c r="W508" s="17">
        <f t="shared" si="267"/>
        <v>215.73883179520749</v>
      </c>
      <c r="X508" s="17">
        <f t="shared" si="267"/>
        <v>220.0536084311118</v>
      </c>
      <c r="Y508" s="17">
        <f t="shared" si="267"/>
        <v>222.86413364220584</v>
      </c>
      <c r="Z508" s="17">
        <f t="shared" si="267"/>
        <v>227.31764213582869</v>
      </c>
      <c r="AA508" s="17">
        <f t="shared" si="267"/>
        <v>231.85533468883989</v>
      </c>
      <c r="AB508" s="17">
        <f t="shared" si="267"/>
        <v>236.47724673449056</v>
      </c>
      <c r="AC508" s="17">
        <f t="shared" si="267"/>
        <v>241.18247643235316</v>
      </c>
      <c r="AD508" s="17">
        <f t="shared" si="267"/>
        <v>243.26392413055657</v>
      </c>
      <c r="AE508" s="17">
        <f t="shared" si="267"/>
        <v>248.069573486634</v>
      </c>
      <c r="AF508" s="17">
        <f t="shared" si="267"/>
        <v>252.93077009626188</v>
      </c>
      <c r="AG508" s="17">
        <f t="shared" si="267"/>
        <v>290.12869078219126</v>
      </c>
      <c r="AH508" s="17">
        <f t="shared" si="267"/>
        <v>165.2976406016638</v>
      </c>
      <c r="AI508" s="17">
        <f t="shared" si="267"/>
        <v>-0.51206594299233643</v>
      </c>
      <c r="AJ508" s="17">
        <f t="shared" si="267"/>
        <v>-0.52230726185218312</v>
      </c>
      <c r="AK508" s="17">
        <f t="shared" si="267"/>
        <v>-0.5327534070892268</v>
      </c>
      <c r="AL508" s="17">
        <f t="shared" si="267"/>
        <v>-0.54340847523101132</v>
      </c>
      <c r="AM508" s="17">
        <f t="shared" si="267"/>
        <v>-0.55427664473563154</v>
      </c>
      <c r="AN508" s="17">
        <f t="shared" si="267"/>
        <v>-0.56536217763034413</v>
      </c>
      <c r="AO508" s="17">
        <f t="shared" si="267"/>
        <v>-0.57666942118295106</v>
      </c>
      <c r="AP508" s="17">
        <f t="shared" si="267"/>
        <v>-0.58820280960661009</v>
      </c>
      <c r="AQ508" s="17">
        <f t="shared" si="267"/>
        <v>-0.59996686579874225</v>
      </c>
      <c r="AR508" s="17">
        <f t="shared" si="267"/>
        <v>-0.61196620311471706</v>
      </c>
      <c r="AS508" s="17">
        <f t="shared" si="267"/>
        <v>-0.62420552717701139</v>
      </c>
      <c r="AT508" s="17">
        <f t="shared" si="267"/>
        <v>-0.63668963772055165</v>
      </c>
      <c r="AU508" s="17">
        <f t="shared" si="267"/>
        <v>-0.64942343047496265</v>
      </c>
      <c r="AV508" s="17">
        <f t="shared" si="267"/>
        <v>-0.66241189908446196</v>
      </c>
      <c r="AW508" s="17">
        <f t="shared" si="267"/>
        <v>-0.67566013706615125</v>
      </c>
      <c r="AX508" s="17">
        <f t="shared" si="267"/>
        <v>-0.68917333980747431</v>
      </c>
      <c r="AY508" s="17">
        <f t="shared" si="267"/>
        <v>-0.70295680660362381</v>
      </c>
      <c r="AZ508" s="17">
        <f t="shared" si="267"/>
        <v>-0.71701594273569624</v>
      </c>
      <c r="BA508" s="17">
        <f t="shared" si="267"/>
        <v>-0.73135626159041023</v>
      </c>
      <c r="BB508" s="17">
        <f t="shared" si="267"/>
        <v>-0.74598338682221843</v>
      </c>
      <c r="BC508" s="17">
        <f t="shared" si="267"/>
        <v>-0.76090305455866281</v>
      </c>
      <c r="BD508" s="17">
        <f t="shared" si="267"/>
        <v>-0.7761211156498361</v>
      </c>
    </row>
    <row r="509" spans="3:56" ht="15" customHeight="1">
      <c r="C509" s="21">
        <f t="shared" si="260"/>
        <v>0</v>
      </c>
      <c r="D509" s="11" t="s">
        <v>549</v>
      </c>
      <c r="E509" s="18" t="s">
        <v>333</v>
      </c>
      <c r="G509" s="17">
        <f>G508*(G508&gt;0)*Inputs!$E$71*Inputs!$E$67</f>
        <v>0</v>
      </c>
      <c r="H509" s="17">
        <f>H508*(H508&gt;0)*Inputs!$E$71*Inputs!$E$67</f>
        <v>0</v>
      </c>
      <c r="I509" s="17">
        <f>I508*(I508&gt;0)*Inputs!$E$71*Inputs!$E$67</f>
        <v>0</v>
      </c>
      <c r="J509" s="17">
        <f>J508*(J508&gt;0)*Inputs!$E$71*Inputs!$E$67</f>
        <v>0</v>
      </c>
      <c r="K509" s="17">
        <f>K508*(K508&gt;0)*Inputs!$E$71*Inputs!$E$67</f>
        <v>0</v>
      </c>
      <c r="L509" s="17">
        <f>L508*(L508&gt;0)*Inputs!$E$71*Inputs!$E$67</f>
        <v>0</v>
      </c>
      <c r="M509" s="17">
        <f>M508*(M508&gt;0)*Inputs!$E$71*Inputs!$E$67</f>
        <v>0</v>
      </c>
      <c r="N509" s="17">
        <f>N508*(N508&gt;0)*Inputs!$E$71*Inputs!$E$67</f>
        <v>0</v>
      </c>
      <c r="O509" s="17">
        <f>O508*(O508&gt;0)*Inputs!$E$71*Inputs!$E$67</f>
        <v>0</v>
      </c>
      <c r="P509" s="17">
        <f>P508*(P508&gt;0)*Inputs!$E$71*Inputs!$E$67</f>
        <v>0</v>
      </c>
      <c r="Q509" s="17">
        <f>Q508*(Q508&gt;0)*Inputs!$E$71*Inputs!$E$67</f>
        <v>0</v>
      </c>
      <c r="R509" s="17">
        <f>R508*(R508&gt;0)*Inputs!$E$71*Inputs!$E$67</f>
        <v>0</v>
      </c>
      <c r="S509" s="17">
        <f>S508*(S508&gt;0)*Inputs!$E$71*Inputs!$E$67</f>
        <v>0</v>
      </c>
      <c r="T509" s="17">
        <f>T508*(T508&gt;0)*Inputs!$E$71*Inputs!$E$67</f>
        <v>0</v>
      </c>
      <c r="U509" s="17">
        <f>U508*(U508&gt;0)*Inputs!$E$71*Inputs!$E$67</f>
        <v>0</v>
      </c>
      <c r="V509" s="17">
        <f>V508*(V508&gt;0)*Inputs!$E$71*Inputs!$E$67</f>
        <v>0</v>
      </c>
      <c r="W509" s="17">
        <f>W508*(W508&gt;0)*Inputs!$E$71*Inputs!$E$67</f>
        <v>0</v>
      </c>
      <c r="X509" s="17">
        <f>X508*(X508&gt;0)*Inputs!$E$71*Inputs!$E$67</f>
        <v>0</v>
      </c>
      <c r="Y509" s="17">
        <f>Y508*(Y508&gt;0)*Inputs!$E$71*Inputs!$E$67</f>
        <v>0</v>
      </c>
      <c r="Z509" s="17">
        <f>Z508*(Z508&gt;0)*Inputs!$E$71*Inputs!$E$67</f>
        <v>0</v>
      </c>
      <c r="AA509" s="17">
        <f>AA508*(AA508&gt;0)*Inputs!$E$71*Inputs!$E$67</f>
        <v>0</v>
      </c>
      <c r="AB509" s="17">
        <f>AB508*(AB508&gt;0)*Inputs!$E$71*Inputs!$E$67</f>
        <v>0</v>
      </c>
      <c r="AC509" s="17">
        <f>AC508*(AC508&gt;0)*Inputs!$E$71*Inputs!$E$67</f>
        <v>0</v>
      </c>
      <c r="AD509" s="17">
        <f>AD508*(AD508&gt;0)*Inputs!$E$71*Inputs!$E$67</f>
        <v>0</v>
      </c>
      <c r="AE509" s="17">
        <f>AE508*(AE508&gt;0)*Inputs!$E$71*Inputs!$E$67</f>
        <v>0</v>
      </c>
      <c r="AF509" s="17">
        <f>AF508*(AF508&gt;0)*Inputs!$E$71*Inputs!$E$67</f>
        <v>0</v>
      </c>
      <c r="AG509" s="17">
        <f>AG508*(AG508&gt;0)*Inputs!$E$71*Inputs!$E$67</f>
        <v>0</v>
      </c>
      <c r="AH509" s="17">
        <f>AH508*(AH508&gt;0)*Inputs!$E$71*Inputs!$E$67</f>
        <v>0</v>
      </c>
      <c r="AI509" s="17">
        <f>AI508*(AI508&gt;0)*Inputs!$E$71*Inputs!$E$67</f>
        <v>0</v>
      </c>
      <c r="AJ509" s="17">
        <f>AJ508*(AJ508&gt;0)*Inputs!$E$71*Inputs!$E$67</f>
        <v>0</v>
      </c>
      <c r="AK509" s="17">
        <f>AK508*(AK508&gt;0)*Inputs!$E$71*Inputs!$E$67</f>
        <v>0</v>
      </c>
      <c r="AL509" s="17">
        <f>AL508*(AL508&gt;0)*Inputs!$E$71*Inputs!$E$67</f>
        <v>0</v>
      </c>
      <c r="AM509" s="17">
        <f>AM508*(AM508&gt;0)*Inputs!$E$71*Inputs!$E$67</f>
        <v>0</v>
      </c>
      <c r="AN509" s="17">
        <f>AN508*(AN508&gt;0)*Inputs!$E$71*Inputs!$E$67</f>
        <v>0</v>
      </c>
      <c r="AO509" s="17">
        <f>AO508*(AO508&gt;0)*Inputs!$E$71*Inputs!$E$67</f>
        <v>0</v>
      </c>
      <c r="AP509" s="17">
        <f>AP508*(AP508&gt;0)*Inputs!$E$71*Inputs!$E$67</f>
        <v>0</v>
      </c>
      <c r="AQ509" s="17">
        <f>AQ508*(AQ508&gt;0)*Inputs!$E$71*Inputs!$E$67</f>
        <v>0</v>
      </c>
      <c r="AR509" s="17">
        <f>AR508*(AR508&gt;0)*Inputs!$E$71*Inputs!$E$67</f>
        <v>0</v>
      </c>
      <c r="AS509" s="17">
        <f>AS508*(AS508&gt;0)*Inputs!$E$71*Inputs!$E$67</f>
        <v>0</v>
      </c>
      <c r="AT509" s="17">
        <f>AT508*(AT508&gt;0)*Inputs!$E$71*Inputs!$E$67</f>
        <v>0</v>
      </c>
      <c r="AU509" s="17">
        <f>AU508*(AU508&gt;0)*Inputs!$E$71*Inputs!$E$67</f>
        <v>0</v>
      </c>
      <c r="AV509" s="17">
        <f>AV508*(AV508&gt;0)*Inputs!$E$71*Inputs!$E$67</f>
        <v>0</v>
      </c>
      <c r="AW509" s="17">
        <f>AW508*(AW508&gt;0)*Inputs!$E$71*Inputs!$E$67</f>
        <v>0</v>
      </c>
      <c r="AX509" s="17">
        <f>AX508*(AX508&gt;0)*Inputs!$E$71*Inputs!$E$67</f>
        <v>0</v>
      </c>
      <c r="AY509" s="17">
        <f>AY508*(AY508&gt;0)*Inputs!$E$71*Inputs!$E$67</f>
        <v>0</v>
      </c>
      <c r="AZ509" s="17">
        <f>AZ508*(AZ508&gt;0)*Inputs!$E$71*Inputs!$E$67</f>
        <v>0</v>
      </c>
      <c r="BA509" s="17">
        <f>BA508*(BA508&gt;0)*Inputs!$E$71*Inputs!$E$67</f>
        <v>0</v>
      </c>
      <c r="BB509" s="17">
        <f>BB508*(BB508&gt;0)*Inputs!$E$71*Inputs!$E$67</f>
        <v>0</v>
      </c>
      <c r="BC509" s="17">
        <f>BC508*(BC508&gt;0)*Inputs!$E$71*Inputs!$E$67</f>
        <v>0</v>
      </c>
      <c r="BD509" s="17">
        <f>BD508*(BD508&gt;0)*Inputs!$E$71*Inputs!$E$67</f>
        <v>0</v>
      </c>
    </row>
    <row r="510" spans="3:56" ht="15" customHeight="1">
      <c r="C510" s="21">
        <f>SUM(G510:BD510)</f>
        <v>0</v>
      </c>
      <c r="D510" s="11" t="s">
        <v>550</v>
      </c>
      <c r="E510" s="18" t="s">
        <v>333</v>
      </c>
      <c r="G510" s="17">
        <f>G502+G509</f>
        <v>0</v>
      </c>
      <c r="H510" s="17">
        <f t="shared" ref="H510:BD510" si="268">H502+H509</f>
        <v>0</v>
      </c>
      <c r="I510" s="17">
        <f t="shared" si="268"/>
        <v>0</v>
      </c>
      <c r="J510" s="17">
        <f t="shared" si="268"/>
        <v>0</v>
      </c>
      <c r="K510" s="17">
        <f t="shared" si="268"/>
        <v>0</v>
      </c>
      <c r="L510" s="17">
        <f t="shared" si="268"/>
        <v>0</v>
      </c>
      <c r="M510" s="17">
        <f t="shared" si="268"/>
        <v>0</v>
      </c>
      <c r="N510" s="17">
        <f t="shared" si="268"/>
        <v>0</v>
      </c>
      <c r="O510" s="17">
        <f t="shared" si="268"/>
        <v>0</v>
      </c>
      <c r="P510" s="17">
        <f t="shared" si="268"/>
        <v>0</v>
      </c>
      <c r="Q510" s="17">
        <f t="shared" si="268"/>
        <v>0</v>
      </c>
      <c r="R510" s="17">
        <f t="shared" si="268"/>
        <v>0</v>
      </c>
      <c r="S510" s="17">
        <f t="shared" si="268"/>
        <v>0</v>
      </c>
      <c r="T510" s="17">
        <f t="shared" si="268"/>
        <v>0</v>
      </c>
      <c r="U510" s="17">
        <f t="shared" si="268"/>
        <v>0</v>
      </c>
      <c r="V510" s="17">
        <f t="shared" si="268"/>
        <v>0</v>
      </c>
      <c r="W510" s="17">
        <f t="shared" si="268"/>
        <v>0</v>
      </c>
      <c r="X510" s="17">
        <f t="shared" si="268"/>
        <v>0</v>
      </c>
      <c r="Y510" s="17">
        <f t="shared" si="268"/>
        <v>0</v>
      </c>
      <c r="Z510" s="17">
        <f t="shared" si="268"/>
        <v>0</v>
      </c>
      <c r="AA510" s="17">
        <f t="shared" si="268"/>
        <v>0</v>
      </c>
      <c r="AB510" s="17">
        <f t="shared" si="268"/>
        <v>0</v>
      </c>
      <c r="AC510" s="17">
        <f t="shared" si="268"/>
        <v>0</v>
      </c>
      <c r="AD510" s="17">
        <f t="shared" si="268"/>
        <v>0</v>
      </c>
      <c r="AE510" s="17">
        <f t="shared" si="268"/>
        <v>0</v>
      </c>
      <c r="AF510" s="17">
        <f t="shared" si="268"/>
        <v>0</v>
      </c>
      <c r="AG510" s="17">
        <f t="shared" si="268"/>
        <v>0</v>
      </c>
      <c r="AH510" s="17">
        <f t="shared" si="268"/>
        <v>0</v>
      </c>
      <c r="AI510" s="17">
        <f t="shared" si="268"/>
        <v>0</v>
      </c>
      <c r="AJ510" s="17">
        <f t="shared" si="268"/>
        <v>0</v>
      </c>
      <c r="AK510" s="17">
        <f t="shared" si="268"/>
        <v>0</v>
      </c>
      <c r="AL510" s="17">
        <f t="shared" si="268"/>
        <v>0</v>
      </c>
      <c r="AM510" s="17">
        <f t="shared" si="268"/>
        <v>0</v>
      </c>
      <c r="AN510" s="17">
        <f t="shared" si="268"/>
        <v>0</v>
      </c>
      <c r="AO510" s="17">
        <f t="shared" si="268"/>
        <v>0</v>
      </c>
      <c r="AP510" s="17">
        <f t="shared" si="268"/>
        <v>0</v>
      </c>
      <c r="AQ510" s="17">
        <f t="shared" si="268"/>
        <v>0</v>
      </c>
      <c r="AR510" s="17">
        <f t="shared" si="268"/>
        <v>0</v>
      </c>
      <c r="AS510" s="17">
        <f t="shared" si="268"/>
        <v>0</v>
      </c>
      <c r="AT510" s="17">
        <f t="shared" si="268"/>
        <v>0</v>
      </c>
      <c r="AU510" s="17">
        <f t="shared" si="268"/>
        <v>0</v>
      </c>
      <c r="AV510" s="17">
        <f t="shared" si="268"/>
        <v>0</v>
      </c>
      <c r="AW510" s="17">
        <f t="shared" si="268"/>
        <v>0</v>
      </c>
      <c r="AX510" s="17">
        <f t="shared" si="268"/>
        <v>0</v>
      </c>
      <c r="AY510" s="17">
        <f t="shared" si="268"/>
        <v>0</v>
      </c>
      <c r="AZ510" s="17">
        <f t="shared" si="268"/>
        <v>0</v>
      </c>
      <c r="BA510" s="17">
        <f t="shared" si="268"/>
        <v>0</v>
      </c>
      <c r="BB510" s="17">
        <f t="shared" si="268"/>
        <v>0</v>
      </c>
      <c r="BC510" s="17">
        <f t="shared" si="268"/>
        <v>0</v>
      </c>
      <c r="BD510" s="17">
        <f t="shared" si="268"/>
        <v>0</v>
      </c>
    </row>
    <row r="511" spans="3:56" ht="15" customHeight="1">
      <c r="C511" s="20"/>
      <c r="E511" s="18"/>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row>
    <row r="512" spans="3:56" ht="15" customHeight="1">
      <c r="C512" s="21">
        <f>SUM(G512:BD512)</f>
        <v>1953.1758081943549</v>
      </c>
      <c r="D512" s="9" t="s">
        <v>551</v>
      </c>
      <c r="E512" s="18" t="s">
        <v>333</v>
      </c>
      <c r="G512" s="17">
        <f t="shared" ref="G512:AL512" si="269">G440+G493+G464+G510</f>
        <v>0</v>
      </c>
      <c r="H512" s="17">
        <f t="shared" si="269"/>
        <v>0</v>
      </c>
      <c r="I512" s="17">
        <f t="shared" si="269"/>
        <v>0</v>
      </c>
      <c r="J512" s="17">
        <f t="shared" si="269"/>
        <v>0</v>
      </c>
      <c r="K512" s="17">
        <f t="shared" si="269"/>
        <v>0</v>
      </c>
      <c r="L512" s="17">
        <f t="shared" si="269"/>
        <v>38.444527525958449</v>
      </c>
      <c r="M512" s="17">
        <f t="shared" si="269"/>
        <v>52.563655534927982</v>
      </c>
      <c r="N512" s="17">
        <f t="shared" si="269"/>
        <v>52.603499540794509</v>
      </c>
      <c r="O512" s="17">
        <f t="shared" si="269"/>
        <v>52.624040897562431</v>
      </c>
      <c r="P512" s="17">
        <f t="shared" si="269"/>
        <v>81.279382272249691</v>
      </c>
      <c r="Q512" s="17">
        <f t="shared" si="269"/>
        <v>82.904969917694672</v>
      </c>
      <c r="R512" s="17">
        <f t="shared" si="269"/>
        <v>84.563069316048527</v>
      </c>
      <c r="S512" s="17">
        <f t="shared" si="269"/>
        <v>86.254330702369529</v>
      </c>
      <c r="T512" s="17">
        <f t="shared" si="269"/>
        <v>87.979417316416928</v>
      </c>
      <c r="U512" s="17">
        <f t="shared" si="269"/>
        <v>89.739005662745257</v>
      </c>
      <c r="V512" s="17">
        <f t="shared" si="269"/>
        <v>91.533785776000144</v>
      </c>
      <c r="W512" s="17">
        <f t="shared" si="269"/>
        <v>93.364461491520174</v>
      </c>
      <c r="X512" s="17">
        <f t="shared" si="269"/>
        <v>95.231750721350593</v>
      </c>
      <c r="Y512" s="17">
        <f t="shared" si="269"/>
        <v>96.454722753979823</v>
      </c>
      <c r="Z512" s="17">
        <f t="shared" si="269"/>
        <v>98.382199703678864</v>
      </c>
      <c r="AA512" s="17">
        <f t="shared" si="269"/>
        <v>100.34613214502158</v>
      </c>
      <c r="AB512" s="17">
        <f t="shared" si="269"/>
        <v>102.34654279586795</v>
      </c>
      <c r="AC512" s="17">
        <f t="shared" si="269"/>
        <v>104.38305283600222</v>
      </c>
      <c r="AD512" s="17">
        <f t="shared" si="269"/>
        <v>105.29548453681777</v>
      </c>
      <c r="AE512" s="17">
        <f t="shared" si="269"/>
        <v>107.37583888761124</v>
      </c>
      <c r="AF512" s="17">
        <f t="shared" si="269"/>
        <v>109.48041501103279</v>
      </c>
      <c r="AG512" s="17">
        <f t="shared" si="269"/>
        <v>113.96914422025617</v>
      </c>
      <c r="AH512" s="17">
        <f t="shared" si="269"/>
        <v>26.056378628447522</v>
      </c>
      <c r="AI512" s="17">
        <f t="shared" si="269"/>
        <v>0</v>
      </c>
      <c r="AJ512" s="17">
        <f t="shared" si="269"/>
        <v>0</v>
      </c>
      <c r="AK512" s="17">
        <f t="shared" si="269"/>
        <v>0</v>
      </c>
      <c r="AL512" s="17">
        <f t="shared" si="269"/>
        <v>0</v>
      </c>
      <c r="AM512" s="17">
        <f t="shared" ref="AM512:BD512" si="270">AM440+AM493+AM464+AM510</f>
        <v>0</v>
      </c>
      <c r="AN512" s="17">
        <f t="shared" si="270"/>
        <v>0</v>
      </c>
      <c r="AO512" s="17">
        <f t="shared" si="270"/>
        <v>0</v>
      </c>
      <c r="AP512" s="17">
        <f t="shared" si="270"/>
        <v>0</v>
      </c>
      <c r="AQ512" s="17">
        <f t="shared" si="270"/>
        <v>0</v>
      </c>
      <c r="AR512" s="17">
        <f t="shared" si="270"/>
        <v>0</v>
      </c>
      <c r="AS512" s="17">
        <f t="shared" si="270"/>
        <v>0</v>
      </c>
      <c r="AT512" s="17">
        <f t="shared" si="270"/>
        <v>0</v>
      </c>
      <c r="AU512" s="17">
        <f t="shared" si="270"/>
        <v>0</v>
      </c>
      <c r="AV512" s="17">
        <f t="shared" si="270"/>
        <v>0</v>
      </c>
      <c r="AW512" s="17">
        <f t="shared" si="270"/>
        <v>0</v>
      </c>
      <c r="AX512" s="17">
        <f t="shared" si="270"/>
        <v>0</v>
      </c>
      <c r="AY512" s="17">
        <f t="shared" si="270"/>
        <v>0</v>
      </c>
      <c r="AZ512" s="17">
        <f t="shared" si="270"/>
        <v>0</v>
      </c>
      <c r="BA512" s="17">
        <f t="shared" si="270"/>
        <v>0</v>
      </c>
      <c r="BB512" s="17">
        <f t="shared" si="270"/>
        <v>0</v>
      </c>
      <c r="BC512" s="17">
        <f t="shared" si="270"/>
        <v>0</v>
      </c>
      <c r="BD512" s="17">
        <f t="shared" si="270"/>
        <v>0</v>
      </c>
    </row>
    <row r="513" spans="3:56" ht="15" customHeight="1" thickBot="1">
      <c r="C513" s="20"/>
      <c r="E513" s="18"/>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row>
    <row r="514" spans="3:56" ht="15" customHeight="1">
      <c r="C514" s="130"/>
      <c r="D514" s="131"/>
      <c r="E514" s="130"/>
      <c r="F514" s="130"/>
      <c r="G514" s="130"/>
      <c r="H514" s="130"/>
      <c r="I514" s="130"/>
      <c r="J514" s="130"/>
      <c r="K514" s="130"/>
      <c r="L514" s="130"/>
      <c r="M514" s="130"/>
      <c r="N514" s="130"/>
      <c r="O514" s="130"/>
      <c r="P514" s="130"/>
      <c r="Q514" s="130"/>
      <c r="R514" s="130"/>
      <c r="S514" s="130"/>
      <c r="T514" s="130"/>
      <c r="U514" s="130"/>
      <c r="V514" s="130"/>
      <c r="W514" s="130"/>
      <c r="X514" s="130"/>
      <c r="Y514" s="130"/>
      <c r="Z514" s="130"/>
      <c r="AA514" s="130"/>
      <c r="AB514" s="130"/>
      <c r="AC514" s="130"/>
      <c r="AD514" s="130"/>
      <c r="AE514" s="130"/>
      <c r="AF514" s="130"/>
      <c r="AG514" s="130"/>
      <c r="AH514" s="130"/>
      <c r="AI514" s="130"/>
      <c r="AJ514" s="130"/>
      <c r="AK514" s="130"/>
      <c r="AL514" s="130"/>
      <c r="AM514" s="130"/>
      <c r="AN514" s="130"/>
      <c r="AO514" s="130"/>
      <c r="AP514" s="130"/>
      <c r="AQ514" s="130"/>
      <c r="AR514" s="130"/>
      <c r="AS514" s="130"/>
      <c r="AT514" s="130"/>
      <c r="AU514" s="130"/>
      <c r="AV514" s="130"/>
      <c r="AW514" s="130"/>
      <c r="AX514" s="130"/>
      <c r="AY514" s="130"/>
      <c r="AZ514" s="130"/>
      <c r="BA514" s="130"/>
      <c r="BB514" s="130"/>
      <c r="BC514" s="130"/>
      <c r="BD514" s="130"/>
    </row>
    <row r="515" spans="3:56" ht="15" customHeight="1">
      <c r="D515" s="213" t="s">
        <v>552</v>
      </c>
    </row>
    <row r="516" spans="3:56" ht="15" customHeight="1"/>
    <row r="517" spans="3:56" ht="15" customHeight="1">
      <c r="D517" s="11" t="s">
        <v>553</v>
      </c>
      <c r="E517" s="307">
        <f>Inputs!E83</f>
        <v>2</v>
      </c>
    </row>
    <row r="518" spans="3:56" ht="15" customHeight="1">
      <c r="D518" s="213"/>
    </row>
    <row r="519" spans="3:56" ht="15" customHeight="1">
      <c r="C519" s="21">
        <f>SUM(G519:BD519)</f>
        <v>0</v>
      </c>
      <c r="D519" s="11" t="s">
        <v>554</v>
      </c>
      <c r="E519" s="18" t="s">
        <v>333</v>
      </c>
      <c r="G519" s="17">
        <f>IF($E$517 = 1, (G96 + G98) * Inputs!$E$79, 0)</f>
        <v>0</v>
      </c>
      <c r="H519" s="17">
        <f>IF($E$517 = 1, (H96 + H98) * Inputs!$E$79, 0)</f>
        <v>0</v>
      </c>
      <c r="I519" s="17">
        <f>IF($E$517 = 1, (I96 + I98) * Inputs!$E$79, 0)</f>
        <v>0</v>
      </c>
      <c r="J519" s="17">
        <f>IF($E$517 = 1, (J96 + J98) * Inputs!$E$79, 0)</f>
        <v>0</v>
      </c>
      <c r="K519" s="17">
        <f>IF($E$517 = 1, (K96 + K98) * Inputs!$E$79, 0)</f>
        <v>0</v>
      </c>
      <c r="L519" s="17">
        <f>IF($E$517 = 1, (L96 + L98) * Inputs!$E$79, 0)</f>
        <v>0</v>
      </c>
      <c r="M519" s="17">
        <f>IF($E$517 = 1, (M96 + M98) * Inputs!$E$79, 0)</f>
        <v>0</v>
      </c>
      <c r="N519" s="17">
        <f>IF($E$517 = 1, (N96 + N98) * Inputs!$E$79, 0)</f>
        <v>0</v>
      </c>
      <c r="O519" s="17">
        <f>IF($E$517 = 1, (O96 + O98) * Inputs!$E$79, 0)</f>
        <v>0</v>
      </c>
      <c r="P519" s="17">
        <f>IF($E$517 = 1, (P96 + P98) * Inputs!$E$79, 0)</f>
        <v>0</v>
      </c>
      <c r="Q519" s="17">
        <f>IF($E$517 = 1, (Q96 + Q98) * Inputs!$E$79, 0)</f>
        <v>0</v>
      </c>
      <c r="R519" s="17">
        <f>IF($E$517 = 1, (R96 + R98) * Inputs!$E$79, 0)</f>
        <v>0</v>
      </c>
      <c r="S519" s="17">
        <f>IF($E$517 = 1, (S96 + S98) * Inputs!$E$79, 0)</f>
        <v>0</v>
      </c>
      <c r="T519" s="17">
        <f>IF($E$517 = 1, (T96 + T98) * Inputs!$E$79, 0)</f>
        <v>0</v>
      </c>
      <c r="U519" s="17">
        <f>IF($E$517 = 1, (U96 + U98) * Inputs!$E$79, 0)</f>
        <v>0</v>
      </c>
      <c r="V519" s="17">
        <f>IF($E$517 = 1, (V96 + V98) * Inputs!$E$79, 0)</f>
        <v>0</v>
      </c>
      <c r="W519" s="17">
        <f>IF($E$517 = 1, (W96 + W98) * Inputs!$E$79, 0)</f>
        <v>0</v>
      </c>
      <c r="X519" s="17">
        <f>IF($E$517 = 1, (X96 + X98) * Inputs!$E$79, 0)</f>
        <v>0</v>
      </c>
      <c r="Y519" s="17">
        <f>IF($E$517 = 1, (Y96 + Y98) * Inputs!$E$79, 0)</f>
        <v>0</v>
      </c>
      <c r="Z519" s="17">
        <f>IF($E$517 = 1, (Z96 + Z98) * Inputs!$E$79, 0)</f>
        <v>0</v>
      </c>
      <c r="AA519" s="17">
        <f>IF($E$517 = 1, (AA96 + AA98) * Inputs!$E$79, 0)</f>
        <v>0</v>
      </c>
      <c r="AB519" s="17">
        <f>IF($E$517 = 1, (AB96 + AB98) * Inputs!$E$79, 0)</f>
        <v>0</v>
      </c>
      <c r="AC519" s="17">
        <f>IF($E$517 = 1, (AC96 + AC98) * Inputs!$E$79, 0)</f>
        <v>0</v>
      </c>
      <c r="AD519" s="17">
        <f>IF($E$517 = 1, (AD96 + AD98) * Inputs!$E$79, 0)</f>
        <v>0</v>
      </c>
      <c r="AE519" s="17">
        <f>IF($E$517 = 1, (AE96 + AE98) * Inputs!$E$79, 0)</f>
        <v>0</v>
      </c>
      <c r="AF519" s="17">
        <f>IF($E$517 = 1, (AF96 + AF98) * Inputs!$E$79, 0)</f>
        <v>0</v>
      </c>
      <c r="AG519" s="17">
        <f>IF($E$517 = 1, (AG96 + AG98) * Inputs!$E$79, 0)</f>
        <v>0</v>
      </c>
      <c r="AH519" s="17">
        <f>IF($E$517 = 1, (AH96 + AH98) * Inputs!$E$79, 0)</f>
        <v>0</v>
      </c>
      <c r="AI519" s="17">
        <f>IF($E$517 = 1, (AI96 + AI98) * Inputs!$E$79, 0)</f>
        <v>0</v>
      </c>
      <c r="AJ519" s="17">
        <f>IF($E$517 = 1, (AJ96 + AJ98) * Inputs!$E$79, 0)</f>
        <v>0</v>
      </c>
      <c r="AK519" s="17">
        <f>IF($E$517 = 1, (AK96 + AK98) * Inputs!$E$79, 0)</f>
        <v>0</v>
      </c>
      <c r="AL519" s="17">
        <f>IF($E$517 = 1, (AL96 + AL98) * Inputs!$E$79, 0)</f>
        <v>0</v>
      </c>
      <c r="AM519" s="17">
        <f>IF($E$517 = 1, (AM96 + AM98) * Inputs!$E$79, 0)</f>
        <v>0</v>
      </c>
      <c r="AN519" s="17">
        <f>IF($E$517 = 1, (AN96 + AN98) * Inputs!$E$79, 0)</f>
        <v>0</v>
      </c>
      <c r="AO519" s="17">
        <f>IF($E$517 = 1, (AO96 + AO98) * Inputs!$E$79, 0)</f>
        <v>0</v>
      </c>
      <c r="AP519" s="17">
        <f>IF($E$517 = 1, (AP96 + AP98) * Inputs!$E$79, 0)</f>
        <v>0</v>
      </c>
      <c r="AQ519" s="17">
        <f>IF($E$517 = 1, (AQ96 + AQ98) * Inputs!$E$79, 0)</f>
        <v>0</v>
      </c>
      <c r="AR519" s="17">
        <f>IF($E$517 = 1, (AR96 + AR98) * Inputs!$E$79, 0)</f>
        <v>0</v>
      </c>
      <c r="AS519" s="17">
        <f>IF($E$517 = 1, (AS96 + AS98) * Inputs!$E$79, 0)</f>
        <v>0</v>
      </c>
      <c r="AT519" s="17">
        <f>IF($E$517 = 1, (AT96 + AT98) * Inputs!$E$79, 0)</f>
        <v>0</v>
      </c>
      <c r="AU519" s="17">
        <f>IF($E$517 = 1, (AU96 + AU98) * Inputs!$E$79, 0)</f>
        <v>0</v>
      </c>
      <c r="AV519" s="17">
        <f>IF($E$517 = 1, (AV96 + AV98) * Inputs!$E$79, 0)</f>
        <v>0</v>
      </c>
      <c r="AW519" s="17">
        <f>IF($E$517 = 1, (AW96 + AW98) * Inputs!$E$79, 0)</f>
        <v>0</v>
      </c>
      <c r="AX519" s="17">
        <f>IF($E$517 = 1, (AX96 + AX98) * Inputs!$E$79, 0)</f>
        <v>0</v>
      </c>
      <c r="AY519" s="17">
        <f>IF($E$517 = 1, (AY96 + AY98) * Inputs!$E$79, 0)</f>
        <v>0</v>
      </c>
      <c r="AZ519" s="17">
        <f>IF($E$517 = 1, (AZ96 + AZ98) * Inputs!$E$79, 0)</f>
        <v>0</v>
      </c>
      <c r="BA519" s="17">
        <f>IF($E$517 = 1, (BA96 + BA98) * Inputs!$E$79, 0)</f>
        <v>0</v>
      </c>
      <c r="BB519" s="17">
        <f>IF($E$517 = 1, (BB96 + BB98) * Inputs!$E$79, 0)</f>
        <v>0</v>
      </c>
      <c r="BC519" s="17">
        <f>IF($E$517 = 1, (BC96 + BC98) * Inputs!$E$79, 0)</f>
        <v>0</v>
      </c>
      <c r="BD519" s="17">
        <f>IF($E$517 = 1, (BD96 + BD98) * Inputs!$E$79, 0)</f>
        <v>0</v>
      </c>
    </row>
    <row r="520" spans="3:56" ht="15" customHeight="1" thickBot="1">
      <c r="C520" s="20"/>
      <c r="E520" s="18"/>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row>
    <row r="521" spans="3:56" ht="15" customHeight="1">
      <c r="C521" s="130"/>
      <c r="D521" s="131"/>
      <c r="E521" s="130"/>
      <c r="F521" s="130"/>
      <c r="G521" s="130"/>
      <c r="H521" s="130"/>
      <c r="I521" s="130"/>
      <c r="J521" s="130"/>
      <c r="K521" s="130"/>
      <c r="L521" s="130"/>
      <c r="M521" s="130"/>
      <c r="N521" s="130"/>
      <c r="O521" s="130"/>
      <c r="P521" s="130"/>
      <c r="Q521" s="130"/>
      <c r="R521" s="130"/>
      <c r="S521" s="130"/>
      <c r="T521" s="130"/>
      <c r="U521" s="130"/>
      <c r="V521" s="130"/>
      <c r="W521" s="130"/>
      <c r="X521" s="130"/>
      <c r="Y521" s="130"/>
      <c r="Z521" s="130"/>
      <c r="AA521" s="130"/>
      <c r="AB521" s="130"/>
      <c r="AC521" s="130"/>
      <c r="AD521" s="130"/>
      <c r="AE521" s="130"/>
      <c r="AF521" s="130"/>
      <c r="AG521" s="130"/>
      <c r="AH521" s="130"/>
      <c r="AI521" s="130"/>
      <c r="AJ521" s="130"/>
      <c r="AK521" s="130"/>
      <c r="AL521" s="130"/>
      <c r="AM521" s="130"/>
      <c r="AN521" s="130"/>
      <c r="AO521" s="130"/>
      <c r="AP521" s="130"/>
      <c r="AQ521" s="130"/>
      <c r="AR521" s="130"/>
      <c r="AS521" s="130"/>
      <c r="AT521" s="130"/>
      <c r="AU521" s="130"/>
      <c r="AV521" s="130"/>
      <c r="AW521" s="130"/>
      <c r="AX521" s="130"/>
      <c r="AY521" s="130"/>
      <c r="AZ521" s="130"/>
      <c r="BA521" s="130"/>
      <c r="BB521" s="130"/>
      <c r="BC521" s="130"/>
      <c r="BD521" s="130"/>
    </row>
    <row r="522" spans="3:56" ht="15" customHeight="1">
      <c r="D522" s="213" t="s">
        <v>555</v>
      </c>
    </row>
    <row r="523" spans="3:56" ht="15" customHeight="1">
      <c r="D523" s="9"/>
    </row>
    <row r="524" spans="3:56" ht="15" customHeight="1">
      <c r="D524" s="11" t="s">
        <v>556</v>
      </c>
      <c r="E524" s="240">
        <f>Inputs!E79</f>
        <v>0.16</v>
      </c>
    </row>
    <row r="525" spans="3:56" ht="15" customHeight="1">
      <c r="D525" s="11" t="s">
        <v>557</v>
      </c>
      <c r="E525" s="240">
        <f>100%-E524</f>
        <v>0.84</v>
      </c>
    </row>
    <row r="526" spans="3:56" ht="15" customHeight="1">
      <c r="D526" s="11" t="s">
        <v>164</v>
      </c>
      <c r="E526" s="307">
        <f>Inputs!E80</f>
        <v>1</v>
      </c>
    </row>
    <row r="527" spans="3:56" ht="15" customHeight="1">
      <c r="D527" s="11" t="s">
        <v>165</v>
      </c>
      <c r="E527" s="307">
        <f>Inputs!E81</f>
        <v>3</v>
      </c>
    </row>
    <row r="528" spans="3:56" ht="15" customHeight="1">
      <c r="D528" s="11" t="s">
        <v>447</v>
      </c>
      <c r="E528" s="307">
        <f>Inputs!E82</f>
        <v>2</v>
      </c>
    </row>
    <row r="529" spans="3:56" ht="15" customHeight="1">
      <c r="E529" s="307"/>
    </row>
    <row r="530" spans="3:56" ht="15" customHeight="1">
      <c r="D530" s="9" t="s">
        <v>558</v>
      </c>
    </row>
    <row r="531" spans="3:56" ht="15" customHeight="1">
      <c r="C531" s="21">
        <f t="shared" ref="C531:C545" si="271">SUM(G531:BD531)</f>
        <v>6560.3227844115245</v>
      </c>
      <c r="D531" s="11" t="s">
        <v>319</v>
      </c>
      <c r="E531" s="18" t="s">
        <v>333</v>
      </c>
      <c r="G531" s="21">
        <f>G51 - G52 - SUM(G53:G55) - G56 - (G66 + G78 + G79 + G80) - G236 - G240 - G244 - G210 - G311 - G313 - G319 - G410</f>
        <v>-20</v>
      </c>
      <c r="H531" s="21">
        <f t="shared" ref="H531:BD531" si="272">H51 - H52 - SUM(H53:H55) - H56 - (H66 + H78 + H79 + H80) - H236 - H240 - H244 - H210 - H311 - H313 - H319 - H410</f>
        <v>-20.399999999999999</v>
      </c>
      <c r="I531" s="21">
        <f t="shared" si="272"/>
        <v>-80.956125</v>
      </c>
      <c r="J531" s="21">
        <f t="shared" si="272"/>
        <v>-330.30098999999996</v>
      </c>
      <c r="K531" s="21">
        <f t="shared" si="272"/>
        <v>39.479006955600028</v>
      </c>
      <c r="L531" s="21">
        <f t="shared" si="272"/>
        <v>248.60035405252808</v>
      </c>
      <c r="M531" s="21">
        <f t="shared" si="272"/>
        <v>253.57236113357865</v>
      </c>
      <c r="N531" s="21">
        <f t="shared" si="272"/>
        <v>258.64380835625008</v>
      </c>
      <c r="O531" s="21">
        <f t="shared" si="272"/>
        <v>263.81668452337516</v>
      </c>
      <c r="P531" s="21">
        <f t="shared" si="272"/>
        <v>269.0930182138427</v>
      </c>
      <c r="Q531" s="21">
        <f t="shared" si="272"/>
        <v>274.47487857811961</v>
      </c>
      <c r="R531" s="21">
        <f t="shared" si="272"/>
        <v>279.96437614968181</v>
      </c>
      <c r="S531" s="21">
        <f t="shared" si="272"/>
        <v>285.5636636726756</v>
      </c>
      <c r="T531" s="21">
        <f t="shared" si="272"/>
        <v>291.27493694612906</v>
      </c>
      <c r="U531" s="21">
        <f t="shared" si="272"/>
        <v>297.10043568505165</v>
      </c>
      <c r="V531" s="21">
        <f t="shared" si="272"/>
        <v>303.04244439875259</v>
      </c>
      <c r="W531" s="21">
        <f t="shared" si="272"/>
        <v>309.10329328672776</v>
      </c>
      <c r="X531" s="21">
        <f t="shared" si="272"/>
        <v>315.28535915246238</v>
      </c>
      <c r="Y531" s="21">
        <f t="shared" si="272"/>
        <v>319.31885639618571</v>
      </c>
      <c r="Z531" s="21">
        <f t="shared" si="272"/>
        <v>325.69984183950749</v>
      </c>
      <c r="AA531" s="21">
        <f t="shared" si="272"/>
        <v>332.20146683386145</v>
      </c>
      <c r="AB531" s="21">
        <f t="shared" si="272"/>
        <v>338.82378953035845</v>
      </c>
      <c r="AC531" s="21">
        <f t="shared" si="272"/>
        <v>345.56552926835548</v>
      </c>
      <c r="AD531" s="21">
        <f t="shared" si="272"/>
        <v>348.55940866737427</v>
      </c>
      <c r="AE531" s="21">
        <f t="shared" si="272"/>
        <v>355.44541237424528</v>
      </c>
      <c r="AF531" s="21">
        <f t="shared" si="272"/>
        <v>362.41118510729467</v>
      </c>
      <c r="AG531" s="21">
        <f t="shared" si="272"/>
        <v>404.09783500244748</v>
      </c>
      <c r="AH531" s="21">
        <f t="shared" si="272"/>
        <v>191.35401923011133</v>
      </c>
      <c r="AI531" s="21">
        <f t="shared" si="272"/>
        <v>-0.51206594299233643</v>
      </c>
      <c r="AJ531" s="21">
        <f t="shared" si="272"/>
        <v>0</v>
      </c>
      <c r="AK531" s="21">
        <f t="shared" si="272"/>
        <v>0</v>
      </c>
      <c r="AL531" s="21">
        <f t="shared" si="272"/>
        <v>0</v>
      </c>
      <c r="AM531" s="21">
        <f t="shared" si="272"/>
        <v>0</v>
      </c>
      <c r="AN531" s="21">
        <f t="shared" si="272"/>
        <v>0</v>
      </c>
      <c r="AO531" s="21">
        <f t="shared" si="272"/>
        <v>0</v>
      </c>
      <c r="AP531" s="21">
        <f t="shared" si="272"/>
        <v>0</v>
      </c>
      <c r="AQ531" s="21">
        <f t="shared" si="272"/>
        <v>0</v>
      </c>
      <c r="AR531" s="21">
        <f t="shared" si="272"/>
        <v>0</v>
      </c>
      <c r="AS531" s="21">
        <f t="shared" si="272"/>
        <v>0</v>
      </c>
      <c r="AT531" s="21">
        <f t="shared" si="272"/>
        <v>0</v>
      </c>
      <c r="AU531" s="21">
        <f t="shared" si="272"/>
        <v>0</v>
      </c>
      <c r="AV531" s="21">
        <f t="shared" si="272"/>
        <v>0</v>
      </c>
      <c r="AW531" s="21">
        <f t="shared" si="272"/>
        <v>0</v>
      </c>
      <c r="AX531" s="21">
        <f t="shared" si="272"/>
        <v>0</v>
      </c>
      <c r="AY531" s="21">
        <f t="shared" si="272"/>
        <v>0</v>
      </c>
      <c r="AZ531" s="21">
        <f t="shared" si="272"/>
        <v>0</v>
      </c>
      <c r="BA531" s="21">
        <f t="shared" si="272"/>
        <v>0</v>
      </c>
      <c r="BB531" s="21">
        <f t="shared" si="272"/>
        <v>0</v>
      </c>
      <c r="BC531" s="21">
        <f t="shared" si="272"/>
        <v>0</v>
      </c>
      <c r="BD531" s="21">
        <f t="shared" si="272"/>
        <v>0</v>
      </c>
    </row>
    <row r="532" spans="3:56" ht="15" customHeight="1">
      <c r="C532" s="21">
        <f t="shared" si="271"/>
        <v>61.422719040000068</v>
      </c>
      <c r="D532" s="11" t="s">
        <v>364</v>
      </c>
      <c r="E532" s="18" t="s">
        <v>333</v>
      </c>
      <c r="G532" s="21">
        <f t="shared" ref="G532:AL532" si="273">G101</f>
        <v>0</v>
      </c>
      <c r="H532" s="21">
        <f t="shared" si="273"/>
        <v>0</v>
      </c>
      <c r="I532" s="21">
        <f t="shared" si="273"/>
        <v>-39.015000000000001</v>
      </c>
      <c r="J532" s="21">
        <f t="shared" si="273"/>
        <v>-159.18119999999999</v>
      </c>
      <c r="K532" s="21">
        <f t="shared" si="273"/>
        <v>58.623626880000003</v>
      </c>
      <c r="L532" s="21">
        <f t="shared" si="273"/>
        <v>55.273705344000007</v>
      </c>
      <c r="M532" s="21">
        <f t="shared" si="273"/>
        <v>51.923783808000003</v>
      </c>
      <c r="N532" s="21">
        <f t="shared" si="273"/>
        <v>48.573862272000007</v>
      </c>
      <c r="O532" s="21">
        <f t="shared" si="273"/>
        <v>45.22394073600001</v>
      </c>
      <c r="P532" s="21">
        <f t="shared" si="273"/>
        <v>0</v>
      </c>
      <c r="Q532" s="21">
        <f t="shared" si="273"/>
        <v>0</v>
      </c>
      <c r="R532" s="21">
        <f t="shared" si="273"/>
        <v>0</v>
      </c>
      <c r="S532" s="21">
        <f t="shared" si="273"/>
        <v>0</v>
      </c>
      <c r="T532" s="21">
        <f t="shared" si="273"/>
        <v>0</v>
      </c>
      <c r="U532" s="21">
        <f t="shared" si="273"/>
        <v>0</v>
      </c>
      <c r="V532" s="21">
        <f t="shared" si="273"/>
        <v>0</v>
      </c>
      <c r="W532" s="21">
        <f t="shared" si="273"/>
        <v>0</v>
      </c>
      <c r="X532" s="21">
        <f t="shared" si="273"/>
        <v>0</v>
      </c>
      <c r="Y532" s="21">
        <f t="shared" si="273"/>
        <v>0</v>
      </c>
      <c r="Z532" s="21">
        <f t="shared" si="273"/>
        <v>0</v>
      </c>
      <c r="AA532" s="21">
        <f t="shared" si="273"/>
        <v>0</v>
      </c>
      <c r="AB532" s="21">
        <f t="shared" si="273"/>
        <v>0</v>
      </c>
      <c r="AC532" s="21">
        <f t="shared" si="273"/>
        <v>0</v>
      </c>
      <c r="AD532" s="21">
        <f t="shared" si="273"/>
        <v>0</v>
      </c>
      <c r="AE532" s="21">
        <f t="shared" si="273"/>
        <v>0</v>
      </c>
      <c r="AF532" s="21">
        <f t="shared" si="273"/>
        <v>0</v>
      </c>
      <c r="AG532" s="21">
        <f t="shared" si="273"/>
        <v>0</v>
      </c>
      <c r="AH532" s="21">
        <f t="shared" si="273"/>
        <v>0</v>
      </c>
      <c r="AI532" s="21">
        <f t="shared" si="273"/>
        <v>0</v>
      </c>
      <c r="AJ532" s="21">
        <f t="shared" si="273"/>
        <v>0</v>
      </c>
      <c r="AK532" s="21">
        <f t="shared" si="273"/>
        <v>0</v>
      </c>
      <c r="AL532" s="21">
        <f t="shared" si="273"/>
        <v>0</v>
      </c>
      <c r="AM532" s="21">
        <f t="shared" ref="AM532:BD532" si="274">AM101</f>
        <v>0</v>
      </c>
      <c r="AN532" s="21">
        <f t="shared" si="274"/>
        <v>0</v>
      </c>
      <c r="AO532" s="21">
        <f t="shared" si="274"/>
        <v>0</v>
      </c>
      <c r="AP532" s="21">
        <f t="shared" si="274"/>
        <v>0</v>
      </c>
      <c r="AQ532" s="21">
        <f t="shared" si="274"/>
        <v>0</v>
      </c>
      <c r="AR532" s="21">
        <f t="shared" si="274"/>
        <v>0</v>
      </c>
      <c r="AS532" s="21">
        <f t="shared" si="274"/>
        <v>0</v>
      </c>
      <c r="AT532" s="21">
        <f t="shared" si="274"/>
        <v>0</v>
      </c>
      <c r="AU532" s="21">
        <f t="shared" si="274"/>
        <v>0</v>
      </c>
      <c r="AV532" s="21">
        <f t="shared" si="274"/>
        <v>0</v>
      </c>
      <c r="AW532" s="21">
        <f t="shared" si="274"/>
        <v>0</v>
      </c>
      <c r="AX532" s="21">
        <f t="shared" si="274"/>
        <v>0</v>
      </c>
      <c r="AY532" s="21">
        <f t="shared" si="274"/>
        <v>0</v>
      </c>
      <c r="AZ532" s="21">
        <f t="shared" si="274"/>
        <v>0</v>
      </c>
      <c r="BA532" s="21">
        <f t="shared" si="274"/>
        <v>0</v>
      </c>
      <c r="BB532" s="21">
        <f t="shared" si="274"/>
        <v>0</v>
      </c>
      <c r="BC532" s="21">
        <f t="shared" si="274"/>
        <v>0</v>
      </c>
      <c r="BD532" s="21">
        <f t="shared" si="274"/>
        <v>0</v>
      </c>
    </row>
    <row r="533" spans="3:56" ht="15" customHeight="1">
      <c r="C533" s="21">
        <f t="shared" si="271"/>
        <v>1953.1758081943549</v>
      </c>
      <c r="D533" s="11" t="s">
        <v>559</v>
      </c>
      <c r="E533" s="18" t="s">
        <v>333</v>
      </c>
      <c r="G533" s="21">
        <f t="shared" ref="G533:AL533" si="275">G512</f>
        <v>0</v>
      </c>
      <c r="H533" s="21">
        <f t="shared" si="275"/>
        <v>0</v>
      </c>
      <c r="I533" s="21">
        <f t="shared" si="275"/>
        <v>0</v>
      </c>
      <c r="J533" s="21">
        <f t="shared" si="275"/>
        <v>0</v>
      </c>
      <c r="K533" s="21">
        <f t="shared" si="275"/>
        <v>0</v>
      </c>
      <c r="L533" s="21">
        <f t="shared" si="275"/>
        <v>38.444527525958449</v>
      </c>
      <c r="M533" s="21">
        <f t="shared" si="275"/>
        <v>52.563655534927982</v>
      </c>
      <c r="N533" s="21">
        <f t="shared" si="275"/>
        <v>52.603499540794509</v>
      </c>
      <c r="O533" s="21">
        <f t="shared" si="275"/>
        <v>52.624040897562431</v>
      </c>
      <c r="P533" s="21">
        <f t="shared" si="275"/>
        <v>81.279382272249691</v>
      </c>
      <c r="Q533" s="21">
        <f t="shared" si="275"/>
        <v>82.904969917694672</v>
      </c>
      <c r="R533" s="21">
        <f t="shared" si="275"/>
        <v>84.563069316048527</v>
      </c>
      <c r="S533" s="21">
        <f t="shared" si="275"/>
        <v>86.254330702369529</v>
      </c>
      <c r="T533" s="21">
        <f t="shared" si="275"/>
        <v>87.979417316416928</v>
      </c>
      <c r="U533" s="21">
        <f t="shared" si="275"/>
        <v>89.739005662745257</v>
      </c>
      <c r="V533" s="21">
        <f t="shared" si="275"/>
        <v>91.533785776000144</v>
      </c>
      <c r="W533" s="21">
        <f t="shared" si="275"/>
        <v>93.364461491520174</v>
      </c>
      <c r="X533" s="21">
        <f t="shared" si="275"/>
        <v>95.231750721350593</v>
      </c>
      <c r="Y533" s="21">
        <f t="shared" si="275"/>
        <v>96.454722753979823</v>
      </c>
      <c r="Z533" s="21">
        <f t="shared" si="275"/>
        <v>98.382199703678864</v>
      </c>
      <c r="AA533" s="21">
        <f t="shared" si="275"/>
        <v>100.34613214502158</v>
      </c>
      <c r="AB533" s="21">
        <f t="shared" si="275"/>
        <v>102.34654279586795</v>
      </c>
      <c r="AC533" s="21">
        <f t="shared" si="275"/>
        <v>104.38305283600222</v>
      </c>
      <c r="AD533" s="21">
        <f t="shared" si="275"/>
        <v>105.29548453681777</v>
      </c>
      <c r="AE533" s="21">
        <f t="shared" si="275"/>
        <v>107.37583888761124</v>
      </c>
      <c r="AF533" s="21">
        <f t="shared" si="275"/>
        <v>109.48041501103279</v>
      </c>
      <c r="AG533" s="21">
        <f t="shared" si="275"/>
        <v>113.96914422025617</v>
      </c>
      <c r="AH533" s="21">
        <f t="shared" si="275"/>
        <v>26.056378628447522</v>
      </c>
      <c r="AI533" s="21">
        <f t="shared" si="275"/>
        <v>0</v>
      </c>
      <c r="AJ533" s="21">
        <f t="shared" si="275"/>
        <v>0</v>
      </c>
      <c r="AK533" s="21">
        <f t="shared" si="275"/>
        <v>0</v>
      </c>
      <c r="AL533" s="21">
        <f t="shared" si="275"/>
        <v>0</v>
      </c>
      <c r="AM533" s="21">
        <f t="shared" ref="AM533:BD533" si="276">AM512</f>
        <v>0</v>
      </c>
      <c r="AN533" s="21">
        <f t="shared" si="276"/>
        <v>0</v>
      </c>
      <c r="AO533" s="21">
        <f t="shared" si="276"/>
        <v>0</v>
      </c>
      <c r="AP533" s="21">
        <f t="shared" si="276"/>
        <v>0</v>
      </c>
      <c r="AQ533" s="21">
        <f t="shared" si="276"/>
        <v>0</v>
      </c>
      <c r="AR533" s="21">
        <f t="shared" si="276"/>
        <v>0</v>
      </c>
      <c r="AS533" s="21">
        <f t="shared" si="276"/>
        <v>0</v>
      </c>
      <c r="AT533" s="21">
        <f t="shared" si="276"/>
        <v>0</v>
      </c>
      <c r="AU533" s="21">
        <f t="shared" si="276"/>
        <v>0</v>
      </c>
      <c r="AV533" s="21">
        <f t="shared" si="276"/>
        <v>0</v>
      </c>
      <c r="AW533" s="21">
        <f t="shared" si="276"/>
        <v>0</v>
      </c>
      <c r="AX533" s="21">
        <f t="shared" si="276"/>
        <v>0</v>
      </c>
      <c r="AY533" s="21">
        <f t="shared" si="276"/>
        <v>0</v>
      </c>
      <c r="AZ533" s="21">
        <f t="shared" si="276"/>
        <v>0</v>
      </c>
      <c r="BA533" s="21">
        <f t="shared" si="276"/>
        <v>0</v>
      </c>
      <c r="BB533" s="21">
        <f t="shared" si="276"/>
        <v>0</v>
      </c>
      <c r="BC533" s="21">
        <f t="shared" si="276"/>
        <v>0</v>
      </c>
      <c r="BD533" s="21">
        <f t="shared" si="276"/>
        <v>0</v>
      </c>
    </row>
    <row r="534" spans="3:56" ht="15" customHeight="1">
      <c r="C534" s="21">
        <f t="shared" si="271"/>
        <v>0</v>
      </c>
      <c r="D534" s="11" t="s">
        <v>554</v>
      </c>
      <c r="E534" s="18" t="s">
        <v>333</v>
      </c>
      <c r="G534" s="21">
        <f t="shared" ref="G534:AL534" si="277">G519</f>
        <v>0</v>
      </c>
      <c r="H534" s="21">
        <f t="shared" si="277"/>
        <v>0</v>
      </c>
      <c r="I534" s="21">
        <f t="shared" si="277"/>
        <v>0</v>
      </c>
      <c r="J534" s="21">
        <f t="shared" si="277"/>
        <v>0</v>
      </c>
      <c r="K534" s="21">
        <f t="shared" si="277"/>
        <v>0</v>
      </c>
      <c r="L534" s="21">
        <f t="shared" si="277"/>
        <v>0</v>
      </c>
      <c r="M534" s="21">
        <f t="shared" si="277"/>
        <v>0</v>
      </c>
      <c r="N534" s="21">
        <f t="shared" si="277"/>
        <v>0</v>
      </c>
      <c r="O534" s="21">
        <f t="shared" si="277"/>
        <v>0</v>
      </c>
      <c r="P534" s="21">
        <f t="shared" si="277"/>
        <v>0</v>
      </c>
      <c r="Q534" s="21">
        <f t="shared" si="277"/>
        <v>0</v>
      </c>
      <c r="R534" s="21">
        <f t="shared" si="277"/>
        <v>0</v>
      </c>
      <c r="S534" s="21">
        <f t="shared" si="277"/>
        <v>0</v>
      </c>
      <c r="T534" s="21">
        <f t="shared" si="277"/>
        <v>0</v>
      </c>
      <c r="U534" s="21">
        <f t="shared" si="277"/>
        <v>0</v>
      </c>
      <c r="V534" s="21">
        <f t="shared" si="277"/>
        <v>0</v>
      </c>
      <c r="W534" s="21">
        <f t="shared" si="277"/>
        <v>0</v>
      </c>
      <c r="X534" s="21">
        <f t="shared" si="277"/>
        <v>0</v>
      </c>
      <c r="Y534" s="21">
        <f t="shared" si="277"/>
        <v>0</v>
      </c>
      <c r="Z534" s="21">
        <f t="shared" si="277"/>
        <v>0</v>
      </c>
      <c r="AA534" s="21">
        <f t="shared" si="277"/>
        <v>0</v>
      </c>
      <c r="AB534" s="21">
        <f t="shared" si="277"/>
        <v>0</v>
      </c>
      <c r="AC534" s="21">
        <f t="shared" si="277"/>
        <v>0</v>
      </c>
      <c r="AD534" s="21">
        <f t="shared" si="277"/>
        <v>0</v>
      </c>
      <c r="AE534" s="21">
        <f t="shared" si="277"/>
        <v>0</v>
      </c>
      <c r="AF534" s="21">
        <f t="shared" si="277"/>
        <v>0</v>
      </c>
      <c r="AG534" s="21">
        <f t="shared" si="277"/>
        <v>0</v>
      </c>
      <c r="AH534" s="21">
        <f t="shared" si="277"/>
        <v>0</v>
      </c>
      <c r="AI534" s="21">
        <f t="shared" si="277"/>
        <v>0</v>
      </c>
      <c r="AJ534" s="21">
        <f t="shared" si="277"/>
        <v>0</v>
      </c>
      <c r="AK534" s="21">
        <f t="shared" si="277"/>
        <v>0</v>
      </c>
      <c r="AL534" s="21">
        <f t="shared" si="277"/>
        <v>0</v>
      </c>
      <c r="AM534" s="21">
        <f t="shared" ref="AM534:BD534" si="278">AM519</f>
        <v>0</v>
      </c>
      <c r="AN534" s="21">
        <f t="shared" si="278"/>
        <v>0</v>
      </c>
      <c r="AO534" s="21">
        <f t="shared" si="278"/>
        <v>0</v>
      </c>
      <c r="AP534" s="21">
        <f t="shared" si="278"/>
        <v>0</v>
      </c>
      <c r="AQ534" s="21">
        <f t="shared" si="278"/>
        <v>0</v>
      </c>
      <c r="AR534" s="21">
        <f t="shared" si="278"/>
        <v>0</v>
      </c>
      <c r="AS534" s="21">
        <f t="shared" si="278"/>
        <v>0</v>
      </c>
      <c r="AT534" s="21">
        <f t="shared" si="278"/>
        <v>0</v>
      </c>
      <c r="AU534" s="21">
        <f t="shared" si="278"/>
        <v>0</v>
      </c>
      <c r="AV534" s="21">
        <f t="shared" si="278"/>
        <v>0</v>
      </c>
      <c r="AW534" s="21">
        <f t="shared" si="278"/>
        <v>0</v>
      </c>
      <c r="AX534" s="21">
        <f t="shared" si="278"/>
        <v>0</v>
      </c>
      <c r="AY534" s="21">
        <f t="shared" si="278"/>
        <v>0</v>
      </c>
      <c r="AZ534" s="21">
        <f t="shared" si="278"/>
        <v>0</v>
      </c>
      <c r="BA534" s="21">
        <f t="shared" si="278"/>
        <v>0</v>
      </c>
      <c r="BB534" s="21">
        <f t="shared" si="278"/>
        <v>0</v>
      </c>
      <c r="BC534" s="21">
        <f t="shared" si="278"/>
        <v>0</v>
      </c>
      <c r="BD534" s="21">
        <f t="shared" si="278"/>
        <v>0</v>
      </c>
    </row>
    <row r="535" spans="3:56" ht="15" customHeight="1">
      <c r="C535" s="21">
        <f t="shared" si="271"/>
        <v>4545.7242571771703</v>
      </c>
      <c r="D535" s="11" t="s">
        <v>560</v>
      </c>
      <c r="E535" s="18" t="s">
        <v>333</v>
      </c>
      <c r="G535" s="21">
        <f t="shared" ref="G535:AL535" si="279">SUM(G531:G531)-SUM(G532:G534)</f>
        <v>-20</v>
      </c>
      <c r="H535" s="21">
        <f t="shared" si="279"/>
        <v>-20.399999999999999</v>
      </c>
      <c r="I535" s="21">
        <f t="shared" si="279"/>
        <v>-41.941125</v>
      </c>
      <c r="J535" s="21">
        <f t="shared" si="279"/>
        <v>-171.11978999999997</v>
      </c>
      <c r="K535" s="21">
        <f t="shared" si="279"/>
        <v>-19.144619924399976</v>
      </c>
      <c r="L535" s="21">
        <f t="shared" si="279"/>
        <v>154.88212118256962</v>
      </c>
      <c r="M535" s="21">
        <f t="shared" si="279"/>
        <v>149.08492179065067</v>
      </c>
      <c r="N535" s="21">
        <f t="shared" si="279"/>
        <v>157.46644654345556</v>
      </c>
      <c r="O535" s="21">
        <f t="shared" si="279"/>
        <v>165.96870288981273</v>
      </c>
      <c r="P535" s="21">
        <f t="shared" si="279"/>
        <v>187.81363594159302</v>
      </c>
      <c r="Q535" s="21">
        <f t="shared" si="279"/>
        <v>191.56990866042494</v>
      </c>
      <c r="R535" s="21">
        <f t="shared" si="279"/>
        <v>195.40130683363327</v>
      </c>
      <c r="S535" s="21">
        <f t="shared" si="279"/>
        <v>199.30933297030606</v>
      </c>
      <c r="T535" s="21">
        <f t="shared" si="279"/>
        <v>203.29551962971215</v>
      </c>
      <c r="U535" s="21">
        <f t="shared" si="279"/>
        <v>207.36143002230639</v>
      </c>
      <c r="V535" s="21">
        <f t="shared" si="279"/>
        <v>211.50865862275245</v>
      </c>
      <c r="W535" s="21">
        <f t="shared" si="279"/>
        <v>215.7388317952076</v>
      </c>
      <c r="X535" s="21">
        <f t="shared" si="279"/>
        <v>220.0536084311118</v>
      </c>
      <c r="Y535" s="21">
        <f t="shared" si="279"/>
        <v>222.8641336422059</v>
      </c>
      <c r="Z535" s="21">
        <f t="shared" si="279"/>
        <v>227.31764213582863</v>
      </c>
      <c r="AA535" s="21">
        <f t="shared" si="279"/>
        <v>231.85533468883986</v>
      </c>
      <c r="AB535" s="21">
        <f t="shared" si="279"/>
        <v>236.47724673449051</v>
      </c>
      <c r="AC535" s="21">
        <f t="shared" si="279"/>
        <v>241.18247643235327</v>
      </c>
      <c r="AD535" s="21">
        <f t="shared" si="279"/>
        <v>243.26392413055652</v>
      </c>
      <c r="AE535" s="21">
        <f t="shared" si="279"/>
        <v>248.06957348663406</v>
      </c>
      <c r="AF535" s="21">
        <f t="shared" si="279"/>
        <v>252.93077009626188</v>
      </c>
      <c r="AG535" s="21">
        <f t="shared" si="279"/>
        <v>290.12869078219131</v>
      </c>
      <c r="AH535" s="21">
        <f t="shared" si="279"/>
        <v>165.2976406016638</v>
      </c>
      <c r="AI535" s="21">
        <f t="shared" si="279"/>
        <v>-0.51206594299233643</v>
      </c>
      <c r="AJ535" s="21">
        <f t="shared" si="279"/>
        <v>0</v>
      </c>
      <c r="AK535" s="21">
        <f t="shared" si="279"/>
        <v>0</v>
      </c>
      <c r="AL535" s="21">
        <f t="shared" si="279"/>
        <v>0</v>
      </c>
      <c r="AM535" s="21">
        <f t="shared" ref="AM535:BD535" si="280">SUM(AM531:AM531)-SUM(AM532:AM534)</f>
        <v>0</v>
      </c>
      <c r="AN535" s="21">
        <f t="shared" si="280"/>
        <v>0</v>
      </c>
      <c r="AO535" s="21">
        <f t="shared" si="280"/>
        <v>0</v>
      </c>
      <c r="AP535" s="21">
        <f t="shared" si="280"/>
        <v>0</v>
      </c>
      <c r="AQ535" s="21">
        <f t="shared" si="280"/>
        <v>0</v>
      </c>
      <c r="AR535" s="21">
        <f t="shared" si="280"/>
        <v>0</v>
      </c>
      <c r="AS535" s="21">
        <f t="shared" si="280"/>
        <v>0</v>
      </c>
      <c r="AT535" s="21">
        <f t="shared" si="280"/>
        <v>0</v>
      </c>
      <c r="AU535" s="21">
        <f t="shared" si="280"/>
        <v>0</v>
      </c>
      <c r="AV535" s="21">
        <f t="shared" si="280"/>
        <v>0</v>
      </c>
      <c r="AW535" s="21">
        <f t="shared" si="280"/>
        <v>0</v>
      </c>
      <c r="AX535" s="21">
        <f t="shared" si="280"/>
        <v>0</v>
      </c>
      <c r="AY535" s="21">
        <f t="shared" si="280"/>
        <v>0</v>
      </c>
      <c r="AZ535" s="21">
        <f t="shared" si="280"/>
        <v>0</v>
      </c>
      <c r="BA535" s="21">
        <f t="shared" si="280"/>
        <v>0</v>
      </c>
      <c r="BB535" s="21">
        <f t="shared" si="280"/>
        <v>0</v>
      </c>
      <c r="BC535" s="21">
        <f t="shared" si="280"/>
        <v>0</v>
      </c>
      <c r="BD535" s="21">
        <f t="shared" si="280"/>
        <v>0</v>
      </c>
    </row>
    <row r="536" spans="3:56" ht="15" customHeight="1">
      <c r="C536" s="21"/>
      <c r="E536" s="18"/>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row>
    <row r="537" spans="3:56" ht="15" customHeight="1">
      <c r="C537" s="21">
        <f t="shared" si="271"/>
        <v>-273.1176008673923</v>
      </c>
      <c r="D537" s="11" t="s">
        <v>455</v>
      </c>
      <c r="E537" s="18" t="s">
        <v>333</v>
      </c>
      <c r="F537" s="214"/>
      <c r="G537" s="21">
        <f t="shared" ref="G537:AL537" si="281">MIN(G535, 0)</f>
        <v>-20</v>
      </c>
      <c r="H537" s="21">
        <f t="shared" si="281"/>
        <v>-20.399999999999999</v>
      </c>
      <c r="I537" s="21">
        <f t="shared" si="281"/>
        <v>-41.941125</v>
      </c>
      <c r="J537" s="21">
        <f t="shared" si="281"/>
        <v>-171.11978999999997</v>
      </c>
      <c r="K537" s="21">
        <f t="shared" si="281"/>
        <v>-19.144619924399976</v>
      </c>
      <c r="L537" s="21">
        <f t="shared" si="281"/>
        <v>0</v>
      </c>
      <c r="M537" s="21">
        <f t="shared" si="281"/>
        <v>0</v>
      </c>
      <c r="N537" s="21">
        <f t="shared" si="281"/>
        <v>0</v>
      </c>
      <c r="O537" s="21">
        <f t="shared" si="281"/>
        <v>0</v>
      </c>
      <c r="P537" s="21">
        <f t="shared" si="281"/>
        <v>0</v>
      </c>
      <c r="Q537" s="21">
        <f t="shared" si="281"/>
        <v>0</v>
      </c>
      <c r="R537" s="21">
        <f t="shared" si="281"/>
        <v>0</v>
      </c>
      <c r="S537" s="21">
        <f t="shared" si="281"/>
        <v>0</v>
      </c>
      <c r="T537" s="21">
        <f t="shared" si="281"/>
        <v>0</v>
      </c>
      <c r="U537" s="21">
        <f t="shared" si="281"/>
        <v>0</v>
      </c>
      <c r="V537" s="21">
        <f t="shared" si="281"/>
        <v>0</v>
      </c>
      <c r="W537" s="21">
        <f t="shared" si="281"/>
        <v>0</v>
      </c>
      <c r="X537" s="21">
        <f t="shared" si="281"/>
        <v>0</v>
      </c>
      <c r="Y537" s="21">
        <f t="shared" si="281"/>
        <v>0</v>
      </c>
      <c r="Z537" s="21">
        <f t="shared" si="281"/>
        <v>0</v>
      </c>
      <c r="AA537" s="21">
        <f t="shared" si="281"/>
        <v>0</v>
      </c>
      <c r="AB537" s="21">
        <f t="shared" si="281"/>
        <v>0</v>
      </c>
      <c r="AC537" s="21">
        <f t="shared" si="281"/>
        <v>0</v>
      </c>
      <c r="AD537" s="21">
        <f t="shared" si="281"/>
        <v>0</v>
      </c>
      <c r="AE537" s="21">
        <f t="shared" si="281"/>
        <v>0</v>
      </c>
      <c r="AF537" s="21">
        <f t="shared" si="281"/>
        <v>0</v>
      </c>
      <c r="AG537" s="21">
        <f t="shared" si="281"/>
        <v>0</v>
      </c>
      <c r="AH537" s="21">
        <f t="shared" si="281"/>
        <v>0</v>
      </c>
      <c r="AI537" s="21">
        <f t="shared" si="281"/>
        <v>-0.51206594299233643</v>
      </c>
      <c r="AJ537" s="21">
        <f t="shared" si="281"/>
        <v>0</v>
      </c>
      <c r="AK537" s="21">
        <f t="shared" si="281"/>
        <v>0</v>
      </c>
      <c r="AL537" s="21">
        <f t="shared" si="281"/>
        <v>0</v>
      </c>
      <c r="AM537" s="21">
        <f t="shared" ref="AM537:BD537" si="282">MIN(AM535, 0)</f>
        <v>0</v>
      </c>
      <c r="AN537" s="21">
        <f t="shared" si="282"/>
        <v>0</v>
      </c>
      <c r="AO537" s="21">
        <f t="shared" si="282"/>
        <v>0</v>
      </c>
      <c r="AP537" s="21">
        <f t="shared" si="282"/>
        <v>0</v>
      </c>
      <c r="AQ537" s="21">
        <f t="shared" si="282"/>
        <v>0</v>
      </c>
      <c r="AR537" s="21">
        <f t="shared" si="282"/>
        <v>0</v>
      </c>
      <c r="AS537" s="21">
        <f t="shared" si="282"/>
        <v>0</v>
      </c>
      <c r="AT537" s="21">
        <f t="shared" si="282"/>
        <v>0</v>
      </c>
      <c r="AU537" s="21">
        <f t="shared" si="282"/>
        <v>0</v>
      </c>
      <c r="AV537" s="21">
        <f t="shared" si="282"/>
        <v>0</v>
      </c>
      <c r="AW537" s="21">
        <f t="shared" si="282"/>
        <v>0</v>
      </c>
      <c r="AX537" s="21">
        <f t="shared" si="282"/>
        <v>0</v>
      </c>
      <c r="AY537" s="21">
        <f t="shared" si="282"/>
        <v>0</v>
      </c>
      <c r="AZ537" s="21">
        <f t="shared" si="282"/>
        <v>0</v>
      </c>
      <c r="BA537" s="21">
        <f t="shared" si="282"/>
        <v>0</v>
      </c>
      <c r="BB537" s="21">
        <f t="shared" si="282"/>
        <v>0</v>
      </c>
      <c r="BC537" s="21">
        <f t="shared" si="282"/>
        <v>0</v>
      </c>
      <c r="BD537" s="21">
        <f t="shared" si="282"/>
        <v>0</v>
      </c>
    </row>
    <row r="538" spans="3:56" ht="15" customHeight="1">
      <c r="C538" s="21"/>
      <c r="E538" s="18"/>
      <c r="F538" s="214"/>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row>
    <row r="539" spans="3:56" ht="15" customHeight="1">
      <c r="C539" s="21"/>
      <c r="D539" s="11" t="s">
        <v>561</v>
      </c>
      <c r="E539" s="18"/>
      <c r="F539" s="214"/>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row>
    <row r="540" spans="3:56" ht="15" customHeight="1">
      <c r="C540" s="21">
        <f t="shared" si="271"/>
        <v>797.28437346906867</v>
      </c>
      <c r="D540" s="11" t="s">
        <v>562</v>
      </c>
      <c r="E540" s="18" t="s">
        <v>333</v>
      </c>
      <c r="F540" s="214"/>
      <c r="G540" s="21">
        <f>F545</f>
        <v>0</v>
      </c>
      <c r="H540" s="21">
        <f t="shared" ref="H540:BD540" si="283">G545</f>
        <v>20</v>
      </c>
      <c r="I540" s="21">
        <f t="shared" si="283"/>
        <v>40.4</v>
      </c>
      <c r="J540" s="21">
        <f t="shared" si="283"/>
        <v>82.341125000000005</v>
      </c>
      <c r="K540" s="21">
        <f t="shared" si="283"/>
        <v>253.46091499999997</v>
      </c>
      <c r="L540" s="21">
        <f t="shared" si="283"/>
        <v>272.60553492439993</v>
      </c>
      <c r="M540" s="21">
        <f t="shared" si="283"/>
        <v>117.72341374183031</v>
      </c>
      <c r="N540" s="21">
        <f t="shared" si="283"/>
        <v>0</v>
      </c>
      <c r="O540" s="21">
        <f t="shared" si="283"/>
        <v>0</v>
      </c>
      <c r="P540" s="21">
        <f t="shared" si="283"/>
        <v>0</v>
      </c>
      <c r="Q540" s="21">
        <f t="shared" si="283"/>
        <v>0</v>
      </c>
      <c r="R540" s="21">
        <f t="shared" si="283"/>
        <v>0</v>
      </c>
      <c r="S540" s="21">
        <f t="shared" si="283"/>
        <v>0</v>
      </c>
      <c r="T540" s="21">
        <f t="shared" si="283"/>
        <v>0</v>
      </c>
      <c r="U540" s="21">
        <f t="shared" si="283"/>
        <v>0</v>
      </c>
      <c r="V540" s="21">
        <f t="shared" si="283"/>
        <v>0</v>
      </c>
      <c r="W540" s="21">
        <f t="shared" si="283"/>
        <v>0</v>
      </c>
      <c r="X540" s="21">
        <f t="shared" si="283"/>
        <v>0</v>
      </c>
      <c r="Y540" s="21">
        <f t="shared" si="283"/>
        <v>0</v>
      </c>
      <c r="Z540" s="21">
        <f t="shared" si="283"/>
        <v>0</v>
      </c>
      <c r="AA540" s="21">
        <f t="shared" si="283"/>
        <v>0</v>
      </c>
      <c r="AB540" s="21">
        <f t="shared" si="283"/>
        <v>0</v>
      </c>
      <c r="AC540" s="21">
        <f t="shared" si="283"/>
        <v>0</v>
      </c>
      <c r="AD540" s="21">
        <f t="shared" si="283"/>
        <v>0</v>
      </c>
      <c r="AE540" s="21">
        <f t="shared" si="283"/>
        <v>0</v>
      </c>
      <c r="AF540" s="21">
        <f t="shared" si="283"/>
        <v>0</v>
      </c>
      <c r="AG540" s="21">
        <f t="shared" si="283"/>
        <v>0</v>
      </c>
      <c r="AH540" s="21">
        <f t="shared" si="283"/>
        <v>0</v>
      </c>
      <c r="AI540" s="21">
        <f t="shared" si="283"/>
        <v>0</v>
      </c>
      <c r="AJ540" s="21">
        <f t="shared" si="283"/>
        <v>0.51206594299233643</v>
      </c>
      <c r="AK540" s="21">
        <f t="shared" si="283"/>
        <v>0.51206594299233643</v>
      </c>
      <c r="AL540" s="21">
        <f t="shared" si="283"/>
        <v>0.51206594299233643</v>
      </c>
      <c r="AM540" s="21">
        <f t="shared" si="283"/>
        <v>0.51206594299233643</v>
      </c>
      <c r="AN540" s="21">
        <f t="shared" si="283"/>
        <v>0.51206594299233643</v>
      </c>
      <c r="AO540" s="21">
        <f t="shared" si="283"/>
        <v>0.51206594299233643</v>
      </c>
      <c r="AP540" s="21">
        <f t="shared" si="283"/>
        <v>0.51206594299233643</v>
      </c>
      <c r="AQ540" s="21">
        <f t="shared" si="283"/>
        <v>0.51206594299233643</v>
      </c>
      <c r="AR540" s="21">
        <f t="shared" si="283"/>
        <v>0.51206594299233643</v>
      </c>
      <c r="AS540" s="21">
        <f t="shared" si="283"/>
        <v>0.51206594299233643</v>
      </c>
      <c r="AT540" s="21">
        <f t="shared" si="283"/>
        <v>0.51206594299233643</v>
      </c>
      <c r="AU540" s="21">
        <f t="shared" si="283"/>
        <v>0.51206594299233643</v>
      </c>
      <c r="AV540" s="21">
        <f t="shared" si="283"/>
        <v>0.51206594299233643</v>
      </c>
      <c r="AW540" s="21">
        <f t="shared" si="283"/>
        <v>0.51206594299233643</v>
      </c>
      <c r="AX540" s="21">
        <f t="shared" si="283"/>
        <v>0.51206594299233643</v>
      </c>
      <c r="AY540" s="21">
        <f t="shared" si="283"/>
        <v>0.51206594299233643</v>
      </c>
      <c r="AZ540" s="21">
        <f t="shared" si="283"/>
        <v>0.51206594299233643</v>
      </c>
      <c r="BA540" s="21">
        <f t="shared" si="283"/>
        <v>0.51206594299233643</v>
      </c>
      <c r="BB540" s="21">
        <f t="shared" si="283"/>
        <v>0.51206594299233643</v>
      </c>
      <c r="BC540" s="21">
        <f t="shared" si="283"/>
        <v>0.51206594299233643</v>
      </c>
      <c r="BD540" s="21">
        <f t="shared" si="283"/>
        <v>0.51206594299233643</v>
      </c>
    </row>
    <row r="541" spans="3:56" ht="15" customHeight="1">
      <c r="C541" s="21">
        <f t="shared" si="271"/>
        <v>273.1176008673923</v>
      </c>
      <c r="D541" s="11" t="s">
        <v>563</v>
      </c>
      <c r="E541" s="18" t="s">
        <v>333</v>
      </c>
      <c r="F541" s="214"/>
      <c r="G541" s="21">
        <f>-G537</f>
        <v>20</v>
      </c>
      <c r="H541" s="21">
        <f t="shared" ref="H541:BD541" si="284">-H537</f>
        <v>20.399999999999999</v>
      </c>
      <c r="I541" s="21">
        <f t="shared" si="284"/>
        <v>41.941125</v>
      </c>
      <c r="J541" s="21">
        <f t="shared" si="284"/>
        <v>171.11978999999997</v>
      </c>
      <c r="K541" s="21">
        <f t="shared" si="284"/>
        <v>19.144619924399976</v>
      </c>
      <c r="L541" s="21">
        <f t="shared" si="284"/>
        <v>0</v>
      </c>
      <c r="M541" s="21">
        <f t="shared" si="284"/>
        <v>0</v>
      </c>
      <c r="N541" s="21">
        <f t="shared" si="284"/>
        <v>0</v>
      </c>
      <c r="O541" s="21">
        <f t="shared" si="284"/>
        <v>0</v>
      </c>
      <c r="P541" s="21">
        <f t="shared" si="284"/>
        <v>0</v>
      </c>
      <c r="Q541" s="21">
        <f t="shared" si="284"/>
        <v>0</v>
      </c>
      <c r="R541" s="21">
        <f t="shared" si="284"/>
        <v>0</v>
      </c>
      <c r="S541" s="21">
        <f t="shared" si="284"/>
        <v>0</v>
      </c>
      <c r="T541" s="21">
        <f t="shared" si="284"/>
        <v>0</v>
      </c>
      <c r="U541" s="21">
        <f t="shared" si="284"/>
        <v>0</v>
      </c>
      <c r="V541" s="21">
        <f t="shared" si="284"/>
        <v>0</v>
      </c>
      <c r="W541" s="21">
        <f t="shared" si="284"/>
        <v>0</v>
      </c>
      <c r="X541" s="21">
        <f t="shared" si="284"/>
        <v>0</v>
      </c>
      <c r="Y541" s="21">
        <f t="shared" si="284"/>
        <v>0</v>
      </c>
      <c r="Z541" s="21">
        <f t="shared" si="284"/>
        <v>0</v>
      </c>
      <c r="AA541" s="21">
        <f t="shared" si="284"/>
        <v>0</v>
      </c>
      <c r="AB541" s="21">
        <f t="shared" si="284"/>
        <v>0</v>
      </c>
      <c r="AC541" s="21">
        <f t="shared" si="284"/>
        <v>0</v>
      </c>
      <c r="AD541" s="21">
        <f t="shared" si="284"/>
        <v>0</v>
      </c>
      <c r="AE541" s="21">
        <f t="shared" si="284"/>
        <v>0</v>
      </c>
      <c r="AF541" s="21">
        <f t="shared" si="284"/>
        <v>0</v>
      </c>
      <c r="AG541" s="21">
        <f t="shared" si="284"/>
        <v>0</v>
      </c>
      <c r="AH541" s="21">
        <f t="shared" si="284"/>
        <v>0</v>
      </c>
      <c r="AI541" s="21">
        <f t="shared" si="284"/>
        <v>0.51206594299233643</v>
      </c>
      <c r="AJ541" s="21">
        <f t="shared" si="284"/>
        <v>0</v>
      </c>
      <c r="AK541" s="21">
        <f t="shared" si="284"/>
        <v>0</v>
      </c>
      <c r="AL541" s="21">
        <f t="shared" si="284"/>
        <v>0</v>
      </c>
      <c r="AM541" s="21">
        <f t="shared" si="284"/>
        <v>0</v>
      </c>
      <c r="AN541" s="21">
        <f t="shared" si="284"/>
        <v>0</v>
      </c>
      <c r="AO541" s="21">
        <f t="shared" si="284"/>
        <v>0</v>
      </c>
      <c r="AP541" s="21">
        <f t="shared" si="284"/>
        <v>0</v>
      </c>
      <c r="AQ541" s="21">
        <f t="shared" si="284"/>
        <v>0</v>
      </c>
      <c r="AR541" s="21">
        <f t="shared" si="284"/>
        <v>0</v>
      </c>
      <c r="AS541" s="21">
        <f t="shared" si="284"/>
        <v>0</v>
      </c>
      <c r="AT541" s="21">
        <f t="shared" si="284"/>
        <v>0</v>
      </c>
      <c r="AU541" s="21">
        <f t="shared" si="284"/>
        <v>0</v>
      </c>
      <c r="AV541" s="21">
        <f t="shared" si="284"/>
        <v>0</v>
      </c>
      <c r="AW541" s="21">
        <f t="shared" si="284"/>
        <v>0</v>
      </c>
      <c r="AX541" s="21">
        <f t="shared" si="284"/>
        <v>0</v>
      </c>
      <c r="AY541" s="21">
        <f t="shared" si="284"/>
        <v>0</v>
      </c>
      <c r="AZ541" s="21">
        <f t="shared" si="284"/>
        <v>0</v>
      </c>
      <c r="BA541" s="21">
        <f t="shared" si="284"/>
        <v>0</v>
      </c>
      <c r="BB541" s="21">
        <f t="shared" si="284"/>
        <v>0</v>
      </c>
      <c r="BC541" s="21">
        <f t="shared" si="284"/>
        <v>0</v>
      </c>
      <c r="BD541" s="21">
        <f t="shared" si="284"/>
        <v>0</v>
      </c>
    </row>
    <row r="542" spans="3:56" ht="15" customHeight="1">
      <c r="C542" s="21">
        <f t="shared" si="271"/>
        <v>1070.4019743364634</v>
      </c>
      <c r="D542" s="11" t="s">
        <v>564</v>
      </c>
      <c r="E542" s="18" t="s">
        <v>333</v>
      </c>
      <c r="F542" s="214"/>
      <c r="G542" s="21">
        <f>SUM(G540:G541)</f>
        <v>20</v>
      </c>
      <c r="H542" s="21">
        <f t="shared" ref="H542:BD542" si="285">SUM(H540:H541)</f>
        <v>40.4</v>
      </c>
      <c r="I542" s="21">
        <f t="shared" si="285"/>
        <v>82.341125000000005</v>
      </c>
      <c r="J542" s="21">
        <f t="shared" si="285"/>
        <v>253.46091499999997</v>
      </c>
      <c r="K542" s="21">
        <f t="shared" si="285"/>
        <v>272.60553492439993</v>
      </c>
      <c r="L542" s="21">
        <f t="shared" si="285"/>
        <v>272.60553492439993</v>
      </c>
      <c r="M542" s="21">
        <f t="shared" si="285"/>
        <v>117.72341374183031</v>
      </c>
      <c r="N542" s="21">
        <f t="shared" si="285"/>
        <v>0</v>
      </c>
      <c r="O542" s="21">
        <f t="shared" si="285"/>
        <v>0</v>
      </c>
      <c r="P542" s="21">
        <f t="shared" si="285"/>
        <v>0</v>
      </c>
      <c r="Q542" s="21">
        <f t="shared" si="285"/>
        <v>0</v>
      </c>
      <c r="R542" s="21">
        <f t="shared" si="285"/>
        <v>0</v>
      </c>
      <c r="S542" s="21">
        <f t="shared" si="285"/>
        <v>0</v>
      </c>
      <c r="T542" s="21">
        <f t="shared" si="285"/>
        <v>0</v>
      </c>
      <c r="U542" s="21">
        <f t="shared" si="285"/>
        <v>0</v>
      </c>
      <c r="V542" s="21">
        <f t="shared" si="285"/>
        <v>0</v>
      </c>
      <c r="W542" s="21">
        <f t="shared" si="285"/>
        <v>0</v>
      </c>
      <c r="X542" s="21">
        <f t="shared" si="285"/>
        <v>0</v>
      </c>
      <c r="Y542" s="21">
        <f t="shared" si="285"/>
        <v>0</v>
      </c>
      <c r="Z542" s="21">
        <f t="shared" si="285"/>
        <v>0</v>
      </c>
      <c r="AA542" s="21">
        <f t="shared" si="285"/>
        <v>0</v>
      </c>
      <c r="AB542" s="21">
        <f t="shared" si="285"/>
        <v>0</v>
      </c>
      <c r="AC542" s="21">
        <f t="shared" si="285"/>
        <v>0</v>
      </c>
      <c r="AD542" s="21">
        <f t="shared" si="285"/>
        <v>0</v>
      </c>
      <c r="AE542" s="21">
        <f t="shared" si="285"/>
        <v>0</v>
      </c>
      <c r="AF542" s="21">
        <f t="shared" si="285"/>
        <v>0</v>
      </c>
      <c r="AG542" s="21">
        <f t="shared" si="285"/>
        <v>0</v>
      </c>
      <c r="AH542" s="21">
        <f t="shared" si="285"/>
        <v>0</v>
      </c>
      <c r="AI542" s="21">
        <f t="shared" si="285"/>
        <v>0.51206594299233643</v>
      </c>
      <c r="AJ542" s="21">
        <f t="shared" si="285"/>
        <v>0.51206594299233643</v>
      </c>
      <c r="AK542" s="21">
        <f t="shared" si="285"/>
        <v>0.51206594299233643</v>
      </c>
      <c r="AL542" s="21">
        <f t="shared" si="285"/>
        <v>0.51206594299233643</v>
      </c>
      <c r="AM542" s="21">
        <f t="shared" si="285"/>
        <v>0.51206594299233643</v>
      </c>
      <c r="AN542" s="21">
        <f t="shared" si="285"/>
        <v>0.51206594299233643</v>
      </c>
      <c r="AO542" s="21">
        <f t="shared" si="285"/>
        <v>0.51206594299233643</v>
      </c>
      <c r="AP542" s="21">
        <f t="shared" si="285"/>
        <v>0.51206594299233643</v>
      </c>
      <c r="AQ542" s="21">
        <f t="shared" si="285"/>
        <v>0.51206594299233643</v>
      </c>
      <c r="AR542" s="21">
        <f t="shared" si="285"/>
        <v>0.51206594299233643</v>
      </c>
      <c r="AS542" s="21">
        <f t="shared" si="285"/>
        <v>0.51206594299233643</v>
      </c>
      <c r="AT542" s="21">
        <f t="shared" si="285"/>
        <v>0.51206594299233643</v>
      </c>
      <c r="AU542" s="21">
        <f t="shared" si="285"/>
        <v>0.51206594299233643</v>
      </c>
      <c r="AV542" s="21">
        <f t="shared" si="285"/>
        <v>0.51206594299233643</v>
      </c>
      <c r="AW542" s="21">
        <f t="shared" si="285"/>
        <v>0.51206594299233643</v>
      </c>
      <c r="AX542" s="21">
        <f t="shared" si="285"/>
        <v>0.51206594299233643</v>
      </c>
      <c r="AY542" s="21">
        <f t="shared" si="285"/>
        <v>0.51206594299233643</v>
      </c>
      <c r="AZ542" s="21">
        <f t="shared" si="285"/>
        <v>0.51206594299233643</v>
      </c>
      <c r="BA542" s="21">
        <f t="shared" si="285"/>
        <v>0.51206594299233643</v>
      </c>
      <c r="BB542" s="21">
        <f t="shared" si="285"/>
        <v>0.51206594299233643</v>
      </c>
      <c r="BC542" s="21">
        <f t="shared" si="285"/>
        <v>0.51206594299233643</v>
      </c>
      <c r="BD542" s="21">
        <f t="shared" si="285"/>
        <v>0.51206594299233643</v>
      </c>
    </row>
    <row r="543" spans="3:56" ht="15" customHeight="1">
      <c r="C543" s="21">
        <f t="shared" si="271"/>
        <v>4818.8418580445623</v>
      </c>
      <c r="D543" s="11" t="s">
        <v>565</v>
      </c>
      <c r="E543" s="18" t="s">
        <v>333</v>
      </c>
      <c r="F543" s="214"/>
      <c r="G543" s="21">
        <f t="shared" ref="G543:AL543" si="286">MAX(0, G535)</f>
        <v>0</v>
      </c>
      <c r="H543" s="21">
        <f t="shared" si="286"/>
        <v>0</v>
      </c>
      <c r="I543" s="21">
        <f t="shared" si="286"/>
        <v>0</v>
      </c>
      <c r="J543" s="21">
        <f t="shared" si="286"/>
        <v>0</v>
      </c>
      <c r="K543" s="21">
        <f t="shared" si="286"/>
        <v>0</v>
      </c>
      <c r="L543" s="21">
        <f t="shared" si="286"/>
        <v>154.88212118256962</v>
      </c>
      <c r="M543" s="21">
        <f t="shared" si="286"/>
        <v>149.08492179065067</v>
      </c>
      <c r="N543" s="21">
        <f t="shared" si="286"/>
        <v>157.46644654345556</v>
      </c>
      <c r="O543" s="21">
        <f t="shared" si="286"/>
        <v>165.96870288981273</v>
      </c>
      <c r="P543" s="21">
        <f t="shared" si="286"/>
        <v>187.81363594159302</v>
      </c>
      <c r="Q543" s="21">
        <f t="shared" si="286"/>
        <v>191.56990866042494</v>
      </c>
      <c r="R543" s="21">
        <f t="shared" si="286"/>
        <v>195.40130683363327</v>
      </c>
      <c r="S543" s="21">
        <f t="shared" si="286"/>
        <v>199.30933297030606</v>
      </c>
      <c r="T543" s="21">
        <f t="shared" si="286"/>
        <v>203.29551962971215</v>
      </c>
      <c r="U543" s="21">
        <f t="shared" si="286"/>
        <v>207.36143002230639</v>
      </c>
      <c r="V543" s="21">
        <f t="shared" si="286"/>
        <v>211.50865862275245</v>
      </c>
      <c r="W543" s="21">
        <f t="shared" si="286"/>
        <v>215.7388317952076</v>
      </c>
      <c r="X543" s="21">
        <f t="shared" si="286"/>
        <v>220.0536084311118</v>
      </c>
      <c r="Y543" s="21">
        <f t="shared" si="286"/>
        <v>222.8641336422059</v>
      </c>
      <c r="Z543" s="21">
        <f t="shared" si="286"/>
        <v>227.31764213582863</v>
      </c>
      <c r="AA543" s="21">
        <f t="shared" si="286"/>
        <v>231.85533468883986</v>
      </c>
      <c r="AB543" s="21">
        <f t="shared" si="286"/>
        <v>236.47724673449051</v>
      </c>
      <c r="AC543" s="21">
        <f t="shared" si="286"/>
        <v>241.18247643235327</v>
      </c>
      <c r="AD543" s="21">
        <f t="shared" si="286"/>
        <v>243.26392413055652</v>
      </c>
      <c r="AE543" s="21">
        <f t="shared" si="286"/>
        <v>248.06957348663406</v>
      </c>
      <c r="AF543" s="21">
        <f t="shared" si="286"/>
        <v>252.93077009626188</v>
      </c>
      <c r="AG543" s="21">
        <f t="shared" si="286"/>
        <v>290.12869078219131</v>
      </c>
      <c r="AH543" s="21">
        <f t="shared" si="286"/>
        <v>165.2976406016638</v>
      </c>
      <c r="AI543" s="21">
        <f t="shared" si="286"/>
        <v>0</v>
      </c>
      <c r="AJ543" s="21">
        <f t="shared" si="286"/>
        <v>0</v>
      </c>
      <c r="AK543" s="21">
        <f t="shared" si="286"/>
        <v>0</v>
      </c>
      <c r="AL543" s="21">
        <f t="shared" si="286"/>
        <v>0</v>
      </c>
      <c r="AM543" s="21">
        <f t="shared" ref="AM543:BD543" si="287">MAX(0, AM535)</f>
        <v>0</v>
      </c>
      <c r="AN543" s="21">
        <f t="shared" si="287"/>
        <v>0</v>
      </c>
      <c r="AO543" s="21">
        <f t="shared" si="287"/>
        <v>0</v>
      </c>
      <c r="AP543" s="21">
        <f t="shared" si="287"/>
        <v>0</v>
      </c>
      <c r="AQ543" s="21">
        <f t="shared" si="287"/>
        <v>0</v>
      </c>
      <c r="AR543" s="21">
        <f t="shared" si="287"/>
        <v>0</v>
      </c>
      <c r="AS543" s="21">
        <f t="shared" si="287"/>
        <v>0</v>
      </c>
      <c r="AT543" s="21">
        <f t="shared" si="287"/>
        <v>0</v>
      </c>
      <c r="AU543" s="21">
        <f t="shared" si="287"/>
        <v>0</v>
      </c>
      <c r="AV543" s="21">
        <f t="shared" si="287"/>
        <v>0</v>
      </c>
      <c r="AW543" s="21">
        <f t="shared" si="287"/>
        <v>0</v>
      </c>
      <c r="AX543" s="21">
        <f t="shared" si="287"/>
        <v>0</v>
      </c>
      <c r="AY543" s="21">
        <f t="shared" si="287"/>
        <v>0</v>
      </c>
      <c r="AZ543" s="21">
        <f t="shared" si="287"/>
        <v>0</v>
      </c>
      <c r="BA543" s="21">
        <f t="shared" si="287"/>
        <v>0</v>
      </c>
      <c r="BB543" s="21">
        <f t="shared" si="287"/>
        <v>0</v>
      </c>
      <c r="BC543" s="21">
        <f t="shared" si="287"/>
        <v>0</v>
      </c>
      <c r="BD543" s="21">
        <f t="shared" si="287"/>
        <v>0</v>
      </c>
    </row>
    <row r="544" spans="3:56" ht="15" customHeight="1">
      <c r="C544" s="21">
        <f t="shared" si="271"/>
        <v>272.60553492439993</v>
      </c>
      <c r="D544" s="11" t="s">
        <v>566</v>
      </c>
      <c r="E544" s="18" t="s">
        <v>333</v>
      </c>
      <c r="F544" s="214"/>
      <c r="G544" s="21">
        <f>MIN(G542, G543)</f>
        <v>0</v>
      </c>
      <c r="H544" s="21">
        <f t="shared" ref="H544:BD544" si="288">MIN(H542, H543)</f>
        <v>0</v>
      </c>
      <c r="I544" s="21">
        <f t="shared" si="288"/>
        <v>0</v>
      </c>
      <c r="J544" s="21">
        <f t="shared" si="288"/>
        <v>0</v>
      </c>
      <c r="K544" s="21">
        <f t="shared" si="288"/>
        <v>0</v>
      </c>
      <c r="L544" s="21">
        <f t="shared" si="288"/>
        <v>154.88212118256962</v>
      </c>
      <c r="M544" s="21">
        <f t="shared" si="288"/>
        <v>117.72341374183031</v>
      </c>
      <c r="N544" s="21">
        <f t="shared" si="288"/>
        <v>0</v>
      </c>
      <c r="O544" s="21">
        <f t="shared" si="288"/>
        <v>0</v>
      </c>
      <c r="P544" s="21">
        <f t="shared" si="288"/>
        <v>0</v>
      </c>
      <c r="Q544" s="21">
        <f t="shared" si="288"/>
        <v>0</v>
      </c>
      <c r="R544" s="21">
        <f t="shared" si="288"/>
        <v>0</v>
      </c>
      <c r="S544" s="21">
        <f t="shared" si="288"/>
        <v>0</v>
      </c>
      <c r="T544" s="21">
        <f t="shared" si="288"/>
        <v>0</v>
      </c>
      <c r="U544" s="21">
        <f t="shared" si="288"/>
        <v>0</v>
      </c>
      <c r="V544" s="21">
        <f t="shared" si="288"/>
        <v>0</v>
      </c>
      <c r="W544" s="21">
        <f t="shared" si="288"/>
        <v>0</v>
      </c>
      <c r="X544" s="21">
        <f t="shared" si="288"/>
        <v>0</v>
      </c>
      <c r="Y544" s="21">
        <f t="shared" si="288"/>
        <v>0</v>
      </c>
      <c r="Z544" s="21">
        <f t="shared" si="288"/>
        <v>0</v>
      </c>
      <c r="AA544" s="21">
        <f t="shared" si="288"/>
        <v>0</v>
      </c>
      <c r="AB544" s="21">
        <f t="shared" si="288"/>
        <v>0</v>
      </c>
      <c r="AC544" s="21">
        <f t="shared" si="288"/>
        <v>0</v>
      </c>
      <c r="AD544" s="21">
        <f t="shared" si="288"/>
        <v>0</v>
      </c>
      <c r="AE544" s="21">
        <f t="shared" si="288"/>
        <v>0</v>
      </c>
      <c r="AF544" s="21">
        <f t="shared" si="288"/>
        <v>0</v>
      </c>
      <c r="AG544" s="21">
        <f t="shared" si="288"/>
        <v>0</v>
      </c>
      <c r="AH544" s="21">
        <f t="shared" si="288"/>
        <v>0</v>
      </c>
      <c r="AI544" s="21">
        <f t="shared" si="288"/>
        <v>0</v>
      </c>
      <c r="AJ544" s="21">
        <f t="shared" si="288"/>
        <v>0</v>
      </c>
      <c r="AK544" s="21">
        <f t="shared" si="288"/>
        <v>0</v>
      </c>
      <c r="AL544" s="21">
        <f t="shared" si="288"/>
        <v>0</v>
      </c>
      <c r="AM544" s="21">
        <f t="shared" si="288"/>
        <v>0</v>
      </c>
      <c r="AN544" s="21">
        <f t="shared" si="288"/>
        <v>0</v>
      </c>
      <c r="AO544" s="21">
        <f t="shared" si="288"/>
        <v>0</v>
      </c>
      <c r="AP544" s="21">
        <f t="shared" si="288"/>
        <v>0</v>
      </c>
      <c r="AQ544" s="21">
        <f t="shared" si="288"/>
        <v>0</v>
      </c>
      <c r="AR544" s="21">
        <f t="shared" si="288"/>
        <v>0</v>
      </c>
      <c r="AS544" s="21">
        <f t="shared" si="288"/>
        <v>0</v>
      </c>
      <c r="AT544" s="21">
        <f t="shared" si="288"/>
        <v>0</v>
      </c>
      <c r="AU544" s="21">
        <f t="shared" si="288"/>
        <v>0</v>
      </c>
      <c r="AV544" s="21">
        <f t="shared" si="288"/>
        <v>0</v>
      </c>
      <c r="AW544" s="21">
        <f t="shared" si="288"/>
        <v>0</v>
      </c>
      <c r="AX544" s="21">
        <f t="shared" si="288"/>
        <v>0</v>
      </c>
      <c r="AY544" s="21">
        <f t="shared" si="288"/>
        <v>0</v>
      </c>
      <c r="AZ544" s="21">
        <f t="shared" si="288"/>
        <v>0</v>
      </c>
      <c r="BA544" s="21">
        <f t="shared" si="288"/>
        <v>0</v>
      </c>
      <c r="BB544" s="21">
        <f t="shared" si="288"/>
        <v>0</v>
      </c>
      <c r="BC544" s="21">
        <f t="shared" si="288"/>
        <v>0</v>
      </c>
      <c r="BD544" s="21">
        <f t="shared" si="288"/>
        <v>0</v>
      </c>
    </row>
    <row r="545" spans="1:57" ht="15" customHeight="1">
      <c r="C545" s="21">
        <f t="shared" si="271"/>
        <v>797.79643941206098</v>
      </c>
      <c r="D545" s="11" t="s">
        <v>567</v>
      </c>
      <c r="E545" s="18" t="s">
        <v>333</v>
      </c>
      <c r="F545" s="214"/>
      <c r="G545" s="21">
        <f>G542 - G544</f>
        <v>20</v>
      </c>
      <c r="H545" s="21">
        <f t="shared" ref="H545:BD545" si="289">H542 - H544</f>
        <v>40.4</v>
      </c>
      <c r="I545" s="21">
        <f t="shared" si="289"/>
        <v>82.341125000000005</v>
      </c>
      <c r="J545" s="21">
        <f t="shared" si="289"/>
        <v>253.46091499999997</v>
      </c>
      <c r="K545" s="21">
        <f t="shared" si="289"/>
        <v>272.60553492439993</v>
      </c>
      <c r="L545" s="21">
        <f t="shared" si="289"/>
        <v>117.72341374183031</v>
      </c>
      <c r="M545" s="21">
        <f t="shared" si="289"/>
        <v>0</v>
      </c>
      <c r="N545" s="21">
        <f t="shared" si="289"/>
        <v>0</v>
      </c>
      <c r="O545" s="21">
        <f t="shared" si="289"/>
        <v>0</v>
      </c>
      <c r="P545" s="21">
        <f t="shared" si="289"/>
        <v>0</v>
      </c>
      <c r="Q545" s="21">
        <f t="shared" si="289"/>
        <v>0</v>
      </c>
      <c r="R545" s="21">
        <f t="shared" si="289"/>
        <v>0</v>
      </c>
      <c r="S545" s="21">
        <f t="shared" si="289"/>
        <v>0</v>
      </c>
      <c r="T545" s="21">
        <f t="shared" si="289"/>
        <v>0</v>
      </c>
      <c r="U545" s="21">
        <f t="shared" si="289"/>
        <v>0</v>
      </c>
      <c r="V545" s="21">
        <f t="shared" si="289"/>
        <v>0</v>
      </c>
      <c r="W545" s="21">
        <f t="shared" si="289"/>
        <v>0</v>
      </c>
      <c r="X545" s="21">
        <f t="shared" si="289"/>
        <v>0</v>
      </c>
      <c r="Y545" s="21">
        <f t="shared" si="289"/>
        <v>0</v>
      </c>
      <c r="Z545" s="21">
        <f t="shared" si="289"/>
        <v>0</v>
      </c>
      <c r="AA545" s="21">
        <f t="shared" si="289"/>
        <v>0</v>
      </c>
      <c r="AB545" s="21">
        <f t="shared" si="289"/>
        <v>0</v>
      </c>
      <c r="AC545" s="21">
        <f t="shared" si="289"/>
        <v>0</v>
      </c>
      <c r="AD545" s="21">
        <f t="shared" si="289"/>
        <v>0</v>
      </c>
      <c r="AE545" s="21">
        <f t="shared" si="289"/>
        <v>0</v>
      </c>
      <c r="AF545" s="21">
        <f t="shared" si="289"/>
        <v>0</v>
      </c>
      <c r="AG545" s="21">
        <f t="shared" si="289"/>
        <v>0</v>
      </c>
      <c r="AH545" s="21">
        <f t="shared" si="289"/>
        <v>0</v>
      </c>
      <c r="AI545" s="21">
        <f t="shared" si="289"/>
        <v>0.51206594299233643</v>
      </c>
      <c r="AJ545" s="21">
        <f t="shared" si="289"/>
        <v>0.51206594299233643</v>
      </c>
      <c r="AK545" s="21">
        <f t="shared" si="289"/>
        <v>0.51206594299233643</v>
      </c>
      <c r="AL545" s="21">
        <f t="shared" si="289"/>
        <v>0.51206594299233643</v>
      </c>
      <c r="AM545" s="21">
        <f t="shared" si="289"/>
        <v>0.51206594299233643</v>
      </c>
      <c r="AN545" s="21">
        <f t="shared" si="289"/>
        <v>0.51206594299233643</v>
      </c>
      <c r="AO545" s="21">
        <f t="shared" si="289"/>
        <v>0.51206594299233643</v>
      </c>
      <c r="AP545" s="21">
        <f t="shared" si="289"/>
        <v>0.51206594299233643</v>
      </c>
      <c r="AQ545" s="21">
        <f t="shared" si="289"/>
        <v>0.51206594299233643</v>
      </c>
      <c r="AR545" s="21">
        <f t="shared" si="289"/>
        <v>0.51206594299233643</v>
      </c>
      <c r="AS545" s="21">
        <f t="shared" si="289"/>
        <v>0.51206594299233643</v>
      </c>
      <c r="AT545" s="21">
        <f t="shared" si="289"/>
        <v>0.51206594299233643</v>
      </c>
      <c r="AU545" s="21">
        <f t="shared" si="289"/>
        <v>0.51206594299233643</v>
      </c>
      <c r="AV545" s="21">
        <f t="shared" si="289"/>
        <v>0.51206594299233643</v>
      </c>
      <c r="AW545" s="21">
        <f t="shared" si="289"/>
        <v>0.51206594299233643</v>
      </c>
      <c r="AX545" s="21">
        <f t="shared" si="289"/>
        <v>0.51206594299233643</v>
      </c>
      <c r="AY545" s="21">
        <f t="shared" si="289"/>
        <v>0.51206594299233643</v>
      </c>
      <c r="AZ545" s="21">
        <f t="shared" si="289"/>
        <v>0.51206594299233643</v>
      </c>
      <c r="BA545" s="21">
        <f t="shared" si="289"/>
        <v>0.51206594299233643</v>
      </c>
      <c r="BB545" s="21">
        <f t="shared" si="289"/>
        <v>0.51206594299233643</v>
      </c>
      <c r="BC545" s="21">
        <f t="shared" si="289"/>
        <v>0.51206594299233643</v>
      </c>
      <c r="BD545" s="21">
        <f t="shared" si="289"/>
        <v>0.51206594299233643</v>
      </c>
    </row>
    <row r="546" spans="1:57" ht="15" customHeight="1">
      <c r="C546" s="21"/>
      <c r="E546" s="18"/>
      <c r="F546" s="214"/>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row>
    <row r="547" spans="1:57" ht="15" customHeight="1">
      <c r="C547" s="21">
        <f>SUM(G547:BD547)</f>
        <v>146719.29894107234</v>
      </c>
      <c r="D547" s="11" t="s">
        <v>568</v>
      </c>
      <c r="E547" s="18" t="s">
        <v>333</v>
      </c>
      <c r="G547" s="21">
        <f>SUM($G$535:G535)</f>
        <v>-20</v>
      </c>
      <c r="H547" s="21">
        <f>SUM($G$535:H535)</f>
        <v>-40.4</v>
      </c>
      <c r="I547" s="21">
        <f>SUM($G$535:I535)</f>
        <v>-82.341125000000005</v>
      </c>
      <c r="J547" s="21">
        <f>SUM($G$535:J535)</f>
        <v>-253.46091499999997</v>
      </c>
      <c r="K547" s="21">
        <f>SUM($G$535:K535)</f>
        <v>-272.60553492439993</v>
      </c>
      <c r="L547" s="21">
        <f>SUM($G$535:L535)</f>
        <v>-117.72341374183031</v>
      </c>
      <c r="M547" s="21">
        <f>SUM($G$535:M535)</f>
        <v>31.361508048820355</v>
      </c>
      <c r="N547" s="21">
        <f>SUM($G$535:N535)</f>
        <v>188.82795459227592</v>
      </c>
      <c r="O547" s="21">
        <f>SUM($G$535:O535)</f>
        <v>354.79665748208868</v>
      </c>
      <c r="P547" s="21">
        <f>SUM($G$535:P535)</f>
        <v>542.6102934236817</v>
      </c>
      <c r="Q547" s="21">
        <f>SUM($G$535:Q535)</f>
        <v>734.18020208410667</v>
      </c>
      <c r="R547" s="21">
        <f>SUM($G$535:R535)</f>
        <v>929.58150891773994</v>
      </c>
      <c r="S547" s="21">
        <f>SUM($G$535:S535)</f>
        <v>1128.890841888046</v>
      </c>
      <c r="T547" s="21">
        <f>SUM($G$535:T535)</f>
        <v>1332.1863615177581</v>
      </c>
      <c r="U547" s="21">
        <f>SUM($G$535:U535)</f>
        <v>1539.5477915400645</v>
      </c>
      <c r="V547" s="21">
        <f>SUM($G$535:V535)</f>
        <v>1751.0564501628169</v>
      </c>
      <c r="W547" s="21">
        <f>SUM($G$535:W535)</f>
        <v>1966.7952819580246</v>
      </c>
      <c r="X547" s="21">
        <f>SUM($G$535:X535)</f>
        <v>2186.8488903891366</v>
      </c>
      <c r="Y547" s="21">
        <f>SUM($G$535:Y535)</f>
        <v>2409.7130240313427</v>
      </c>
      <c r="Z547" s="21">
        <f>SUM($G$535:Z535)</f>
        <v>2637.0306661671711</v>
      </c>
      <c r="AA547" s="21">
        <f>SUM($G$535:AA535)</f>
        <v>2868.8860008560109</v>
      </c>
      <c r="AB547" s="21">
        <f>SUM($G$535:AB535)</f>
        <v>3105.3632475905015</v>
      </c>
      <c r="AC547" s="21">
        <f>SUM($G$535:AC535)</f>
        <v>3346.5457240228548</v>
      </c>
      <c r="AD547" s="21">
        <f>SUM($G$535:AD535)</f>
        <v>3589.8096481534112</v>
      </c>
      <c r="AE547" s="21">
        <f>SUM($G$535:AE535)</f>
        <v>3837.8792216400452</v>
      </c>
      <c r="AF547" s="21">
        <f>SUM($G$535:AF535)</f>
        <v>4090.809991736307</v>
      </c>
      <c r="AG547" s="21">
        <f>SUM($G$535:AG535)</f>
        <v>4380.9386825184984</v>
      </c>
      <c r="AH547" s="21">
        <f>SUM($G$535:AH535)</f>
        <v>4546.2363231201625</v>
      </c>
      <c r="AI547" s="21">
        <f>SUM($G$535:AI535)</f>
        <v>4545.7242571771703</v>
      </c>
      <c r="AJ547" s="21">
        <f>SUM($G$535:AJ535)</f>
        <v>4545.7242571771703</v>
      </c>
      <c r="AK547" s="21">
        <f>SUM($G$535:AK535)</f>
        <v>4545.7242571771703</v>
      </c>
      <c r="AL547" s="21">
        <f>SUM($G$535:AL535)</f>
        <v>4545.7242571771703</v>
      </c>
      <c r="AM547" s="21">
        <f>SUM($G$535:AM535)</f>
        <v>4545.7242571771703</v>
      </c>
      <c r="AN547" s="21">
        <f>SUM($G$535:AN535)</f>
        <v>4545.7242571771703</v>
      </c>
      <c r="AO547" s="21">
        <f>SUM($G$535:AO535)</f>
        <v>4545.7242571771703</v>
      </c>
      <c r="AP547" s="21">
        <f>SUM($G$535:AP535)</f>
        <v>4545.7242571771703</v>
      </c>
      <c r="AQ547" s="21">
        <f>SUM($G$535:AQ535)</f>
        <v>4545.7242571771703</v>
      </c>
      <c r="AR547" s="21">
        <f>SUM($G$535:AR535)</f>
        <v>4545.7242571771703</v>
      </c>
      <c r="AS547" s="21">
        <f>SUM($G$535:AS535)</f>
        <v>4545.7242571771703</v>
      </c>
      <c r="AT547" s="21">
        <f>SUM($G$535:AT535)</f>
        <v>4545.7242571771703</v>
      </c>
      <c r="AU547" s="21">
        <f>SUM($G$535:AU535)</f>
        <v>4545.7242571771703</v>
      </c>
      <c r="AV547" s="21">
        <f>SUM($G$535:AV535)</f>
        <v>4545.7242571771703</v>
      </c>
      <c r="AW547" s="21">
        <f>SUM($G$535:AW535)</f>
        <v>4545.7242571771703</v>
      </c>
      <c r="AX547" s="21">
        <f>SUM($G$535:AX535)</f>
        <v>4545.7242571771703</v>
      </c>
      <c r="AY547" s="21">
        <f>SUM($G$535:AY535)</f>
        <v>4545.7242571771703</v>
      </c>
      <c r="AZ547" s="21">
        <f>SUM($G$535:AZ535)</f>
        <v>4545.7242571771703</v>
      </c>
      <c r="BA547" s="21">
        <f>SUM($G$535:BA535)</f>
        <v>4545.7242571771703</v>
      </c>
      <c r="BB547" s="21">
        <f>SUM($G$535:BB535)</f>
        <v>4545.7242571771703</v>
      </c>
      <c r="BC547" s="21">
        <f>SUM($G$535:BC535)</f>
        <v>4545.7242571771703</v>
      </c>
      <c r="BD547" s="21">
        <f>SUM($G$535:BD535)</f>
        <v>4545.7242571771703</v>
      </c>
    </row>
    <row r="548" spans="1:57" ht="15" customHeight="1">
      <c r="C548" s="21">
        <f>SUM(G548:BD548)</f>
        <v>4546.2363231201625</v>
      </c>
      <c r="D548" s="11" t="s">
        <v>569</v>
      </c>
      <c r="E548" s="18" t="s">
        <v>333</v>
      </c>
      <c r="G548" s="116">
        <f t="shared" ref="G548:AL548" si="290">IF(G547&gt;0,MAX(0,MIN(G547,G535)),0)</f>
        <v>0</v>
      </c>
      <c r="H548" s="116">
        <f t="shared" si="290"/>
        <v>0</v>
      </c>
      <c r="I548" s="116">
        <f t="shared" si="290"/>
        <v>0</v>
      </c>
      <c r="J548" s="116">
        <f t="shared" si="290"/>
        <v>0</v>
      </c>
      <c r="K548" s="116">
        <f t="shared" si="290"/>
        <v>0</v>
      </c>
      <c r="L548" s="116">
        <f t="shared" si="290"/>
        <v>0</v>
      </c>
      <c r="M548" s="116">
        <f t="shared" si="290"/>
        <v>31.361508048820355</v>
      </c>
      <c r="N548" s="116">
        <f t="shared" si="290"/>
        <v>157.46644654345556</v>
      </c>
      <c r="O548" s="116">
        <f t="shared" si="290"/>
        <v>165.96870288981273</v>
      </c>
      <c r="P548" s="116">
        <f t="shared" si="290"/>
        <v>187.81363594159302</v>
      </c>
      <c r="Q548" s="116">
        <f t="shared" si="290"/>
        <v>191.56990866042494</v>
      </c>
      <c r="R548" s="116">
        <f t="shared" si="290"/>
        <v>195.40130683363327</v>
      </c>
      <c r="S548" s="116">
        <f t="shared" si="290"/>
        <v>199.30933297030606</v>
      </c>
      <c r="T548" s="116">
        <f t="shared" si="290"/>
        <v>203.29551962971215</v>
      </c>
      <c r="U548" s="116">
        <f t="shared" si="290"/>
        <v>207.36143002230639</v>
      </c>
      <c r="V548" s="116">
        <f t="shared" si="290"/>
        <v>211.50865862275245</v>
      </c>
      <c r="W548" s="116">
        <f t="shared" si="290"/>
        <v>215.7388317952076</v>
      </c>
      <c r="X548" s="116">
        <f t="shared" si="290"/>
        <v>220.0536084311118</v>
      </c>
      <c r="Y548" s="116">
        <f t="shared" si="290"/>
        <v>222.8641336422059</v>
      </c>
      <c r="Z548" s="116">
        <f t="shared" si="290"/>
        <v>227.31764213582863</v>
      </c>
      <c r="AA548" s="116">
        <f t="shared" si="290"/>
        <v>231.85533468883986</v>
      </c>
      <c r="AB548" s="116">
        <f t="shared" si="290"/>
        <v>236.47724673449051</v>
      </c>
      <c r="AC548" s="116">
        <f t="shared" si="290"/>
        <v>241.18247643235327</v>
      </c>
      <c r="AD548" s="116">
        <f t="shared" si="290"/>
        <v>243.26392413055652</v>
      </c>
      <c r="AE548" s="116">
        <f t="shared" si="290"/>
        <v>248.06957348663406</v>
      </c>
      <c r="AF548" s="116">
        <f t="shared" si="290"/>
        <v>252.93077009626188</v>
      </c>
      <c r="AG548" s="116">
        <f t="shared" si="290"/>
        <v>290.12869078219131</v>
      </c>
      <c r="AH548" s="116">
        <f t="shared" si="290"/>
        <v>165.2976406016638</v>
      </c>
      <c r="AI548" s="116">
        <f t="shared" si="290"/>
        <v>0</v>
      </c>
      <c r="AJ548" s="116">
        <f t="shared" si="290"/>
        <v>0</v>
      </c>
      <c r="AK548" s="116">
        <f t="shared" si="290"/>
        <v>0</v>
      </c>
      <c r="AL548" s="116">
        <f t="shared" si="290"/>
        <v>0</v>
      </c>
      <c r="AM548" s="116">
        <f t="shared" ref="AM548:BD548" si="291">IF(AM547&gt;0,MAX(0,MIN(AM547,AM535)),0)</f>
        <v>0</v>
      </c>
      <c r="AN548" s="116">
        <f t="shared" si="291"/>
        <v>0</v>
      </c>
      <c r="AO548" s="116">
        <f t="shared" si="291"/>
        <v>0</v>
      </c>
      <c r="AP548" s="116">
        <f t="shared" si="291"/>
        <v>0</v>
      </c>
      <c r="AQ548" s="116">
        <f t="shared" si="291"/>
        <v>0</v>
      </c>
      <c r="AR548" s="116">
        <f t="shared" si="291"/>
        <v>0</v>
      </c>
      <c r="AS548" s="116">
        <f t="shared" si="291"/>
        <v>0</v>
      </c>
      <c r="AT548" s="116">
        <f t="shared" si="291"/>
        <v>0</v>
      </c>
      <c r="AU548" s="116">
        <f t="shared" si="291"/>
        <v>0</v>
      </c>
      <c r="AV548" s="116">
        <f t="shared" si="291"/>
        <v>0</v>
      </c>
      <c r="AW548" s="116">
        <f t="shared" si="291"/>
        <v>0</v>
      </c>
      <c r="AX548" s="116">
        <f t="shared" si="291"/>
        <v>0</v>
      </c>
      <c r="AY548" s="116">
        <f t="shared" si="291"/>
        <v>0</v>
      </c>
      <c r="AZ548" s="116">
        <f t="shared" si="291"/>
        <v>0</v>
      </c>
      <c r="BA548" s="116">
        <f t="shared" si="291"/>
        <v>0</v>
      </c>
      <c r="BB548" s="116">
        <f t="shared" si="291"/>
        <v>0</v>
      </c>
      <c r="BC548" s="116">
        <f t="shared" si="291"/>
        <v>0</v>
      </c>
      <c r="BD548" s="116">
        <f t="shared" si="291"/>
        <v>0</v>
      </c>
    </row>
    <row r="549" spans="1:57" ht="15" customHeight="1">
      <c r="C549" s="21"/>
      <c r="E549" s="18"/>
      <c r="G549" s="116"/>
      <c r="H549" s="116"/>
      <c r="I549" s="116"/>
      <c r="J549" s="116"/>
      <c r="K549" s="116"/>
      <c r="L549" s="116"/>
      <c r="M549" s="116"/>
      <c r="N549" s="116"/>
      <c r="O549" s="116"/>
      <c r="P549" s="116"/>
      <c r="Q549" s="116"/>
      <c r="R549" s="116"/>
      <c r="S549" s="116"/>
      <c r="T549" s="116"/>
      <c r="U549" s="116"/>
      <c r="V549" s="116"/>
      <c r="W549" s="116"/>
      <c r="X549" s="116"/>
      <c r="Y549" s="116"/>
      <c r="Z549" s="116"/>
      <c r="AA549" s="116"/>
      <c r="AB549" s="116"/>
      <c r="AC549" s="116"/>
      <c r="AD549" s="116"/>
      <c r="AE549" s="116"/>
      <c r="AF549" s="116"/>
      <c r="AG549" s="116"/>
      <c r="AH549" s="116"/>
      <c r="AI549" s="116"/>
      <c r="AJ549" s="116"/>
      <c r="AK549" s="116"/>
      <c r="AL549" s="116"/>
      <c r="AM549" s="116"/>
      <c r="AN549" s="116"/>
      <c r="AO549" s="116"/>
      <c r="AP549" s="116"/>
      <c r="AQ549" s="116"/>
      <c r="AR549" s="116"/>
      <c r="AS549" s="116"/>
      <c r="AT549" s="116"/>
      <c r="AU549" s="116"/>
      <c r="AV549" s="116"/>
      <c r="AW549" s="116"/>
      <c r="AX549" s="116"/>
      <c r="AY549" s="116"/>
      <c r="AZ549" s="116"/>
      <c r="BA549" s="116"/>
      <c r="BB549" s="116"/>
      <c r="BC549" s="116"/>
      <c r="BD549" s="116"/>
    </row>
    <row r="550" spans="1:57" ht="15" customHeight="1">
      <c r="C550" s="21"/>
      <c r="D550" s="11" t="s">
        <v>570</v>
      </c>
      <c r="E550" s="18"/>
      <c r="G550" s="116"/>
      <c r="H550" s="116"/>
      <c r="I550" s="116"/>
      <c r="J550" s="116"/>
      <c r="K550" s="116"/>
      <c r="L550" s="116"/>
      <c r="M550" s="116"/>
      <c r="N550" s="116"/>
      <c r="O550" s="116"/>
      <c r="P550" s="116"/>
      <c r="Q550" s="116"/>
      <c r="R550" s="116"/>
      <c r="S550" s="116"/>
      <c r="T550" s="116"/>
      <c r="U550" s="116"/>
      <c r="V550" s="116"/>
      <c r="W550" s="116"/>
      <c r="X550" s="116"/>
      <c r="Y550" s="116"/>
      <c r="Z550" s="116"/>
      <c r="AA550" s="116"/>
      <c r="AB550" s="116"/>
      <c r="AC550" s="116"/>
      <c r="AD550" s="116"/>
      <c r="AE550" s="116"/>
      <c r="AF550" s="116"/>
      <c r="AG550" s="116"/>
      <c r="AH550" s="116"/>
      <c r="AI550" s="116"/>
      <c r="AJ550" s="116"/>
      <c r="AK550" s="116"/>
      <c r="AL550" s="116"/>
      <c r="AM550" s="116"/>
      <c r="AN550" s="116"/>
      <c r="AO550" s="116"/>
      <c r="AP550" s="116"/>
      <c r="AQ550" s="116"/>
      <c r="AR550" s="116"/>
      <c r="AS550" s="116"/>
      <c r="AT550" s="116"/>
      <c r="AU550" s="116"/>
      <c r="AV550" s="116"/>
      <c r="AW550" s="116"/>
      <c r="AX550" s="116"/>
      <c r="AY550" s="116"/>
      <c r="AZ550" s="116"/>
      <c r="BA550" s="116"/>
      <c r="BB550" s="116"/>
      <c r="BC550" s="116"/>
      <c r="BD550" s="116"/>
    </row>
    <row r="551" spans="1:57" ht="15" customHeight="1">
      <c r="A551" s="147"/>
      <c r="B551" s="390"/>
      <c r="C551" s="21">
        <f>SUM(G551:BD551)</f>
        <v>0</v>
      </c>
      <c r="D551" s="132" t="s">
        <v>571</v>
      </c>
      <c r="E551" s="159" t="s">
        <v>333</v>
      </c>
      <c r="F551" s="132"/>
      <c r="G551" s="116">
        <f t="shared" ref="G551:AL551" si="292">IF(AND($E$526 = 1, $E$527 &lt; 3), (G537 + IF($E$528 = 2, G52, 0)) * $E$524, 0) * -1</f>
        <v>0</v>
      </c>
      <c r="H551" s="116">
        <f t="shared" si="292"/>
        <v>0</v>
      </c>
      <c r="I551" s="116">
        <f t="shared" si="292"/>
        <v>0</v>
      </c>
      <c r="J551" s="116">
        <f t="shared" si="292"/>
        <v>0</v>
      </c>
      <c r="K551" s="116">
        <f t="shared" si="292"/>
        <v>0</v>
      </c>
      <c r="L551" s="116">
        <f t="shared" si="292"/>
        <v>0</v>
      </c>
      <c r="M551" s="116">
        <f t="shared" si="292"/>
        <v>0</v>
      </c>
      <c r="N551" s="116">
        <f t="shared" si="292"/>
        <v>0</v>
      </c>
      <c r="O551" s="116">
        <f t="shared" si="292"/>
        <v>0</v>
      </c>
      <c r="P551" s="116">
        <f t="shared" si="292"/>
        <v>0</v>
      </c>
      <c r="Q551" s="116">
        <f t="shared" si="292"/>
        <v>0</v>
      </c>
      <c r="R551" s="116">
        <f t="shared" si="292"/>
        <v>0</v>
      </c>
      <c r="S551" s="116">
        <f t="shared" si="292"/>
        <v>0</v>
      </c>
      <c r="T551" s="116">
        <f t="shared" si="292"/>
        <v>0</v>
      </c>
      <c r="U551" s="116">
        <f t="shared" si="292"/>
        <v>0</v>
      </c>
      <c r="V551" s="116">
        <f t="shared" si="292"/>
        <v>0</v>
      </c>
      <c r="W551" s="116">
        <f t="shared" si="292"/>
        <v>0</v>
      </c>
      <c r="X551" s="116">
        <f t="shared" si="292"/>
        <v>0</v>
      </c>
      <c r="Y551" s="116">
        <f t="shared" si="292"/>
        <v>0</v>
      </c>
      <c r="Z551" s="116">
        <f t="shared" si="292"/>
        <v>0</v>
      </c>
      <c r="AA551" s="116">
        <f t="shared" si="292"/>
        <v>0</v>
      </c>
      <c r="AB551" s="116">
        <f t="shared" si="292"/>
        <v>0</v>
      </c>
      <c r="AC551" s="116">
        <f t="shared" si="292"/>
        <v>0</v>
      </c>
      <c r="AD551" s="116">
        <f t="shared" si="292"/>
        <v>0</v>
      </c>
      <c r="AE551" s="116">
        <f t="shared" si="292"/>
        <v>0</v>
      </c>
      <c r="AF551" s="116">
        <f t="shared" si="292"/>
        <v>0</v>
      </c>
      <c r="AG551" s="116">
        <f t="shared" si="292"/>
        <v>0</v>
      </c>
      <c r="AH551" s="116">
        <f t="shared" si="292"/>
        <v>0</v>
      </c>
      <c r="AI551" s="116">
        <f t="shared" si="292"/>
        <v>0</v>
      </c>
      <c r="AJ551" s="116">
        <f t="shared" si="292"/>
        <v>0</v>
      </c>
      <c r="AK551" s="116">
        <f t="shared" si="292"/>
        <v>0</v>
      </c>
      <c r="AL551" s="116">
        <f t="shared" si="292"/>
        <v>0</v>
      </c>
      <c r="AM551" s="116">
        <f t="shared" ref="AM551:BD551" si="293">IF(AND($E$526 = 1, $E$527 &lt; 3), (AM537 + IF($E$528 = 2, AM52, 0)) * $E$524, 0) * -1</f>
        <v>0</v>
      </c>
      <c r="AN551" s="116">
        <f t="shared" si="293"/>
        <v>0</v>
      </c>
      <c r="AO551" s="116">
        <f t="shared" si="293"/>
        <v>0</v>
      </c>
      <c r="AP551" s="116">
        <f t="shared" si="293"/>
        <v>0</v>
      </c>
      <c r="AQ551" s="116">
        <f t="shared" si="293"/>
        <v>0</v>
      </c>
      <c r="AR551" s="116">
        <f t="shared" si="293"/>
        <v>0</v>
      </c>
      <c r="AS551" s="116">
        <f t="shared" si="293"/>
        <v>0</v>
      </c>
      <c r="AT551" s="116">
        <f t="shared" si="293"/>
        <v>0</v>
      </c>
      <c r="AU551" s="116">
        <f t="shared" si="293"/>
        <v>0</v>
      </c>
      <c r="AV551" s="116">
        <f t="shared" si="293"/>
        <v>0</v>
      </c>
      <c r="AW551" s="116">
        <f t="shared" si="293"/>
        <v>0</v>
      </c>
      <c r="AX551" s="116">
        <f t="shared" si="293"/>
        <v>0</v>
      </c>
      <c r="AY551" s="116">
        <f t="shared" si="293"/>
        <v>0</v>
      </c>
      <c r="AZ551" s="116">
        <f t="shared" si="293"/>
        <v>0</v>
      </c>
      <c r="BA551" s="116">
        <f t="shared" si="293"/>
        <v>0</v>
      </c>
      <c r="BB551" s="116">
        <f t="shared" si="293"/>
        <v>0</v>
      </c>
      <c r="BC551" s="116">
        <f t="shared" si="293"/>
        <v>0</v>
      </c>
      <c r="BD551" s="116">
        <f t="shared" si="293"/>
        <v>0</v>
      </c>
      <c r="BE551" s="132"/>
    </row>
    <row r="552" spans="1:57" ht="15" customHeight="1">
      <c r="A552" s="147"/>
      <c r="B552" s="390"/>
      <c r="C552" s="21">
        <f>SUM(G552:BD552)</f>
        <v>0</v>
      </c>
      <c r="D552" s="132" t="s">
        <v>572</v>
      </c>
      <c r="E552" s="159" t="s">
        <v>333</v>
      </c>
      <c r="F552" s="132"/>
      <c r="G552" s="116">
        <f t="shared" ref="G552:AL552" si="294">IF(AND($E$526 = 1, $E$527 &lt; 3), (G544 - IF($E$528 = 2, G52, 0)) * $E$524, 0)</f>
        <v>0</v>
      </c>
      <c r="H552" s="116">
        <f t="shared" si="294"/>
        <v>0</v>
      </c>
      <c r="I552" s="116">
        <f t="shared" si="294"/>
        <v>0</v>
      </c>
      <c r="J552" s="116">
        <f t="shared" si="294"/>
        <v>0</v>
      </c>
      <c r="K552" s="116">
        <f t="shared" si="294"/>
        <v>0</v>
      </c>
      <c r="L552" s="116">
        <f t="shared" si="294"/>
        <v>0</v>
      </c>
      <c r="M552" s="116">
        <f t="shared" si="294"/>
        <v>0</v>
      </c>
      <c r="N552" s="116">
        <f t="shared" si="294"/>
        <v>0</v>
      </c>
      <c r="O552" s="116">
        <f t="shared" si="294"/>
        <v>0</v>
      </c>
      <c r="P552" s="116">
        <f t="shared" si="294"/>
        <v>0</v>
      </c>
      <c r="Q552" s="116">
        <f t="shared" si="294"/>
        <v>0</v>
      </c>
      <c r="R552" s="116">
        <f t="shared" si="294"/>
        <v>0</v>
      </c>
      <c r="S552" s="116">
        <f t="shared" si="294"/>
        <v>0</v>
      </c>
      <c r="T552" s="116">
        <f t="shared" si="294"/>
        <v>0</v>
      </c>
      <c r="U552" s="116">
        <f t="shared" si="294"/>
        <v>0</v>
      </c>
      <c r="V552" s="116">
        <f t="shared" si="294"/>
        <v>0</v>
      </c>
      <c r="W552" s="116">
        <f t="shared" si="294"/>
        <v>0</v>
      </c>
      <c r="X552" s="116">
        <f t="shared" si="294"/>
        <v>0</v>
      </c>
      <c r="Y552" s="116">
        <f t="shared" si="294"/>
        <v>0</v>
      </c>
      <c r="Z552" s="116">
        <f t="shared" si="294"/>
        <v>0</v>
      </c>
      <c r="AA552" s="116">
        <f t="shared" si="294"/>
        <v>0</v>
      </c>
      <c r="AB552" s="116">
        <f t="shared" si="294"/>
        <v>0</v>
      </c>
      <c r="AC552" s="116">
        <f t="shared" si="294"/>
        <v>0</v>
      </c>
      <c r="AD552" s="116">
        <f t="shared" si="294"/>
        <v>0</v>
      </c>
      <c r="AE552" s="116">
        <f t="shared" si="294"/>
        <v>0</v>
      </c>
      <c r="AF552" s="116">
        <f t="shared" si="294"/>
        <v>0</v>
      </c>
      <c r="AG552" s="116">
        <f t="shared" si="294"/>
        <v>0</v>
      </c>
      <c r="AH552" s="116">
        <f t="shared" si="294"/>
        <v>0</v>
      </c>
      <c r="AI552" s="116">
        <f t="shared" si="294"/>
        <v>0</v>
      </c>
      <c r="AJ552" s="116">
        <f t="shared" si="294"/>
        <v>0</v>
      </c>
      <c r="AK552" s="116">
        <f t="shared" si="294"/>
        <v>0</v>
      </c>
      <c r="AL552" s="116">
        <f t="shared" si="294"/>
        <v>0</v>
      </c>
      <c r="AM552" s="116">
        <f t="shared" ref="AM552:BD552" si="295">IF(AND($E$526 = 1, $E$527 &lt; 3), (AM544 - IF($E$528 = 2, AM52, 0)) * $E$524, 0)</f>
        <v>0</v>
      </c>
      <c r="AN552" s="116">
        <f t="shared" si="295"/>
        <v>0</v>
      </c>
      <c r="AO552" s="116">
        <f t="shared" si="295"/>
        <v>0</v>
      </c>
      <c r="AP552" s="116">
        <f t="shared" si="295"/>
        <v>0</v>
      </c>
      <c r="AQ552" s="116">
        <f t="shared" si="295"/>
        <v>0</v>
      </c>
      <c r="AR552" s="116">
        <f t="shared" si="295"/>
        <v>0</v>
      </c>
      <c r="AS552" s="116">
        <f t="shared" si="295"/>
        <v>0</v>
      </c>
      <c r="AT552" s="116">
        <f t="shared" si="295"/>
        <v>0</v>
      </c>
      <c r="AU552" s="116">
        <f t="shared" si="295"/>
        <v>0</v>
      </c>
      <c r="AV552" s="116">
        <f t="shared" si="295"/>
        <v>0</v>
      </c>
      <c r="AW552" s="116">
        <f t="shared" si="295"/>
        <v>0</v>
      </c>
      <c r="AX552" s="116">
        <f t="shared" si="295"/>
        <v>0</v>
      </c>
      <c r="AY552" s="116">
        <f t="shared" si="295"/>
        <v>0</v>
      </c>
      <c r="AZ552" s="116">
        <f t="shared" si="295"/>
        <v>0</v>
      </c>
      <c r="BA552" s="116">
        <f t="shared" si="295"/>
        <v>0</v>
      </c>
      <c r="BB552" s="116">
        <f t="shared" si="295"/>
        <v>0</v>
      </c>
      <c r="BC552" s="116">
        <f t="shared" si="295"/>
        <v>0</v>
      </c>
      <c r="BD552" s="116">
        <f t="shared" si="295"/>
        <v>0</v>
      </c>
      <c r="BE552" s="132"/>
    </row>
    <row r="553" spans="1:57" ht="15" customHeight="1">
      <c r="B553" s="113"/>
      <c r="C553" s="21">
        <f>SUM(G553:BD553)</f>
        <v>727.39781169922594</v>
      </c>
      <c r="D553" s="11" t="s">
        <v>573</v>
      </c>
      <c r="E553" s="18" t="s">
        <v>333</v>
      </c>
      <c r="G553" s="116">
        <f t="shared" ref="G553:AL553" si="296">IF($E$526 = 1, G548 * (G548&gt;0) * $E$524, 0)</f>
        <v>0</v>
      </c>
      <c r="H553" s="116">
        <f t="shared" si="296"/>
        <v>0</v>
      </c>
      <c r="I553" s="116">
        <f t="shared" si="296"/>
        <v>0</v>
      </c>
      <c r="J553" s="116">
        <f t="shared" si="296"/>
        <v>0</v>
      </c>
      <c r="K553" s="116">
        <f t="shared" si="296"/>
        <v>0</v>
      </c>
      <c r="L553" s="116">
        <f t="shared" si="296"/>
        <v>0</v>
      </c>
      <c r="M553" s="116">
        <f t="shared" si="296"/>
        <v>5.0178412878112573</v>
      </c>
      <c r="N553" s="116">
        <f t="shared" si="296"/>
        <v>25.19463144695289</v>
      </c>
      <c r="O553" s="116">
        <f t="shared" si="296"/>
        <v>26.554992462370038</v>
      </c>
      <c r="P553" s="116">
        <f t="shared" si="296"/>
        <v>30.050181750654883</v>
      </c>
      <c r="Q553" s="116">
        <f t="shared" si="296"/>
        <v>30.65118538566799</v>
      </c>
      <c r="R553" s="116">
        <f t="shared" si="296"/>
        <v>31.264209093381325</v>
      </c>
      <c r="S553" s="116">
        <f t="shared" si="296"/>
        <v>31.88949327524897</v>
      </c>
      <c r="T553" s="116">
        <f t="shared" si="296"/>
        <v>32.527283140753944</v>
      </c>
      <c r="U553" s="116">
        <f t="shared" si="296"/>
        <v>33.177828803569021</v>
      </c>
      <c r="V553" s="116">
        <f t="shared" si="296"/>
        <v>33.841385379640393</v>
      </c>
      <c r="W553" s="116">
        <f t="shared" si="296"/>
        <v>34.518213087233214</v>
      </c>
      <c r="X553" s="116">
        <f t="shared" si="296"/>
        <v>35.20857734897789</v>
      </c>
      <c r="Y553" s="116">
        <f t="shared" si="296"/>
        <v>35.658261382752947</v>
      </c>
      <c r="Z553" s="116">
        <f t="shared" si="296"/>
        <v>36.370822741732582</v>
      </c>
      <c r="AA553" s="116">
        <f t="shared" si="296"/>
        <v>37.096853550214377</v>
      </c>
      <c r="AB553" s="116">
        <f t="shared" si="296"/>
        <v>37.836359477518485</v>
      </c>
      <c r="AC553" s="116">
        <f t="shared" si="296"/>
        <v>38.589196229176522</v>
      </c>
      <c r="AD553" s="116">
        <f t="shared" si="296"/>
        <v>38.922227860889045</v>
      </c>
      <c r="AE553" s="116">
        <f t="shared" si="296"/>
        <v>39.691131757861449</v>
      </c>
      <c r="AF553" s="116">
        <f t="shared" si="296"/>
        <v>40.468923215401901</v>
      </c>
      <c r="AG553" s="116">
        <f t="shared" si="296"/>
        <v>46.420590525150608</v>
      </c>
      <c r="AH553" s="116">
        <f t="shared" si="296"/>
        <v>26.447622496266209</v>
      </c>
      <c r="AI553" s="116">
        <f t="shared" si="296"/>
        <v>0</v>
      </c>
      <c r="AJ553" s="116">
        <f t="shared" si="296"/>
        <v>0</v>
      </c>
      <c r="AK553" s="116">
        <f t="shared" si="296"/>
        <v>0</v>
      </c>
      <c r="AL553" s="116">
        <f t="shared" si="296"/>
        <v>0</v>
      </c>
      <c r="AM553" s="116">
        <f t="shared" ref="AM553:BD553" si="297">IF($E$526 = 1, AM548 * (AM548&gt;0) * $E$524, 0)</f>
        <v>0</v>
      </c>
      <c r="AN553" s="116">
        <f t="shared" si="297"/>
        <v>0</v>
      </c>
      <c r="AO553" s="116">
        <f t="shared" si="297"/>
        <v>0</v>
      </c>
      <c r="AP553" s="116">
        <f t="shared" si="297"/>
        <v>0</v>
      </c>
      <c r="AQ553" s="116">
        <f t="shared" si="297"/>
        <v>0</v>
      </c>
      <c r="AR553" s="116">
        <f t="shared" si="297"/>
        <v>0</v>
      </c>
      <c r="AS553" s="116">
        <f t="shared" si="297"/>
        <v>0</v>
      </c>
      <c r="AT553" s="116">
        <f t="shared" si="297"/>
        <v>0</v>
      </c>
      <c r="AU553" s="116">
        <f t="shared" si="297"/>
        <v>0</v>
      </c>
      <c r="AV553" s="116">
        <f t="shared" si="297"/>
        <v>0</v>
      </c>
      <c r="AW553" s="116">
        <f t="shared" si="297"/>
        <v>0</v>
      </c>
      <c r="AX553" s="116">
        <f t="shared" si="297"/>
        <v>0</v>
      </c>
      <c r="AY553" s="116">
        <f t="shared" si="297"/>
        <v>0</v>
      </c>
      <c r="AZ553" s="116">
        <f t="shared" si="297"/>
        <v>0</v>
      </c>
      <c r="BA553" s="116">
        <f t="shared" si="297"/>
        <v>0</v>
      </c>
      <c r="BB553" s="116">
        <f t="shared" si="297"/>
        <v>0</v>
      </c>
      <c r="BC553" s="116">
        <f t="shared" si="297"/>
        <v>0</v>
      </c>
      <c r="BD553" s="116">
        <f t="shared" si="297"/>
        <v>0</v>
      </c>
    </row>
    <row r="554" spans="1:57" ht="15" customHeight="1">
      <c r="C554" s="21"/>
      <c r="E554" s="18"/>
      <c r="G554" s="116"/>
      <c r="H554" s="116"/>
      <c r="I554" s="116"/>
      <c r="J554" s="116"/>
      <c r="K554" s="116"/>
      <c r="L554" s="116"/>
      <c r="M554" s="116"/>
      <c r="N554" s="116"/>
      <c r="O554" s="116"/>
      <c r="P554" s="116"/>
      <c r="Q554" s="116"/>
      <c r="R554" s="116"/>
      <c r="S554" s="116"/>
      <c r="T554" s="116"/>
      <c r="U554" s="116"/>
      <c r="V554" s="116"/>
      <c r="W554" s="116"/>
      <c r="X554" s="116"/>
      <c r="Y554" s="116"/>
      <c r="Z554" s="116"/>
      <c r="AA554" s="116"/>
      <c r="AB554" s="116"/>
      <c r="AC554" s="116"/>
      <c r="AD554" s="116"/>
      <c r="AE554" s="116"/>
      <c r="AF554" s="116"/>
      <c r="AG554" s="116"/>
      <c r="AH554" s="116"/>
      <c r="AI554" s="116"/>
      <c r="AJ554" s="116"/>
      <c r="AK554" s="116"/>
      <c r="AL554" s="116"/>
      <c r="AM554" s="116"/>
      <c r="AN554" s="116"/>
      <c r="AO554" s="116"/>
      <c r="AP554" s="116"/>
      <c r="AQ554" s="116"/>
      <c r="AR554" s="116"/>
      <c r="AS554" s="116"/>
      <c r="AT554" s="116"/>
      <c r="AU554" s="116"/>
      <c r="AV554" s="116"/>
      <c r="AW554" s="116"/>
      <c r="AX554" s="116"/>
      <c r="AY554" s="116"/>
      <c r="AZ554" s="116"/>
      <c r="BA554" s="116"/>
      <c r="BB554" s="116"/>
      <c r="BC554" s="116"/>
      <c r="BD554" s="116"/>
    </row>
    <row r="555" spans="1:57" ht="15" customHeight="1">
      <c r="C555" s="21"/>
      <c r="D555" s="11" t="s">
        <v>457</v>
      </c>
      <c r="E555" s="18"/>
      <c r="G555" s="116"/>
      <c r="H555" s="116"/>
      <c r="I555" s="116"/>
      <c r="J555" s="116"/>
      <c r="K555" s="116"/>
      <c r="L555" s="116"/>
      <c r="M555" s="116"/>
      <c r="N555" s="116"/>
      <c r="O555" s="116"/>
      <c r="P555" s="116"/>
      <c r="Q555" s="116"/>
      <c r="R555" s="116"/>
      <c r="S555" s="116"/>
      <c r="T555" s="116"/>
      <c r="U555" s="116"/>
      <c r="V555" s="116"/>
      <c r="W555" s="116"/>
      <c r="X555" s="116"/>
      <c r="Y555" s="116"/>
      <c r="Z555" s="116"/>
      <c r="AA555" s="116"/>
      <c r="AB555" s="116"/>
      <c r="AC555" s="116"/>
      <c r="AD555" s="116"/>
      <c r="AE555" s="116"/>
      <c r="AF555" s="116"/>
      <c r="AG555" s="116"/>
      <c r="AH555" s="116"/>
      <c r="AI555" s="116"/>
      <c r="AJ555" s="116"/>
      <c r="AK555" s="116"/>
      <c r="AL555" s="116"/>
      <c r="AM555" s="116"/>
      <c r="AN555" s="116"/>
      <c r="AO555" s="116"/>
      <c r="AP555" s="116"/>
      <c r="AQ555" s="116"/>
      <c r="AR555" s="116"/>
      <c r="AS555" s="116"/>
      <c r="AT555" s="116"/>
      <c r="AU555" s="116"/>
      <c r="AV555" s="116"/>
      <c r="AW555" s="116"/>
      <c r="AX555" s="116"/>
      <c r="AY555" s="116"/>
      <c r="AZ555" s="116"/>
      <c r="BA555" s="116"/>
      <c r="BB555" s="116"/>
      <c r="BC555" s="116"/>
      <c r="BD555" s="116"/>
    </row>
    <row r="556" spans="1:57" ht="15" customHeight="1">
      <c r="B556" s="47"/>
      <c r="C556" s="21"/>
      <c r="D556" s="11" t="s">
        <v>458</v>
      </c>
      <c r="E556" s="18" t="s">
        <v>333</v>
      </c>
      <c r="G556" s="116">
        <f>F561</f>
        <v>0</v>
      </c>
      <c r="H556" s="116">
        <f t="shared" ref="H556:BD556" si="298">G561</f>
        <v>0</v>
      </c>
      <c r="I556" s="116">
        <f t="shared" si="298"/>
        <v>0</v>
      </c>
      <c r="J556" s="116">
        <f t="shared" si="298"/>
        <v>0</v>
      </c>
      <c r="K556" s="116">
        <f t="shared" si="298"/>
        <v>0</v>
      </c>
      <c r="L556" s="116">
        <f t="shared" si="298"/>
        <v>0</v>
      </c>
      <c r="M556" s="116">
        <f t="shared" si="298"/>
        <v>0</v>
      </c>
      <c r="N556" s="116">
        <f t="shared" si="298"/>
        <v>0</v>
      </c>
      <c r="O556" s="116">
        <f t="shared" si="298"/>
        <v>0</v>
      </c>
      <c r="P556" s="116">
        <f t="shared" si="298"/>
        <v>0</v>
      </c>
      <c r="Q556" s="116">
        <f t="shared" si="298"/>
        <v>0</v>
      </c>
      <c r="R556" s="116">
        <f t="shared" si="298"/>
        <v>0</v>
      </c>
      <c r="S556" s="116">
        <f t="shared" si="298"/>
        <v>0</v>
      </c>
      <c r="T556" s="116">
        <f t="shared" si="298"/>
        <v>0</v>
      </c>
      <c r="U556" s="116">
        <f t="shared" si="298"/>
        <v>0</v>
      </c>
      <c r="V556" s="116">
        <f t="shared" si="298"/>
        <v>0</v>
      </c>
      <c r="W556" s="116">
        <f t="shared" si="298"/>
        <v>0</v>
      </c>
      <c r="X556" s="116">
        <f t="shared" si="298"/>
        <v>0</v>
      </c>
      <c r="Y556" s="116">
        <f t="shared" si="298"/>
        <v>0</v>
      </c>
      <c r="Z556" s="116">
        <f t="shared" si="298"/>
        <v>0</v>
      </c>
      <c r="AA556" s="116">
        <f t="shared" si="298"/>
        <v>0</v>
      </c>
      <c r="AB556" s="116">
        <f t="shared" si="298"/>
        <v>0</v>
      </c>
      <c r="AC556" s="116">
        <f t="shared" si="298"/>
        <v>0</v>
      </c>
      <c r="AD556" s="116">
        <f t="shared" si="298"/>
        <v>0</v>
      </c>
      <c r="AE556" s="116">
        <f t="shared" si="298"/>
        <v>0</v>
      </c>
      <c r="AF556" s="116">
        <f t="shared" si="298"/>
        <v>0</v>
      </c>
      <c r="AG556" s="116">
        <f t="shared" si="298"/>
        <v>0</v>
      </c>
      <c r="AH556" s="116">
        <f t="shared" si="298"/>
        <v>0</v>
      </c>
      <c r="AI556" s="116">
        <f t="shared" si="298"/>
        <v>0</v>
      </c>
      <c r="AJ556" s="116">
        <f t="shared" si="298"/>
        <v>0</v>
      </c>
      <c r="AK556" s="116">
        <f t="shared" si="298"/>
        <v>0</v>
      </c>
      <c r="AL556" s="116">
        <f t="shared" si="298"/>
        <v>0</v>
      </c>
      <c r="AM556" s="116">
        <f t="shared" si="298"/>
        <v>0</v>
      </c>
      <c r="AN556" s="116">
        <f t="shared" si="298"/>
        <v>0</v>
      </c>
      <c r="AO556" s="116">
        <f t="shared" si="298"/>
        <v>0</v>
      </c>
      <c r="AP556" s="116">
        <f t="shared" si="298"/>
        <v>0</v>
      </c>
      <c r="AQ556" s="116">
        <f t="shared" si="298"/>
        <v>0</v>
      </c>
      <c r="AR556" s="116">
        <f t="shared" si="298"/>
        <v>0</v>
      </c>
      <c r="AS556" s="116">
        <f t="shared" si="298"/>
        <v>0</v>
      </c>
      <c r="AT556" s="116">
        <f t="shared" si="298"/>
        <v>0</v>
      </c>
      <c r="AU556" s="116">
        <f t="shared" si="298"/>
        <v>0</v>
      </c>
      <c r="AV556" s="116">
        <f t="shared" si="298"/>
        <v>0</v>
      </c>
      <c r="AW556" s="116">
        <f t="shared" si="298"/>
        <v>0</v>
      </c>
      <c r="AX556" s="116">
        <f t="shared" si="298"/>
        <v>0</v>
      </c>
      <c r="AY556" s="116">
        <f t="shared" si="298"/>
        <v>0</v>
      </c>
      <c r="AZ556" s="116">
        <f t="shared" si="298"/>
        <v>0</v>
      </c>
      <c r="BA556" s="116">
        <f t="shared" si="298"/>
        <v>0</v>
      </c>
      <c r="BB556" s="116">
        <f t="shared" si="298"/>
        <v>0</v>
      </c>
      <c r="BC556" s="116">
        <f t="shared" si="298"/>
        <v>0</v>
      </c>
      <c r="BD556" s="116">
        <f t="shared" si="298"/>
        <v>0</v>
      </c>
    </row>
    <row r="557" spans="1:57" ht="15" customHeight="1">
      <c r="B557" s="47"/>
      <c r="C557" s="21">
        <f>SUM(G557:BD557)</f>
        <v>0</v>
      </c>
      <c r="D557" s="11" t="s">
        <v>459</v>
      </c>
      <c r="E557" s="18" t="s">
        <v>333</v>
      </c>
      <c r="G557" s="116">
        <f t="shared" ref="G557:AL557" si="299">IF($E$527 = 2, G551, 0)</f>
        <v>0</v>
      </c>
      <c r="H557" s="116">
        <f t="shared" si="299"/>
        <v>0</v>
      </c>
      <c r="I557" s="116">
        <f t="shared" si="299"/>
        <v>0</v>
      </c>
      <c r="J557" s="116">
        <f t="shared" si="299"/>
        <v>0</v>
      </c>
      <c r="K557" s="116">
        <f t="shared" si="299"/>
        <v>0</v>
      </c>
      <c r="L557" s="116">
        <f t="shared" si="299"/>
        <v>0</v>
      </c>
      <c r="M557" s="116">
        <f t="shared" si="299"/>
        <v>0</v>
      </c>
      <c r="N557" s="116">
        <f t="shared" si="299"/>
        <v>0</v>
      </c>
      <c r="O557" s="116">
        <f t="shared" si="299"/>
        <v>0</v>
      </c>
      <c r="P557" s="116">
        <f t="shared" si="299"/>
        <v>0</v>
      </c>
      <c r="Q557" s="116">
        <f t="shared" si="299"/>
        <v>0</v>
      </c>
      <c r="R557" s="116">
        <f t="shared" si="299"/>
        <v>0</v>
      </c>
      <c r="S557" s="116">
        <f t="shared" si="299"/>
        <v>0</v>
      </c>
      <c r="T557" s="116">
        <f t="shared" si="299"/>
        <v>0</v>
      </c>
      <c r="U557" s="116">
        <f t="shared" si="299"/>
        <v>0</v>
      </c>
      <c r="V557" s="116">
        <f t="shared" si="299"/>
        <v>0</v>
      </c>
      <c r="W557" s="116">
        <f t="shared" si="299"/>
        <v>0</v>
      </c>
      <c r="X557" s="116">
        <f t="shared" si="299"/>
        <v>0</v>
      </c>
      <c r="Y557" s="116">
        <f t="shared" si="299"/>
        <v>0</v>
      </c>
      <c r="Z557" s="116">
        <f t="shared" si="299"/>
        <v>0</v>
      </c>
      <c r="AA557" s="116">
        <f t="shared" si="299"/>
        <v>0</v>
      </c>
      <c r="AB557" s="116">
        <f t="shared" si="299"/>
        <v>0</v>
      </c>
      <c r="AC557" s="116">
        <f t="shared" si="299"/>
        <v>0</v>
      </c>
      <c r="AD557" s="116">
        <f t="shared" si="299"/>
        <v>0</v>
      </c>
      <c r="AE557" s="116">
        <f t="shared" si="299"/>
        <v>0</v>
      </c>
      <c r="AF557" s="116">
        <f t="shared" si="299"/>
        <v>0</v>
      </c>
      <c r="AG557" s="116">
        <f t="shared" si="299"/>
        <v>0</v>
      </c>
      <c r="AH557" s="116">
        <f t="shared" si="299"/>
        <v>0</v>
      </c>
      <c r="AI557" s="116">
        <f t="shared" si="299"/>
        <v>0</v>
      </c>
      <c r="AJ557" s="116">
        <f t="shared" si="299"/>
        <v>0</v>
      </c>
      <c r="AK557" s="116">
        <f t="shared" si="299"/>
        <v>0</v>
      </c>
      <c r="AL557" s="116">
        <f t="shared" si="299"/>
        <v>0</v>
      </c>
      <c r="AM557" s="116">
        <f t="shared" ref="AM557:BD557" si="300">IF($E$527 = 2, AM551, 0)</f>
        <v>0</v>
      </c>
      <c r="AN557" s="116">
        <f t="shared" si="300"/>
        <v>0</v>
      </c>
      <c r="AO557" s="116">
        <f t="shared" si="300"/>
        <v>0</v>
      </c>
      <c r="AP557" s="116">
        <f t="shared" si="300"/>
        <v>0</v>
      </c>
      <c r="AQ557" s="116">
        <f t="shared" si="300"/>
        <v>0</v>
      </c>
      <c r="AR557" s="116">
        <f t="shared" si="300"/>
        <v>0</v>
      </c>
      <c r="AS557" s="116">
        <f t="shared" si="300"/>
        <v>0</v>
      </c>
      <c r="AT557" s="116">
        <f t="shared" si="300"/>
        <v>0</v>
      </c>
      <c r="AU557" s="116">
        <f t="shared" si="300"/>
        <v>0</v>
      </c>
      <c r="AV557" s="116">
        <f t="shared" si="300"/>
        <v>0</v>
      </c>
      <c r="AW557" s="116">
        <f t="shared" si="300"/>
        <v>0</v>
      </c>
      <c r="AX557" s="116">
        <f t="shared" si="300"/>
        <v>0</v>
      </c>
      <c r="AY557" s="116">
        <f t="shared" si="300"/>
        <v>0</v>
      </c>
      <c r="AZ557" s="116">
        <f t="shared" si="300"/>
        <v>0</v>
      </c>
      <c r="BA557" s="116">
        <f t="shared" si="300"/>
        <v>0</v>
      </c>
      <c r="BB557" s="116">
        <f t="shared" si="300"/>
        <v>0</v>
      </c>
      <c r="BC557" s="116">
        <f t="shared" si="300"/>
        <v>0</v>
      </c>
      <c r="BD557" s="116">
        <f t="shared" si="300"/>
        <v>0</v>
      </c>
    </row>
    <row r="558" spans="1:57" ht="15" customHeight="1">
      <c r="B558" s="47"/>
      <c r="C558" s="21">
        <f t="shared" ref="C558:C560" si="301">SUM(G558:BD558)</f>
        <v>0</v>
      </c>
      <c r="D558" s="11" t="s">
        <v>460</v>
      </c>
      <c r="E558" s="18" t="s">
        <v>333</v>
      </c>
      <c r="G558" s="116">
        <f>G556 * (Inputs!$E$199 + Inputs!$E$202)</f>
        <v>0</v>
      </c>
      <c r="H558" s="116">
        <f>H556 * (Inputs!$E$199 + Inputs!$E$202)</f>
        <v>0</v>
      </c>
      <c r="I558" s="116">
        <f>I556 * (Inputs!$E$199 + Inputs!$E$202)</f>
        <v>0</v>
      </c>
      <c r="J558" s="116">
        <f>J556 * (Inputs!$E$199 + Inputs!$E$202)</f>
        <v>0</v>
      </c>
      <c r="K558" s="116">
        <f>K556 * (Inputs!$E$199 + Inputs!$E$202)</f>
        <v>0</v>
      </c>
      <c r="L558" s="116">
        <f>L556 * (Inputs!$E$199 + Inputs!$E$202)</f>
        <v>0</v>
      </c>
      <c r="M558" s="116">
        <f>M556 * (Inputs!$E$199 + Inputs!$E$202)</f>
        <v>0</v>
      </c>
      <c r="N558" s="116">
        <f>N556 * (Inputs!$E$199 + Inputs!$E$202)</f>
        <v>0</v>
      </c>
      <c r="O558" s="116">
        <f>O556 * (Inputs!$E$199 + Inputs!$E$202)</f>
        <v>0</v>
      </c>
      <c r="P558" s="116">
        <f>P556 * (Inputs!$E$199 + Inputs!$E$202)</f>
        <v>0</v>
      </c>
      <c r="Q558" s="116">
        <f>Q556 * (Inputs!$E$199 + Inputs!$E$202)</f>
        <v>0</v>
      </c>
      <c r="R558" s="116">
        <f>R556 * (Inputs!$E$199 + Inputs!$E$202)</f>
        <v>0</v>
      </c>
      <c r="S558" s="116">
        <f>S556 * (Inputs!$E$199 + Inputs!$E$202)</f>
        <v>0</v>
      </c>
      <c r="T558" s="116">
        <f>T556 * (Inputs!$E$199 + Inputs!$E$202)</f>
        <v>0</v>
      </c>
      <c r="U558" s="116">
        <f>U556 * (Inputs!$E$199 + Inputs!$E$202)</f>
        <v>0</v>
      </c>
      <c r="V558" s="116">
        <f>V556 * (Inputs!$E$199 + Inputs!$E$202)</f>
        <v>0</v>
      </c>
      <c r="W558" s="116">
        <f>W556 * (Inputs!$E$199 + Inputs!$E$202)</f>
        <v>0</v>
      </c>
      <c r="X558" s="116">
        <f>X556 * (Inputs!$E$199 + Inputs!$E$202)</f>
        <v>0</v>
      </c>
      <c r="Y558" s="116">
        <f>Y556 * (Inputs!$E$199 + Inputs!$E$202)</f>
        <v>0</v>
      </c>
      <c r="Z558" s="116">
        <f>Z556 * (Inputs!$E$199 + Inputs!$E$202)</f>
        <v>0</v>
      </c>
      <c r="AA558" s="116">
        <f>AA556 * (Inputs!$E$199 + Inputs!$E$202)</f>
        <v>0</v>
      </c>
      <c r="AB558" s="116">
        <f>AB556 * (Inputs!$E$199 + Inputs!$E$202)</f>
        <v>0</v>
      </c>
      <c r="AC558" s="116">
        <f>AC556 * (Inputs!$E$199 + Inputs!$E$202)</f>
        <v>0</v>
      </c>
      <c r="AD558" s="116">
        <f>AD556 * (Inputs!$E$199 + Inputs!$E$202)</f>
        <v>0</v>
      </c>
      <c r="AE558" s="116">
        <f>AE556 * (Inputs!$E$199 + Inputs!$E$202)</f>
        <v>0</v>
      </c>
      <c r="AF558" s="116">
        <f>AF556 * (Inputs!$E$199 + Inputs!$E$202)</f>
        <v>0</v>
      </c>
      <c r="AG558" s="116">
        <f>AG556 * (Inputs!$E$199 + Inputs!$E$202)</f>
        <v>0</v>
      </c>
      <c r="AH558" s="116">
        <f>AH556 * (Inputs!$E$199 + Inputs!$E$202)</f>
        <v>0</v>
      </c>
      <c r="AI558" s="116">
        <f>AI556 * (Inputs!$E$199 + Inputs!$E$202)</f>
        <v>0</v>
      </c>
      <c r="AJ558" s="116">
        <f>AJ556 * (Inputs!$E$199 + Inputs!$E$202)</f>
        <v>0</v>
      </c>
      <c r="AK558" s="116">
        <f>AK556 * (Inputs!$E$199 + Inputs!$E$202)</f>
        <v>0</v>
      </c>
      <c r="AL558" s="116">
        <f>AL556 * (Inputs!$E$199 + Inputs!$E$202)</f>
        <v>0</v>
      </c>
      <c r="AM558" s="116">
        <f>AM556 * (Inputs!$E$199 + Inputs!$E$202)</f>
        <v>0</v>
      </c>
      <c r="AN558" s="116">
        <f>AN556 * (Inputs!$E$199 + Inputs!$E$202)</f>
        <v>0</v>
      </c>
      <c r="AO558" s="116">
        <f>AO556 * (Inputs!$E$199 + Inputs!$E$202)</f>
        <v>0</v>
      </c>
      <c r="AP558" s="116">
        <f>AP556 * (Inputs!$E$199 + Inputs!$E$202)</f>
        <v>0</v>
      </c>
      <c r="AQ558" s="116">
        <f>AQ556 * (Inputs!$E$199 + Inputs!$E$202)</f>
        <v>0</v>
      </c>
      <c r="AR558" s="116">
        <f>AR556 * (Inputs!$E$199 + Inputs!$E$202)</f>
        <v>0</v>
      </c>
      <c r="AS558" s="116">
        <f>AS556 * (Inputs!$E$199 + Inputs!$E$202)</f>
        <v>0</v>
      </c>
      <c r="AT558" s="116">
        <f>AT556 * (Inputs!$E$199 + Inputs!$E$202)</f>
        <v>0</v>
      </c>
      <c r="AU558" s="116">
        <f>AU556 * (Inputs!$E$199 + Inputs!$E$202)</f>
        <v>0</v>
      </c>
      <c r="AV558" s="116">
        <f>AV556 * (Inputs!$E$199 + Inputs!$E$202)</f>
        <v>0</v>
      </c>
      <c r="AW558" s="116">
        <f>AW556 * (Inputs!$E$199 + Inputs!$E$202)</f>
        <v>0</v>
      </c>
      <c r="AX558" s="116">
        <f>AX556 * (Inputs!$E$199 + Inputs!$E$202)</f>
        <v>0</v>
      </c>
      <c r="AY558" s="116">
        <f>AY556 * (Inputs!$E$199 + Inputs!$E$202)</f>
        <v>0</v>
      </c>
      <c r="AZ558" s="116">
        <f>AZ556 * (Inputs!$E$199 + Inputs!$E$202)</f>
        <v>0</v>
      </c>
      <c r="BA558" s="116">
        <f>BA556 * (Inputs!$E$199 + Inputs!$E$202)</f>
        <v>0</v>
      </c>
      <c r="BB558" s="116">
        <f>BB556 * (Inputs!$E$199 + Inputs!$E$202)</f>
        <v>0</v>
      </c>
      <c r="BC558" s="116">
        <f>BC556 * (Inputs!$E$199 + Inputs!$E$202)</f>
        <v>0</v>
      </c>
      <c r="BD558" s="116">
        <f>BD556 * (Inputs!$E$199 + Inputs!$E$202)</f>
        <v>0</v>
      </c>
    </row>
    <row r="559" spans="1:57" ht="15" customHeight="1">
      <c r="B559" s="47"/>
      <c r="C559" s="21">
        <f t="shared" si="301"/>
        <v>0</v>
      </c>
      <c r="D559" s="11" t="s">
        <v>461</v>
      </c>
      <c r="E559" s="18" t="s">
        <v>333</v>
      </c>
      <c r="G559" s="116">
        <f>SUM(G556:G558)</f>
        <v>0</v>
      </c>
      <c r="H559" s="116">
        <f t="shared" ref="H559:BD559" si="302">SUM(H556:H558)</f>
        <v>0</v>
      </c>
      <c r="I559" s="116">
        <f t="shared" si="302"/>
        <v>0</v>
      </c>
      <c r="J559" s="116">
        <f t="shared" si="302"/>
        <v>0</v>
      </c>
      <c r="K559" s="116">
        <f t="shared" si="302"/>
        <v>0</v>
      </c>
      <c r="L559" s="116">
        <f t="shared" si="302"/>
        <v>0</v>
      </c>
      <c r="M559" s="116">
        <f t="shared" si="302"/>
        <v>0</v>
      </c>
      <c r="N559" s="116">
        <f t="shared" si="302"/>
        <v>0</v>
      </c>
      <c r="O559" s="116">
        <f t="shared" si="302"/>
        <v>0</v>
      </c>
      <c r="P559" s="116">
        <f t="shared" si="302"/>
        <v>0</v>
      </c>
      <c r="Q559" s="116">
        <f t="shared" si="302"/>
        <v>0</v>
      </c>
      <c r="R559" s="116">
        <f t="shared" si="302"/>
        <v>0</v>
      </c>
      <c r="S559" s="116">
        <f t="shared" si="302"/>
        <v>0</v>
      </c>
      <c r="T559" s="116">
        <f t="shared" si="302"/>
        <v>0</v>
      </c>
      <c r="U559" s="116">
        <f t="shared" si="302"/>
        <v>0</v>
      </c>
      <c r="V559" s="116">
        <f t="shared" si="302"/>
        <v>0</v>
      </c>
      <c r="W559" s="116">
        <f t="shared" si="302"/>
        <v>0</v>
      </c>
      <c r="X559" s="116">
        <f t="shared" si="302"/>
        <v>0</v>
      </c>
      <c r="Y559" s="116">
        <f t="shared" si="302"/>
        <v>0</v>
      </c>
      <c r="Z559" s="116">
        <f t="shared" si="302"/>
        <v>0</v>
      </c>
      <c r="AA559" s="116">
        <f t="shared" si="302"/>
        <v>0</v>
      </c>
      <c r="AB559" s="116">
        <f t="shared" si="302"/>
        <v>0</v>
      </c>
      <c r="AC559" s="116">
        <f t="shared" si="302"/>
        <v>0</v>
      </c>
      <c r="AD559" s="116">
        <f t="shared" si="302"/>
        <v>0</v>
      </c>
      <c r="AE559" s="116">
        <f t="shared" si="302"/>
        <v>0</v>
      </c>
      <c r="AF559" s="116">
        <f t="shared" si="302"/>
        <v>0</v>
      </c>
      <c r="AG559" s="116">
        <f t="shared" si="302"/>
        <v>0</v>
      </c>
      <c r="AH559" s="116">
        <f t="shared" si="302"/>
        <v>0</v>
      </c>
      <c r="AI559" s="116">
        <f t="shared" si="302"/>
        <v>0</v>
      </c>
      <c r="AJ559" s="116">
        <f t="shared" si="302"/>
        <v>0</v>
      </c>
      <c r="AK559" s="116">
        <f t="shared" si="302"/>
        <v>0</v>
      </c>
      <c r="AL559" s="116">
        <f t="shared" si="302"/>
        <v>0</v>
      </c>
      <c r="AM559" s="116">
        <f t="shared" si="302"/>
        <v>0</v>
      </c>
      <c r="AN559" s="116">
        <f t="shared" si="302"/>
        <v>0</v>
      </c>
      <c r="AO559" s="116">
        <f t="shared" si="302"/>
        <v>0</v>
      </c>
      <c r="AP559" s="116">
        <f t="shared" si="302"/>
        <v>0</v>
      </c>
      <c r="AQ559" s="116">
        <f t="shared" si="302"/>
        <v>0</v>
      </c>
      <c r="AR559" s="116">
        <f t="shared" si="302"/>
        <v>0</v>
      </c>
      <c r="AS559" s="116">
        <f t="shared" si="302"/>
        <v>0</v>
      </c>
      <c r="AT559" s="116">
        <f t="shared" si="302"/>
        <v>0</v>
      </c>
      <c r="AU559" s="116">
        <f t="shared" si="302"/>
        <v>0</v>
      </c>
      <c r="AV559" s="116">
        <f t="shared" si="302"/>
        <v>0</v>
      </c>
      <c r="AW559" s="116">
        <f t="shared" si="302"/>
        <v>0</v>
      </c>
      <c r="AX559" s="116">
        <f t="shared" si="302"/>
        <v>0</v>
      </c>
      <c r="AY559" s="116">
        <f t="shared" si="302"/>
        <v>0</v>
      </c>
      <c r="AZ559" s="116">
        <f t="shared" si="302"/>
        <v>0</v>
      </c>
      <c r="BA559" s="116">
        <f t="shared" si="302"/>
        <v>0</v>
      </c>
      <c r="BB559" s="116">
        <f t="shared" si="302"/>
        <v>0</v>
      </c>
      <c r="BC559" s="116">
        <f t="shared" si="302"/>
        <v>0</v>
      </c>
      <c r="BD559" s="116">
        <f t="shared" si="302"/>
        <v>0</v>
      </c>
    </row>
    <row r="560" spans="1:57" ht="15" customHeight="1">
      <c r="B560" s="47"/>
      <c r="C560" s="21">
        <f t="shared" si="301"/>
        <v>0</v>
      </c>
      <c r="D560" s="11" t="s">
        <v>574</v>
      </c>
      <c r="E560" s="18" t="s">
        <v>333</v>
      </c>
      <c r="G560" s="116">
        <f>MIN(SUM(G552:G553), G559)</f>
        <v>0</v>
      </c>
      <c r="H560" s="116">
        <f t="shared" ref="H560:BD560" si="303">MIN(SUM(H552:H553), H559)</f>
        <v>0</v>
      </c>
      <c r="I560" s="116">
        <f t="shared" si="303"/>
        <v>0</v>
      </c>
      <c r="J560" s="116">
        <f t="shared" si="303"/>
        <v>0</v>
      </c>
      <c r="K560" s="116">
        <f t="shared" si="303"/>
        <v>0</v>
      </c>
      <c r="L560" s="116">
        <f t="shared" si="303"/>
        <v>0</v>
      </c>
      <c r="M560" s="116">
        <f t="shared" si="303"/>
        <v>0</v>
      </c>
      <c r="N560" s="116">
        <f t="shared" si="303"/>
        <v>0</v>
      </c>
      <c r="O560" s="116">
        <f t="shared" si="303"/>
        <v>0</v>
      </c>
      <c r="P560" s="116">
        <f t="shared" si="303"/>
        <v>0</v>
      </c>
      <c r="Q560" s="116">
        <f t="shared" si="303"/>
        <v>0</v>
      </c>
      <c r="R560" s="116">
        <f t="shared" si="303"/>
        <v>0</v>
      </c>
      <c r="S560" s="116">
        <f t="shared" si="303"/>
        <v>0</v>
      </c>
      <c r="T560" s="116">
        <f t="shared" si="303"/>
        <v>0</v>
      </c>
      <c r="U560" s="116">
        <f t="shared" si="303"/>
        <v>0</v>
      </c>
      <c r="V560" s="116">
        <f t="shared" si="303"/>
        <v>0</v>
      </c>
      <c r="W560" s="116">
        <f t="shared" si="303"/>
        <v>0</v>
      </c>
      <c r="X560" s="116">
        <f t="shared" si="303"/>
        <v>0</v>
      </c>
      <c r="Y560" s="116">
        <f t="shared" si="303"/>
        <v>0</v>
      </c>
      <c r="Z560" s="116">
        <f t="shared" si="303"/>
        <v>0</v>
      </c>
      <c r="AA560" s="116">
        <f t="shared" si="303"/>
        <v>0</v>
      </c>
      <c r="AB560" s="116">
        <f t="shared" si="303"/>
        <v>0</v>
      </c>
      <c r="AC560" s="116">
        <f t="shared" si="303"/>
        <v>0</v>
      </c>
      <c r="AD560" s="116">
        <f t="shared" si="303"/>
        <v>0</v>
      </c>
      <c r="AE560" s="116">
        <f t="shared" si="303"/>
        <v>0</v>
      </c>
      <c r="AF560" s="116">
        <f t="shared" si="303"/>
        <v>0</v>
      </c>
      <c r="AG560" s="116">
        <f t="shared" si="303"/>
        <v>0</v>
      </c>
      <c r="AH560" s="116">
        <f t="shared" si="303"/>
        <v>0</v>
      </c>
      <c r="AI560" s="116">
        <f t="shared" si="303"/>
        <v>0</v>
      </c>
      <c r="AJ560" s="116">
        <f t="shared" si="303"/>
        <v>0</v>
      </c>
      <c r="AK560" s="116">
        <f t="shared" si="303"/>
        <v>0</v>
      </c>
      <c r="AL560" s="116">
        <f t="shared" si="303"/>
        <v>0</v>
      </c>
      <c r="AM560" s="116">
        <f t="shared" si="303"/>
        <v>0</v>
      </c>
      <c r="AN560" s="116">
        <f t="shared" si="303"/>
        <v>0</v>
      </c>
      <c r="AO560" s="116">
        <f t="shared" si="303"/>
        <v>0</v>
      </c>
      <c r="AP560" s="116">
        <f t="shared" si="303"/>
        <v>0</v>
      </c>
      <c r="AQ560" s="116">
        <f t="shared" si="303"/>
        <v>0</v>
      </c>
      <c r="AR560" s="116">
        <f t="shared" si="303"/>
        <v>0</v>
      </c>
      <c r="AS560" s="116">
        <f t="shared" si="303"/>
        <v>0</v>
      </c>
      <c r="AT560" s="116">
        <f t="shared" si="303"/>
        <v>0</v>
      </c>
      <c r="AU560" s="116">
        <f t="shared" si="303"/>
        <v>0</v>
      </c>
      <c r="AV560" s="116">
        <f t="shared" si="303"/>
        <v>0</v>
      </c>
      <c r="AW560" s="116">
        <f t="shared" si="303"/>
        <v>0</v>
      </c>
      <c r="AX560" s="116">
        <f t="shared" si="303"/>
        <v>0</v>
      </c>
      <c r="AY560" s="116">
        <f t="shared" si="303"/>
        <v>0</v>
      </c>
      <c r="AZ560" s="116">
        <f t="shared" si="303"/>
        <v>0</v>
      </c>
      <c r="BA560" s="116">
        <f t="shared" si="303"/>
        <v>0</v>
      </c>
      <c r="BB560" s="116">
        <f t="shared" si="303"/>
        <v>0</v>
      </c>
      <c r="BC560" s="116">
        <f t="shared" si="303"/>
        <v>0</v>
      </c>
      <c r="BD560" s="116">
        <f t="shared" si="303"/>
        <v>0</v>
      </c>
    </row>
    <row r="561" spans="1:57" ht="15" customHeight="1">
      <c r="B561" s="47"/>
      <c r="C561" s="21"/>
      <c r="D561" s="11" t="s">
        <v>463</v>
      </c>
      <c r="E561" s="18" t="s">
        <v>333</v>
      </c>
      <c r="G561" s="116">
        <f>G559 - G560</f>
        <v>0</v>
      </c>
      <c r="H561" s="116">
        <f t="shared" ref="H561:BD561" si="304">H559 - H560</f>
        <v>0</v>
      </c>
      <c r="I561" s="116">
        <f t="shared" si="304"/>
        <v>0</v>
      </c>
      <c r="J561" s="116">
        <f t="shared" si="304"/>
        <v>0</v>
      </c>
      <c r="K561" s="116">
        <f t="shared" si="304"/>
        <v>0</v>
      </c>
      <c r="L561" s="116">
        <f t="shared" si="304"/>
        <v>0</v>
      </c>
      <c r="M561" s="116">
        <f t="shared" si="304"/>
        <v>0</v>
      </c>
      <c r="N561" s="116">
        <f t="shared" si="304"/>
        <v>0</v>
      </c>
      <c r="O561" s="116">
        <f t="shared" si="304"/>
        <v>0</v>
      </c>
      <c r="P561" s="116">
        <f t="shared" si="304"/>
        <v>0</v>
      </c>
      <c r="Q561" s="116">
        <f t="shared" si="304"/>
        <v>0</v>
      </c>
      <c r="R561" s="116">
        <f t="shared" si="304"/>
        <v>0</v>
      </c>
      <c r="S561" s="116">
        <f t="shared" si="304"/>
        <v>0</v>
      </c>
      <c r="T561" s="116">
        <f t="shared" si="304"/>
        <v>0</v>
      </c>
      <c r="U561" s="116">
        <f t="shared" si="304"/>
        <v>0</v>
      </c>
      <c r="V561" s="116">
        <f t="shared" si="304"/>
        <v>0</v>
      </c>
      <c r="W561" s="116">
        <f t="shared" si="304"/>
        <v>0</v>
      </c>
      <c r="X561" s="116">
        <f t="shared" si="304"/>
        <v>0</v>
      </c>
      <c r="Y561" s="116">
        <f t="shared" si="304"/>
        <v>0</v>
      </c>
      <c r="Z561" s="116">
        <f t="shared" si="304"/>
        <v>0</v>
      </c>
      <c r="AA561" s="116">
        <f t="shared" si="304"/>
        <v>0</v>
      </c>
      <c r="AB561" s="116">
        <f t="shared" si="304"/>
        <v>0</v>
      </c>
      <c r="AC561" s="116">
        <f t="shared" si="304"/>
        <v>0</v>
      </c>
      <c r="AD561" s="116">
        <f t="shared" si="304"/>
        <v>0</v>
      </c>
      <c r="AE561" s="116">
        <f t="shared" si="304"/>
        <v>0</v>
      </c>
      <c r="AF561" s="116">
        <f t="shared" si="304"/>
        <v>0</v>
      </c>
      <c r="AG561" s="116">
        <f t="shared" si="304"/>
        <v>0</v>
      </c>
      <c r="AH561" s="116">
        <f t="shared" si="304"/>
        <v>0</v>
      </c>
      <c r="AI561" s="116">
        <f t="shared" si="304"/>
        <v>0</v>
      </c>
      <c r="AJ561" s="116">
        <f t="shared" si="304"/>
        <v>0</v>
      </c>
      <c r="AK561" s="116">
        <f t="shared" si="304"/>
        <v>0</v>
      </c>
      <c r="AL561" s="116">
        <f t="shared" si="304"/>
        <v>0</v>
      </c>
      <c r="AM561" s="116">
        <f t="shared" si="304"/>
        <v>0</v>
      </c>
      <c r="AN561" s="116">
        <f t="shared" si="304"/>
        <v>0</v>
      </c>
      <c r="AO561" s="116">
        <f t="shared" si="304"/>
        <v>0</v>
      </c>
      <c r="AP561" s="116">
        <f t="shared" si="304"/>
        <v>0</v>
      </c>
      <c r="AQ561" s="116">
        <f t="shared" si="304"/>
        <v>0</v>
      </c>
      <c r="AR561" s="116">
        <f t="shared" si="304"/>
        <v>0</v>
      </c>
      <c r="AS561" s="116">
        <f t="shared" si="304"/>
        <v>0</v>
      </c>
      <c r="AT561" s="116">
        <f t="shared" si="304"/>
        <v>0</v>
      </c>
      <c r="AU561" s="116">
        <f t="shared" si="304"/>
        <v>0</v>
      </c>
      <c r="AV561" s="116">
        <f t="shared" si="304"/>
        <v>0</v>
      </c>
      <c r="AW561" s="116">
        <f t="shared" si="304"/>
        <v>0</v>
      </c>
      <c r="AX561" s="116">
        <f t="shared" si="304"/>
        <v>0</v>
      </c>
      <c r="AY561" s="116">
        <f t="shared" si="304"/>
        <v>0</v>
      </c>
      <c r="AZ561" s="116">
        <f t="shared" si="304"/>
        <v>0</v>
      </c>
      <c r="BA561" s="116">
        <f t="shared" si="304"/>
        <v>0</v>
      </c>
      <c r="BB561" s="116">
        <f t="shared" si="304"/>
        <v>0</v>
      </c>
      <c r="BC561" s="116">
        <f t="shared" si="304"/>
        <v>0</v>
      </c>
      <c r="BD561" s="116">
        <f t="shared" si="304"/>
        <v>0</v>
      </c>
    </row>
    <row r="562" spans="1:57" ht="15" customHeight="1">
      <c r="B562" s="47"/>
      <c r="C562" s="21"/>
      <c r="E562" s="18"/>
      <c r="G562" s="116"/>
      <c r="H562" s="116"/>
      <c r="I562" s="116"/>
      <c r="J562" s="116"/>
      <c r="K562" s="116"/>
      <c r="L562" s="116"/>
      <c r="M562" s="116"/>
      <c r="N562" s="116"/>
      <c r="O562" s="116"/>
      <c r="P562" s="116"/>
      <c r="Q562" s="116"/>
      <c r="R562" s="116"/>
      <c r="S562" s="116"/>
      <c r="T562" s="116"/>
      <c r="U562" s="116"/>
      <c r="V562" s="116"/>
      <c r="W562" s="116"/>
      <c r="X562" s="116"/>
      <c r="Y562" s="116"/>
      <c r="Z562" s="116"/>
      <c r="AA562" s="116"/>
      <c r="AB562" s="116"/>
      <c r="AC562" s="116"/>
      <c r="AD562" s="116"/>
      <c r="AE562" s="116"/>
      <c r="AF562" s="116"/>
      <c r="AG562" s="116"/>
      <c r="AH562" s="116"/>
      <c r="AI562" s="116"/>
      <c r="AJ562" s="116"/>
      <c r="AK562" s="116"/>
      <c r="AL562" s="116"/>
      <c r="AM562" s="116"/>
      <c r="AN562" s="116"/>
      <c r="AO562" s="116"/>
      <c r="AP562" s="116"/>
      <c r="AQ562" s="116"/>
      <c r="AR562" s="116"/>
      <c r="AS562" s="116"/>
      <c r="AT562" s="116"/>
      <c r="AU562" s="116"/>
      <c r="AV562" s="116"/>
      <c r="AW562" s="116"/>
      <c r="AX562" s="116"/>
      <c r="AY562" s="116"/>
      <c r="AZ562" s="116"/>
      <c r="BA562" s="116"/>
      <c r="BB562" s="116"/>
      <c r="BC562" s="116"/>
      <c r="BD562" s="116"/>
    </row>
    <row r="563" spans="1:57" ht="15" customHeight="1">
      <c r="B563" s="47"/>
      <c r="C563" s="21">
        <f>SUM(G563:BD563)</f>
        <v>727.39781169922594</v>
      </c>
      <c r="D563" s="11" t="s">
        <v>575</v>
      </c>
      <c r="E563" s="18" t="s">
        <v>333</v>
      </c>
      <c r="G563" s="116">
        <f>SUM(G552:G553) - G560</f>
        <v>0</v>
      </c>
      <c r="H563" s="116">
        <f t="shared" ref="H563:BD563" si="305">SUM(H552:H553) - H560</f>
        <v>0</v>
      </c>
      <c r="I563" s="116">
        <f t="shared" si="305"/>
        <v>0</v>
      </c>
      <c r="J563" s="116">
        <f t="shared" si="305"/>
        <v>0</v>
      </c>
      <c r="K563" s="116">
        <f t="shared" si="305"/>
        <v>0</v>
      </c>
      <c r="L563" s="116">
        <f t="shared" si="305"/>
        <v>0</v>
      </c>
      <c r="M563" s="116">
        <f t="shared" si="305"/>
        <v>5.0178412878112573</v>
      </c>
      <c r="N563" s="116">
        <f t="shared" si="305"/>
        <v>25.19463144695289</v>
      </c>
      <c r="O563" s="116">
        <f t="shared" si="305"/>
        <v>26.554992462370038</v>
      </c>
      <c r="P563" s="116">
        <f t="shared" si="305"/>
        <v>30.050181750654883</v>
      </c>
      <c r="Q563" s="116">
        <f t="shared" si="305"/>
        <v>30.65118538566799</v>
      </c>
      <c r="R563" s="116">
        <f t="shared" si="305"/>
        <v>31.264209093381325</v>
      </c>
      <c r="S563" s="116">
        <f t="shared" si="305"/>
        <v>31.88949327524897</v>
      </c>
      <c r="T563" s="116">
        <f t="shared" si="305"/>
        <v>32.527283140753944</v>
      </c>
      <c r="U563" s="116">
        <f t="shared" si="305"/>
        <v>33.177828803569021</v>
      </c>
      <c r="V563" s="116">
        <f t="shared" si="305"/>
        <v>33.841385379640393</v>
      </c>
      <c r="W563" s="116">
        <f t="shared" si="305"/>
        <v>34.518213087233214</v>
      </c>
      <c r="X563" s="116">
        <f t="shared" si="305"/>
        <v>35.20857734897789</v>
      </c>
      <c r="Y563" s="116">
        <f t="shared" si="305"/>
        <v>35.658261382752947</v>
      </c>
      <c r="Z563" s="116">
        <f t="shared" si="305"/>
        <v>36.370822741732582</v>
      </c>
      <c r="AA563" s="116">
        <f t="shared" si="305"/>
        <v>37.096853550214377</v>
      </c>
      <c r="AB563" s="116">
        <f t="shared" si="305"/>
        <v>37.836359477518485</v>
      </c>
      <c r="AC563" s="116">
        <f t="shared" si="305"/>
        <v>38.589196229176522</v>
      </c>
      <c r="AD563" s="116">
        <f t="shared" si="305"/>
        <v>38.922227860889045</v>
      </c>
      <c r="AE563" s="116">
        <f t="shared" si="305"/>
        <v>39.691131757861449</v>
      </c>
      <c r="AF563" s="116">
        <f t="shared" si="305"/>
        <v>40.468923215401901</v>
      </c>
      <c r="AG563" s="116">
        <f t="shared" si="305"/>
        <v>46.420590525150608</v>
      </c>
      <c r="AH563" s="116">
        <f t="shared" si="305"/>
        <v>26.447622496266209</v>
      </c>
      <c r="AI563" s="116">
        <f t="shared" si="305"/>
        <v>0</v>
      </c>
      <c r="AJ563" s="116">
        <f t="shared" si="305"/>
        <v>0</v>
      </c>
      <c r="AK563" s="116">
        <f t="shared" si="305"/>
        <v>0</v>
      </c>
      <c r="AL563" s="116">
        <f t="shared" si="305"/>
        <v>0</v>
      </c>
      <c r="AM563" s="116">
        <f t="shared" si="305"/>
        <v>0</v>
      </c>
      <c r="AN563" s="116">
        <f t="shared" si="305"/>
        <v>0</v>
      </c>
      <c r="AO563" s="116">
        <f t="shared" si="305"/>
        <v>0</v>
      </c>
      <c r="AP563" s="116">
        <f t="shared" si="305"/>
        <v>0</v>
      </c>
      <c r="AQ563" s="116">
        <f t="shared" si="305"/>
        <v>0</v>
      </c>
      <c r="AR563" s="116">
        <f t="shared" si="305"/>
        <v>0</v>
      </c>
      <c r="AS563" s="116">
        <f t="shared" si="305"/>
        <v>0</v>
      </c>
      <c r="AT563" s="116">
        <f t="shared" si="305"/>
        <v>0</v>
      </c>
      <c r="AU563" s="116">
        <f t="shared" si="305"/>
        <v>0</v>
      </c>
      <c r="AV563" s="116">
        <f t="shared" si="305"/>
        <v>0</v>
      </c>
      <c r="AW563" s="116">
        <f t="shared" si="305"/>
        <v>0</v>
      </c>
      <c r="AX563" s="116">
        <f t="shared" si="305"/>
        <v>0</v>
      </c>
      <c r="AY563" s="116">
        <f t="shared" si="305"/>
        <v>0</v>
      </c>
      <c r="AZ563" s="116">
        <f t="shared" si="305"/>
        <v>0</v>
      </c>
      <c r="BA563" s="116">
        <f t="shared" si="305"/>
        <v>0</v>
      </c>
      <c r="BB563" s="116">
        <f t="shared" si="305"/>
        <v>0</v>
      </c>
      <c r="BC563" s="116">
        <f t="shared" si="305"/>
        <v>0</v>
      </c>
      <c r="BD563" s="116">
        <f t="shared" si="305"/>
        <v>0</v>
      </c>
    </row>
    <row r="564" spans="1:57" ht="15" customHeight="1">
      <c r="B564" s="47"/>
      <c r="C564" s="21"/>
      <c r="E564" s="18"/>
      <c r="G564" s="116"/>
      <c r="H564" s="116"/>
      <c r="I564" s="116"/>
      <c r="J564" s="116"/>
      <c r="K564" s="116"/>
      <c r="L564" s="116"/>
      <c r="M564" s="116"/>
      <c r="N564" s="116"/>
      <c r="O564" s="116"/>
      <c r="P564" s="116"/>
      <c r="Q564" s="116"/>
      <c r="R564" s="116"/>
      <c r="S564" s="116"/>
      <c r="T564" s="116"/>
      <c r="U564" s="116"/>
      <c r="V564" s="116"/>
      <c r="W564" s="116"/>
      <c r="X564" s="116"/>
      <c r="Y564" s="116"/>
      <c r="Z564" s="116"/>
      <c r="AA564" s="116"/>
      <c r="AB564" s="116"/>
      <c r="AC564" s="116"/>
      <c r="AD564" s="116"/>
      <c r="AE564" s="116"/>
      <c r="AF564" s="116"/>
      <c r="AG564" s="116"/>
      <c r="AH564" s="116"/>
      <c r="AI564" s="116"/>
      <c r="AJ564" s="116"/>
      <c r="AK564" s="116"/>
      <c r="AL564" s="116"/>
      <c r="AM564" s="116"/>
      <c r="AN564" s="116"/>
      <c r="AO564" s="116"/>
      <c r="AP564" s="116"/>
      <c r="AQ564" s="116"/>
      <c r="AR564" s="116"/>
      <c r="AS564" s="116"/>
      <c r="AT564" s="116"/>
      <c r="AU564" s="116"/>
      <c r="AV564" s="116"/>
      <c r="AW564" s="116"/>
      <c r="AX564" s="116"/>
      <c r="AY564" s="116"/>
      <c r="AZ564" s="116"/>
      <c r="BA564" s="116"/>
      <c r="BB564" s="116"/>
      <c r="BC564" s="116"/>
      <c r="BD564" s="116"/>
    </row>
    <row r="565" spans="1:57" ht="15" customHeight="1">
      <c r="B565" s="47"/>
      <c r="C565" s="21">
        <f>SUM(G565:BD565)</f>
        <v>727.39781169922594</v>
      </c>
      <c r="D565" s="11" t="s">
        <v>576</v>
      </c>
      <c r="E565" s="18" t="s">
        <v>333</v>
      </c>
      <c r="G565" s="116">
        <f>G557 + G563 - G551</f>
        <v>0</v>
      </c>
      <c r="H565" s="116">
        <f t="shared" ref="H565:BD565" si="306">H557 + H563 - H551</f>
        <v>0</v>
      </c>
      <c r="I565" s="116">
        <f t="shared" si="306"/>
        <v>0</v>
      </c>
      <c r="J565" s="116">
        <f t="shared" si="306"/>
        <v>0</v>
      </c>
      <c r="K565" s="116">
        <f t="shared" si="306"/>
        <v>0</v>
      </c>
      <c r="L565" s="116">
        <f t="shared" si="306"/>
        <v>0</v>
      </c>
      <c r="M565" s="116">
        <f t="shared" si="306"/>
        <v>5.0178412878112573</v>
      </c>
      <c r="N565" s="116">
        <f t="shared" si="306"/>
        <v>25.19463144695289</v>
      </c>
      <c r="O565" s="116">
        <f t="shared" si="306"/>
        <v>26.554992462370038</v>
      </c>
      <c r="P565" s="116">
        <f t="shared" si="306"/>
        <v>30.050181750654883</v>
      </c>
      <c r="Q565" s="116">
        <f t="shared" si="306"/>
        <v>30.65118538566799</v>
      </c>
      <c r="R565" s="116">
        <f t="shared" si="306"/>
        <v>31.264209093381325</v>
      </c>
      <c r="S565" s="116">
        <f t="shared" si="306"/>
        <v>31.88949327524897</v>
      </c>
      <c r="T565" s="116">
        <f t="shared" si="306"/>
        <v>32.527283140753944</v>
      </c>
      <c r="U565" s="116">
        <f t="shared" si="306"/>
        <v>33.177828803569021</v>
      </c>
      <c r="V565" s="116">
        <f t="shared" si="306"/>
        <v>33.841385379640393</v>
      </c>
      <c r="W565" s="116">
        <f t="shared" si="306"/>
        <v>34.518213087233214</v>
      </c>
      <c r="X565" s="116">
        <f t="shared" si="306"/>
        <v>35.20857734897789</v>
      </c>
      <c r="Y565" s="116">
        <f t="shared" si="306"/>
        <v>35.658261382752947</v>
      </c>
      <c r="Z565" s="116">
        <f t="shared" si="306"/>
        <v>36.370822741732582</v>
      </c>
      <c r="AA565" s="116">
        <f t="shared" si="306"/>
        <v>37.096853550214377</v>
      </c>
      <c r="AB565" s="116">
        <f t="shared" si="306"/>
        <v>37.836359477518485</v>
      </c>
      <c r="AC565" s="116">
        <f t="shared" si="306"/>
        <v>38.589196229176522</v>
      </c>
      <c r="AD565" s="116">
        <f t="shared" si="306"/>
        <v>38.922227860889045</v>
      </c>
      <c r="AE565" s="116">
        <f t="shared" si="306"/>
        <v>39.691131757861449</v>
      </c>
      <c r="AF565" s="116">
        <f t="shared" si="306"/>
        <v>40.468923215401901</v>
      </c>
      <c r="AG565" s="116">
        <f t="shared" si="306"/>
        <v>46.420590525150608</v>
      </c>
      <c r="AH565" s="116">
        <f t="shared" si="306"/>
        <v>26.447622496266209</v>
      </c>
      <c r="AI565" s="116">
        <f t="shared" si="306"/>
        <v>0</v>
      </c>
      <c r="AJ565" s="116">
        <f t="shared" si="306"/>
        <v>0</v>
      </c>
      <c r="AK565" s="116">
        <f t="shared" si="306"/>
        <v>0</v>
      </c>
      <c r="AL565" s="116">
        <f t="shared" si="306"/>
        <v>0</v>
      </c>
      <c r="AM565" s="116">
        <f t="shared" si="306"/>
        <v>0</v>
      </c>
      <c r="AN565" s="116">
        <f t="shared" si="306"/>
        <v>0</v>
      </c>
      <c r="AO565" s="116">
        <f t="shared" si="306"/>
        <v>0</v>
      </c>
      <c r="AP565" s="116">
        <f t="shared" si="306"/>
        <v>0</v>
      </c>
      <c r="AQ565" s="116">
        <f t="shared" si="306"/>
        <v>0</v>
      </c>
      <c r="AR565" s="116">
        <f t="shared" si="306"/>
        <v>0</v>
      </c>
      <c r="AS565" s="116">
        <f t="shared" si="306"/>
        <v>0</v>
      </c>
      <c r="AT565" s="116">
        <f t="shared" si="306"/>
        <v>0</v>
      </c>
      <c r="AU565" s="116">
        <f t="shared" si="306"/>
        <v>0</v>
      </c>
      <c r="AV565" s="116">
        <f t="shared" si="306"/>
        <v>0</v>
      </c>
      <c r="AW565" s="116">
        <f t="shared" si="306"/>
        <v>0</v>
      </c>
      <c r="AX565" s="116">
        <f t="shared" si="306"/>
        <v>0</v>
      </c>
      <c r="AY565" s="116">
        <f t="shared" si="306"/>
        <v>0</v>
      </c>
      <c r="AZ565" s="116">
        <f t="shared" si="306"/>
        <v>0</v>
      </c>
      <c r="BA565" s="116">
        <f t="shared" si="306"/>
        <v>0</v>
      </c>
      <c r="BB565" s="116">
        <f t="shared" si="306"/>
        <v>0</v>
      </c>
      <c r="BC565" s="116">
        <f t="shared" si="306"/>
        <v>0</v>
      </c>
      <c r="BD565" s="116">
        <f t="shared" si="306"/>
        <v>0</v>
      </c>
    </row>
    <row r="566" spans="1:57" ht="15" customHeight="1">
      <c r="C566" s="21">
        <f>SUM(G566:BD566)</f>
        <v>23602.735260877504</v>
      </c>
      <c r="D566" s="11" t="s">
        <v>577</v>
      </c>
      <c r="E566" s="18" t="s">
        <v>333</v>
      </c>
      <c r="G566" s="21">
        <f>SUM($G$565:G565)</f>
        <v>0</v>
      </c>
      <c r="H566" s="21">
        <f>SUM($G$565:H565)</f>
        <v>0</v>
      </c>
      <c r="I566" s="21">
        <f>SUM($G$565:I565)</f>
        <v>0</v>
      </c>
      <c r="J566" s="21">
        <f>SUM($G$565:J565)</f>
        <v>0</v>
      </c>
      <c r="K566" s="21">
        <f>SUM($G$565:K565)</f>
        <v>0</v>
      </c>
      <c r="L566" s="21">
        <f>SUM($G$565:L565)</f>
        <v>0</v>
      </c>
      <c r="M566" s="21">
        <f>SUM($G$565:M565)</f>
        <v>5.0178412878112573</v>
      </c>
      <c r="N566" s="21">
        <f>SUM($G$565:N565)</f>
        <v>30.212472734764148</v>
      </c>
      <c r="O566" s="21">
        <f>SUM($G$565:O565)</f>
        <v>56.767465197134186</v>
      </c>
      <c r="P566" s="21">
        <f>SUM($G$565:P565)</f>
        <v>86.817646947789072</v>
      </c>
      <c r="Q566" s="21">
        <f>SUM($G$565:Q565)</f>
        <v>117.46883233345706</v>
      </c>
      <c r="R566" s="21">
        <f>SUM($G$565:R565)</f>
        <v>148.73304142683838</v>
      </c>
      <c r="S566" s="21">
        <f>SUM($G$565:S565)</f>
        <v>180.62253470208736</v>
      </c>
      <c r="T566" s="21">
        <f>SUM($G$565:T565)</f>
        <v>213.14981784284132</v>
      </c>
      <c r="U566" s="21">
        <f>SUM($G$565:U565)</f>
        <v>246.32764664641033</v>
      </c>
      <c r="V566" s="21">
        <f>SUM($G$565:V565)</f>
        <v>280.16903202605073</v>
      </c>
      <c r="W566" s="21">
        <f>SUM($G$565:W565)</f>
        <v>314.68724511328395</v>
      </c>
      <c r="X566" s="21">
        <f>SUM($G$565:X565)</f>
        <v>349.89582246226183</v>
      </c>
      <c r="Y566" s="21">
        <f>SUM($G$565:Y565)</f>
        <v>385.55408384501476</v>
      </c>
      <c r="Z566" s="21">
        <f>SUM($G$565:Z565)</f>
        <v>421.92490658674734</v>
      </c>
      <c r="AA566" s="21">
        <f>SUM($G$565:AA565)</f>
        <v>459.02176013696169</v>
      </c>
      <c r="AB566" s="21">
        <f>SUM($G$565:AB565)</f>
        <v>496.85811961448019</v>
      </c>
      <c r="AC566" s="21">
        <f>SUM($G$565:AC565)</f>
        <v>535.44731584365672</v>
      </c>
      <c r="AD566" s="21">
        <f>SUM($G$565:AD565)</f>
        <v>574.36954370454578</v>
      </c>
      <c r="AE566" s="21">
        <f>SUM($G$565:AE565)</f>
        <v>614.06067546240718</v>
      </c>
      <c r="AF566" s="21">
        <f>SUM($G$565:AF565)</f>
        <v>654.52959867780908</v>
      </c>
      <c r="AG566" s="21">
        <f>SUM($G$565:AG565)</f>
        <v>700.95018920295968</v>
      </c>
      <c r="AH566" s="21">
        <f>SUM($G$565:AH565)</f>
        <v>727.39781169922594</v>
      </c>
      <c r="AI566" s="21">
        <f>SUM($G$565:AI565)</f>
        <v>727.39781169922594</v>
      </c>
      <c r="AJ566" s="21">
        <f>SUM($G$565:AJ565)</f>
        <v>727.39781169922594</v>
      </c>
      <c r="AK566" s="21">
        <f>SUM($G$565:AK565)</f>
        <v>727.39781169922594</v>
      </c>
      <c r="AL566" s="21">
        <f>SUM($G$565:AL565)</f>
        <v>727.39781169922594</v>
      </c>
      <c r="AM566" s="21">
        <f>SUM($G$565:AM565)</f>
        <v>727.39781169922594</v>
      </c>
      <c r="AN566" s="21">
        <f>SUM($G$565:AN565)</f>
        <v>727.39781169922594</v>
      </c>
      <c r="AO566" s="21">
        <f>SUM($G$565:AO565)</f>
        <v>727.39781169922594</v>
      </c>
      <c r="AP566" s="21">
        <f>SUM($G$565:AP565)</f>
        <v>727.39781169922594</v>
      </c>
      <c r="AQ566" s="21">
        <f>SUM($G$565:AQ565)</f>
        <v>727.39781169922594</v>
      </c>
      <c r="AR566" s="21">
        <f>SUM($G$565:AR565)</f>
        <v>727.39781169922594</v>
      </c>
      <c r="AS566" s="21">
        <f>SUM($G$565:AS565)</f>
        <v>727.39781169922594</v>
      </c>
      <c r="AT566" s="21">
        <f>SUM($G$565:AT565)</f>
        <v>727.39781169922594</v>
      </c>
      <c r="AU566" s="21">
        <f>SUM($G$565:AU565)</f>
        <v>727.39781169922594</v>
      </c>
      <c r="AV566" s="21">
        <f>SUM($G$565:AV565)</f>
        <v>727.39781169922594</v>
      </c>
      <c r="AW566" s="21">
        <f>SUM($G$565:AW565)</f>
        <v>727.39781169922594</v>
      </c>
      <c r="AX566" s="21">
        <f>SUM($G$565:AX565)</f>
        <v>727.39781169922594</v>
      </c>
      <c r="AY566" s="21">
        <f>SUM($G$565:AY565)</f>
        <v>727.39781169922594</v>
      </c>
      <c r="AZ566" s="21">
        <f>SUM($G$565:AZ565)</f>
        <v>727.39781169922594</v>
      </c>
      <c r="BA566" s="21">
        <f>SUM($G$565:BA565)</f>
        <v>727.39781169922594</v>
      </c>
      <c r="BB566" s="21">
        <f>SUM($G$565:BB565)</f>
        <v>727.39781169922594</v>
      </c>
      <c r="BC566" s="21">
        <f>SUM($G$565:BC565)</f>
        <v>727.39781169922594</v>
      </c>
      <c r="BD566" s="21">
        <f>SUM($G$565:BD565)</f>
        <v>727.39781169922594</v>
      </c>
    </row>
    <row r="567" spans="1:57" ht="15" customHeight="1">
      <c r="C567" s="21">
        <f>SUM(G567:BD567)</f>
        <v>727.39781169922594</v>
      </c>
      <c r="D567" s="11" t="s">
        <v>578</v>
      </c>
      <c r="E567" s="18" t="s">
        <v>333</v>
      </c>
      <c r="G567" s="116">
        <f t="shared" ref="G567:AL567" si="307">IF(G566&gt;0,MAX(0,MIN(G566,G565)),0)</f>
        <v>0</v>
      </c>
      <c r="H567" s="116">
        <f t="shared" si="307"/>
        <v>0</v>
      </c>
      <c r="I567" s="116">
        <f t="shared" si="307"/>
        <v>0</v>
      </c>
      <c r="J567" s="116">
        <f t="shared" si="307"/>
        <v>0</v>
      </c>
      <c r="K567" s="116">
        <f t="shared" si="307"/>
        <v>0</v>
      </c>
      <c r="L567" s="116">
        <f t="shared" si="307"/>
        <v>0</v>
      </c>
      <c r="M567" s="116">
        <f t="shared" si="307"/>
        <v>5.0178412878112573</v>
      </c>
      <c r="N567" s="116">
        <f t="shared" si="307"/>
        <v>25.19463144695289</v>
      </c>
      <c r="O567" s="116">
        <f t="shared" si="307"/>
        <v>26.554992462370038</v>
      </c>
      <c r="P567" s="116">
        <f t="shared" si="307"/>
        <v>30.050181750654883</v>
      </c>
      <c r="Q567" s="116">
        <f t="shared" si="307"/>
        <v>30.65118538566799</v>
      </c>
      <c r="R567" s="116">
        <f t="shared" si="307"/>
        <v>31.264209093381325</v>
      </c>
      <c r="S567" s="116">
        <f t="shared" si="307"/>
        <v>31.88949327524897</v>
      </c>
      <c r="T567" s="116">
        <f t="shared" si="307"/>
        <v>32.527283140753944</v>
      </c>
      <c r="U567" s="116">
        <f t="shared" si="307"/>
        <v>33.177828803569021</v>
      </c>
      <c r="V567" s="116">
        <f t="shared" si="307"/>
        <v>33.841385379640393</v>
      </c>
      <c r="W567" s="116">
        <f t="shared" si="307"/>
        <v>34.518213087233214</v>
      </c>
      <c r="X567" s="116">
        <f t="shared" si="307"/>
        <v>35.20857734897789</v>
      </c>
      <c r="Y567" s="116">
        <f t="shared" si="307"/>
        <v>35.658261382752947</v>
      </c>
      <c r="Z567" s="116">
        <f t="shared" si="307"/>
        <v>36.370822741732582</v>
      </c>
      <c r="AA567" s="116">
        <f t="shared" si="307"/>
        <v>37.096853550214377</v>
      </c>
      <c r="AB567" s="116">
        <f t="shared" si="307"/>
        <v>37.836359477518485</v>
      </c>
      <c r="AC567" s="116">
        <f t="shared" si="307"/>
        <v>38.589196229176522</v>
      </c>
      <c r="AD567" s="116">
        <f t="shared" si="307"/>
        <v>38.922227860889045</v>
      </c>
      <c r="AE567" s="116">
        <f t="shared" si="307"/>
        <v>39.691131757861449</v>
      </c>
      <c r="AF567" s="116">
        <f t="shared" si="307"/>
        <v>40.468923215401901</v>
      </c>
      <c r="AG567" s="116">
        <f t="shared" si="307"/>
        <v>46.420590525150608</v>
      </c>
      <c r="AH567" s="116">
        <f t="shared" si="307"/>
        <v>26.447622496266209</v>
      </c>
      <c r="AI567" s="116">
        <f t="shared" si="307"/>
        <v>0</v>
      </c>
      <c r="AJ567" s="116">
        <f t="shared" si="307"/>
        <v>0</v>
      </c>
      <c r="AK567" s="116">
        <f t="shared" si="307"/>
        <v>0</v>
      </c>
      <c r="AL567" s="116">
        <f t="shared" si="307"/>
        <v>0</v>
      </c>
      <c r="AM567" s="116">
        <f t="shared" ref="AM567:BD567" si="308">IF(AM566&gt;0,MAX(0,MIN(AM566,AM565)),0)</f>
        <v>0</v>
      </c>
      <c r="AN567" s="116">
        <f t="shared" si="308"/>
        <v>0</v>
      </c>
      <c r="AO567" s="116">
        <f t="shared" si="308"/>
        <v>0</v>
      </c>
      <c r="AP567" s="116">
        <f t="shared" si="308"/>
        <v>0</v>
      </c>
      <c r="AQ567" s="116">
        <f t="shared" si="308"/>
        <v>0</v>
      </c>
      <c r="AR567" s="116">
        <f t="shared" si="308"/>
        <v>0</v>
      </c>
      <c r="AS567" s="116">
        <f t="shared" si="308"/>
        <v>0</v>
      </c>
      <c r="AT567" s="116">
        <f t="shared" si="308"/>
        <v>0</v>
      </c>
      <c r="AU567" s="116">
        <f t="shared" si="308"/>
        <v>0</v>
      </c>
      <c r="AV567" s="116">
        <f t="shared" si="308"/>
        <v>0</v>
      </c>
      <c r="AW567" s="116">
        <f t="shared" si="308"/>
        <v>0</v>
      </c>
      <c r="AX567" s="116">
        <f t="shared" si="308"/>
        <v>0</v>
      </c>
      <c r="AY567" s="116">
        <f t="shared" si="308"/>
        <v>0</v>
      </c>
      <c r="AZ567" s="116">
        <f t="shared" si="308"/>
        <v>0</v>
      </c>
      <c r="BA567" s="116">
        <f t="shared" si="308"/>
        <v>0</v>
      </c>
      <c r="BB567" s="116">
        <f t="shared" si="308"/>
        <v>0</v>
      </c>
      <c r="BC567" s="116">
        <f t="shared" si="308"/>
        <v>0</v>
      </c>
      <c r="BD567" s="116">
        <f t="shared" si="308"/>
        <v>0</v>
      </c>
    </row>
    <row r="568" spans="1:57" ht="15" customHeight="1">
      <c r="C568" s="21"/>
      <c r="E568" s="18"/>
      <c r="G568" s="116"/>
      <c r="H568" s="116"/>
      <c r="I568" s="116"/>
      <c r="J568" s="116"/>
      <c r="K568" s="116"/>
      <c r="L568" s="116"/>
      <c r="M568" s="116"/>
      <c r="N568" s="116"/>
      <c r="O568" s="116"/>
      <c r="P568" s="116"/>
      <c r="Q568" s="116"/>
      <c r="R568" s="116"/>
      <c r="S568" s="116"/>
      <c r="T568" s="116"/>
      <c r="U568" s="116"/>
      <c r="V568" s="116"/>
      <c r="W568" s="116"/>
      <c r="X568" s="116"/>
      <c r="Y568" s="116"/>
      <c r="Z568" s="116"/>
      <c r="AA568" s="116"/>
      <c r="AB568" s="116"/>
      <c r="AC568" s="116"/>
      <c r="AD568" s="116"/>
      <c r="AE568" s="116"/>
      <c r="AF568" s="116"/>
      <c r="AG568" s="116"/>
      <c r="AH568" s="116"/>
      <c r="AI568" s="116"/>
      <c r="AJ568" s="116"/>
      <c r="AK568" s="116"/>
      <c r="AL568" s="116"/>
      <c r="AM568" s="116"/>
      <c r="AN568" s="116"/>
      <c r="AO568" s="116"/>
      <c r="AP568" s="116"/>
      <c r="AQ568" s="116"/>
      <c r="AR568" s="116"/>
      <c r="AS568" s="116"/>
      <c r="AT568" s="116"/>
      <c r="AU568" s="116"/>
      <c r="AV568" s="116"/>
      <c r="AW568" s="116"/>
      <c r="AX568" s="116"/>
      <c r="AY568" s="116"/>
      <c r="AZ568" s="116"/>
      <c r="BA568" s="116"/>
      <c r="BB568" s="116"/>
      <c r="BC568" s="116"/>
      <c r="BD568" s="116"/>
    </row>
    <row r="569" spans="1:57" ht="15" customHeight="1">
      <c r="C569" s="21"/>
      <c r="D569" s="11" t="s">
        <v>579</v>
      </c>
      <c r="E569" s="18"/>
      <c r="G569" s="116"/>
      <c r="H569" s="116"/>
      <c r="I569" s="116"/>
      <c r="J569" s="116"/>
      <c r="K569" s="116"/>
      <c r="L569" s="116"/>
      <c r="M569" s="116"/>
      <c r="N569" s="116"/>
      <c r="O569" s="116"/>
      <c r="P569" s="116"/>
      <c r="Q569" s="116"/>
      <c r="R569" s="116"/>
      <c r="S569" s="116"/>
      <c r="T569" s="116"/>
      <c r="U569" s="116"/>
      <c r="V569" s="116"/>
      <c r="W569" s="116"/>
      <c r="X569" s="116"/>
      <c r="Y569" s="116"/>
      <c r="Z569" s="116"/>
      <c r="AA569" s="116"/>
      <c r="AB569" s="116"/>
      <c r="AC569" s="116"/>
      <c r="AD569" s="116"/>
      <c r="AE569" s="116"/>
      <c r="AF569" s="116"/>
      <c r="AG569" s="116"/>
      <c r="AH569" s="116"/>
      <c r="AI569" s="116"/>
      <c r="AJ569" s="116"/>
      <c r="AK569" s="116"/>
      <c r="AL569" s="116"/>
      <c r="AM569" s="116"/>
      <c r="AN569" s="116"/>
      <c r="AO569" s="116"/>
      <c r="AP569" s="116"/>
      <c r="AQ569" s="116"/>
      <c r="AR569" s="116"/>
      <c r="AS569" s="116"/>
      <c r="AT569" s="116"/>
      <c r="AU569" s="116"/>
      <c r="AV569" s="116"/>
      <c r="AW569" s="116"/>
      <c r="AX569" s="116"/>
      <c r="AY569" s="116"/>
      <c r="AZ569" s="116"/>
      <c r="BA569" s="116"/>
      <c r="BB569" s="116"/>
      <c r="BC569" s="116"/>
      <c r="BD569" s="116"/>
    </row>
    <row r="570" spans="1:57" ht="15" customHeight="1">
      <c r="C570" s="21">
        <f>SUM(G570:BD570)</f>
        <v>3818.8385114209359</v>
      </c>
      <c r="D570" s="11" t="s">
        <v>580</v>
      </c>
      <c r="E570" s="18" t="s">
        <v>333</v>
      </c>
      <c r="G570" s="116">
        <f t="shared" ref="G570:AL570" si="309">IF($E$526 = 1, G548 - G567, 0)</f>
        <v>0</v>
      </c>
      <c r="H570" s="116">
        <f t="shared" si="309"/>
        <v>0</v>
      </c>
      <c r="I570" s="116">
        <f t="shared" si="309"/>
        <v>0</v>
      </c>
      <c r="J570" s="116">
        <f t="shared" si="309"/>
        <v>0</v>
      </c>
      <c r="K570" s="116">
        <f t="shared" si="309"/>
        <v>0</v>
      </c>
      <c r="L570" s="116">
        <f t="shared" si="309"/>
        <v>0</v>
      </c>
      <c r="M570" s="116">
        <f t="shared" si="309"/>
        <v>26.343666761009096</v>
      </c>
      <c r="N570" s="116">
        <f t="shared" si="309"/>
        <v>132.27181509650268</v>
      </c>
      <c r="O570" s="116">
        <f t="shared" si="309"/>
        <v>139.41371042744271</v>
      </c>
      <c r="P570" s="116">
        <f t="shared" si="309"/>
        <v>157.76345419093815</v>
      </c>
      <c r="Q570" s="116">
        <f t="shared" si="309"/>
        <v>160.91872327475696</v>
      </c>
      <c r="R570" s="116">
        <f t="shared" si="309"/>
        <v>164.13709774025193</v>
      </c>
      <c r="S570" s="116">
        <f t="shared" si="309"/>
        <v>167.41983969505708</v>
      </c>
      <c r="T570" s="116">
        <f t="shared" si="309"/>
        <v>170.76823648895819</v>
      </c>
      <c r="U570" s="116">
        <f t="shared" si="309"/>
        <v>174.18360121873738</v>
      </c>
      <c r="V570" s="116">
        <f t="shared" si="309"/>
        <v>177.66727324311205</v>
      </c>
      <c r="W570" s="116">
        <f t="shared" si="309"/>
        <v>181.22061870797438</v>
      </c>
      <c r="X570" s="116">
        <f t="shared" si="309"/>
        <v>184.84503108213391</v>
      </c>
      <c r="Y570" s="116">
        <f t="shared" si="309"/>
        <v>187.20587225945295</v>
      </c>
      <c r="Z570" s="116">
        <f t="shared" si="309"/>
        <v>190.94681939409605</v>
      </c>
      <c r="AA570" s="116">
        <f t="shared" si="309"/>
        <v>194.75848113862548</v>
      </c>
      <c r="AB570" s="116">
        <f t="shared" si="309"/>
        <v>198.64088725697201</v>
      </c>
      <c r="AC570" s="116">
        <f t="shared" si="309"/>
        <v>202.59328020317673</v>
      </c>
      <c r="AD570" s="116">
        <f t="shared" si="309"/>
        <v>204.34169626966747</v>
      </c>
      <c r="AE570" s="116">
        <f t="shared" si="309"/>
        <v>208.3784417287726</v>
      </c>
      <c r="AF570" s="116">
        <f t="shared" si="309"/>
        <v>212.46184688085998</v>
      </c>
      <c r="AG570" s="116">
        <f t="shared" si="309"/>
        <v>243.70810025704071</v>
      </c>
      <c r="AH570" s="116">
        <f t="shared" si="309"/>
        <v>138.8500181053976</v>
      </c>
      <c r="AI570" s="116">
        <f t="shared" si="309"/>
        <v>0</v>
      </c>
      <c r="AJ570" s="116">
        <f t="shared" si="309"/>
        <v>0</v>
      </c>
      <c r="AK570" s="116">
        <f t="shared" si="309"/>
        <v>0</v>
      </c>
      <c r="AL570" s="116">
        <f t="shared" si="309"/>
        <v>0</v>
      </c>
      <c r="AM570" s="116">
        <f t="shared" ref="AM570:BD570" si="310">IF($E$526 = 1, AM548 - AM567, 0)</f>
        <v>0</v>
      </c>
      <c r="AN570" s="116">
        <f t="shared" si="310"/>
        <v>0</v>
      </c>
      <c r="AO570" s="116">
        <f t="shared" si="310"/>
        <v>0</v>
      </c>
      <c r="AP570" s="116">
        <f t="shared" si="310"/>
        <v>0</v>
      </c>
      <c r="AQ570" s="116">
        <f t="shared" si="310"/>
        <v>0</v>
      </c>
      <c r="AR570" s="116">
        <f t="shared" si="310"/>
        <v>0</v>
      </c>
      <c r="AS570" s="116">
        <f t="shared" si="310"/>
        <v>0</v>
      </c>
      <c r="AT570" s="116">
        <f t="shared" si="310"/>
        <v>0</v>
      </c>
      <c r="AU570" s="116">
        <f t="shared" si="310"/>
        <v>0</v>
      </c>
      <c r="AV570" s="116">
        <f t="shared" si="310"/>
        <v>0</v>
      </c>
      <c r="AW570" s="116">
        <f t="shared" si="310"/>
        <v>0</v>
      </c>
      <c r="AX570" s="116">
        <f t="shared" si="310"/>
        <v>0</v>
      </c>
      <c r="AY570" s="116">
        <f t="shared" si="310"/>
        <v>0</v>
      </c>
      <c r="AZ570" s="116">
        <f t="shared" si="310"/>
        <v>0</v>
      </c>
      <c r="BA570" s="116">
        <f t="shared" si="310"/>
        <v>0</v>
      </c>
      <c r="BB570" s="116">
        <f t="shared" si="310"/>
        <v>0</v>
      </c>
      <c r="BC570" s="116">
        <f t="shared" si="310"/>
        <v>0</v>
      </c>
      <c r="BD570" s="116">
        <f t="shared" si="310"/>
        <v>0</v>
      </c>
    </row>
    <row r="571" spans="1:57" ht="15" customHeight="1">
      <c r="E571" s="307"/>
    </row>
    <row r="572" spans="1:57" ht="15" customHeight="1">
      <c r="D572" s="9" t="s">
        <v>581</v>
      </c>
    </row>
    <row r="573" spans="1:57" ht="15" customHeight="1">
      <c r="D573" s="11" t="s">
        <v>570</v>
      </c>
      <c r="E573" s="18"/>
    </row>
    <row r="574" spans="1:57" ht="15" customHeight="1">
      <c r="A574" s="147"/>
      <c r="C574" s="21">
        <f>SUM(G574:BD574)</f>
        <v>-1743.4647022664915</v>
      </c>
      <c r="D574" s="132" t="s">
        <v>582</v>
      </c>
      <c r="E574" s="159" t="s">
        <v>333</v>
      </c>
      <c r="F574" s="132"/>
      <c r="G574" s="116">
        <f t="shared" ref="G574:AL574" si="311">G254 - IF($E$528 = 1, G52 * $E$524, 0) - ((SUM(G53:G55) + G56 + (G66 + G78 + G79 + G80) + G236 + G240 + G244 + G210) * $E$524)</f>
        <v>0</v>
      </c>
      <c r="H574" s="116">
        <f t="shared" si="311"/>
        <v>0</v>
      </c>
      <c r="I574" s="116">
        <f t="shared" si="311"/>
        <v>-12.95298</v>
      </c>
      <c r="J574" s="116">
        <f t="shared" si="311"/>
        <v>-52.848158399999996</v>
      </c>
      <c r="K574" s="116">
        <f t="shared" si="311"/>
        <v>-35.170818715583998</v>
      </c>
      <c r="L574" s="116">
        <f t="shared" si="311"/>
        <v>-58.964097743377927</v>
      </c>
      <c r="M574" s="116">
        <f t="shared" si="311"/>
        <v>-60.143379698245482</v>
      </c>
      <c r="N574" s="116">
        <f t="shared" si="311"/>
        <v>-61.346247292210386</v>
      </c>
      <c r="O574" s="116">
        <f t="shared" si="311"/>
        <v>-62.573172238054589</v>
      </c>
      <c r="P574" s="116">
        <f t="shared" si="311"/>
        <v>-63.824635682815682</v>
      </c>
      <c r="Q574" s="116">
        <f t="shared" si="311"/>
        <v>-65.101128396471992</v>
      </c>
      <c r="R574" s="116">
        <f t="shared" si="311"/>
        <v>-66.403150964401433</v>
      </c>
      <c r="S574" s="116">
        <f t="shared" si="311"/>
        <v>-67.731213983689472</v>
      </c>
      <c r="T574" s="116">
        <f t="shared" si="311"/>
        <v>-69.085838263363243</v>
      </c>
      <c r="U574" s="116">
        <f t="shared" si="311"/>
        <v>-70.467555028630528</v>
      </c>
      <c r="V574" s="116">
        <f t="shared" si="311"/>
        <v>-71.876906129203121</v>
      </c>
      <c r="W574" s="116">
        <f t="shared" si="311"/>
        <v>-73.314444251787194</v>
      </c>
      <c r="X574" s="116">
        <f t="shared" si="311"/>
        <v>-74.780733136822946</v>
      </c>
      <c r="Y574" s="116">
        <f t="shared" si="311"/>
        <v>-76.639901389851531</v>
      </c>
      <c r="Z574" s="116">
        <f t="shared" si="311"/>
        <v>-78.173562087184862</v>
      </c>
      <c r="AA574" s="116">
        <f t="shared" si="311"/>
        <v>-79.739012823718355</v>
      </c>
      <c r="AB574" s="116">
        <f t="shared" si="311"/>
        <v>-81.337266142621559</v>
      </c>
      <c r="AC574" s="116">
        <f t="shared" si="311"/>
        <v>-82.969569233891633</v>
      </c>
      <c r="AD574" s="116">
        <f t="shared" si="311"/>
        <v>-84.637605096822099</v>
      </c>
      <c r="AE574" s="116">
        <f t="shared" si="311"/>
        <v>-86.343986713394784</v>
      </c>
      <c r="AF574" s="116">
        <f t="shared" si="311"/>
        <v>-88.093768129972361</v>
      </c>
      <c r="AG574" s="116">
        <f t="shared" si="311"/>
        <v>-84.345495301690733</v>
      </c>
      <c r="AH574" s="116">
        <f t="shared" si="311"/>
        <v>-34.518144871806733</v>
      </c>
      <c r="AI574" s="116">
        <f t="shared" si="311"/>
        <v>-8.1930550878773836E-2</v>
      </c>
      <c r="AJ574" s="116">
        <f t="shared" si="311"/>
        <v>0</v>
      </c>
      <c r="AK574" s="116">
        <f t="shared" si="311"/>
        <v>0</v>
      </c>
      <c r="AL574" s="116">
        <f t="shared" si="311"/>
        <v>0</v>
      </c>
      <c r="AM574" s="116">
        <f t="shared" ref="AM574:BD574" si="312">AM254 - IF($E$528 = 1, AM52 * $E$524, 0) - ((SUM(AM53:AM55) + AM56 + (AM66 + AM78 + AM79 + AM80) + AM236 + AM240 + AM244 + AM210) * $E$524)</f>
        <v>0</v>
      </c>
      <c r="AN574" s="116">
        <f t="shared" si="312"/>
        <v>0</v>
      </c>
      <c r="AO574" s="116">
        <f t="shared" si="312"/>
        <v>0</v>
      </c>
      <c r="AP574" s="116">
        <f t="shared" si="312"/>
        <v>0</v>
      </c>
      <c r="AQ574" s="116">
        <f t="shared" si="312"/>
        <v>0</v>
      </c>
      <c r="AR574" s="116">
        <f t="shared" si="312"/>
        <v>0</v>
      </c>
      <c r="AS574" s="116">
        <f t="shared" si="312"/>
        <v>0</v>
      </c>
      <c r="AT574" s="116">
        <f t="shared" si="312"/>
        <v>0</v>
      </c>
      <c r="AU574" s="116">
        <f t="shared" si="312"/>
        <v>0</v>
      </c>
      <c r="AV574" s="116">
        <f t="shared" si="312"/>
        <v>0</v>
      </c>
      <c r="AW574" s="116">
        <f t="shared" si="312"/>
        <v>0</v>
      </c>
      <c r="AX574" s="116">
        <f t="shared" si="312"/>
        <v>0</v>
      </c>
      <c r="AY574" s="116">
        <f t="shared" si="312"/>
        <v>0</v>
      </c>
      <c r="AZ574" s="116">
        <f t="shared" si="312"/>
        <v>0</v>
      </c>
      <c r="BA574" s="116">
        <f t="shared" si="312"/>
        <v>0</v>
      </c>
      <c r="BB574" s="116">
        <f t="shared" si="312"/>
        <v>0</v>
      </c>
      <c r="BC574" s="116">
        <f t="shared" si="312"/>
        <v>0</v>
      </c>
      <c r="BD574" s="116">
        <f t="shared" si="312"/>
        <v>0</v>
      </c>
      <c r="BE574" s="132"/>
    </row>
    <row r="575" spans="1:57" ht="15" customHeight="1">
      <c r="C575" s="21">
        <f t="shared" ref="C575:C580" si="313">SUM(G575:BD575)</f>
        <v>0</v>
      </c>
      <c r="D575" s="11" t="s">
        <v>583</v>
      </c>
      <c r="E575" s="18" t="s">
        <v>333</v>
      </c>
      <c r="G575" s="21">
        <f t="shared" ref="G575:AL575" si="314">G267</f>
        <v>0</v>
      </c>
      <c r="H575" s="21">
        <f t="shared" si="314"/>
        <v>0</v>
      </c>
      <c r="I575" s="21">
        <f t="shared" si="314"/>
        <v>0</v>
      </c>
      <c r="J575" s="21">
        <f t="shared" si="314"/>
        <v>0</v>
      </c>
      <c r="K575" s="21">
        <f t="shared" si="314"/>
        <v>0</v>
      </c>
      <c r="L575" s="21">
        <f t="shared" si="314"/>
        <v>0</v>
      </c>
      <c r="M575" s="21">
        <f t="shared" si="314"/>
        <v>0</v>
      </c>
      <c r="N575" s="21">
        <f t="shared" si="314"/>
        <v>0</v>
      </c>
      <c r="O575" s="21">
        <f t="shared" si="314"/>
        <v>0</v>
      </c>
      <c r="P575" s="21">
        <f t="shared" si="314"/>
        <v>0</v>
      </c>
      <c r="Q575" s="21">
        <f t="shared" si="314"/>
        <v>0</v>
      </c>
      <c r="R575" s="21">
        <f t="shared" si="314"/>
        <v>0</v>
      </c>
      <c r="S575" s="21">
        <f t="shared" si="314"/>
        <v>0</v>
      </c>
      <c r="T575" s="21">
        <f t="shared" si="314"/>
        <v>0</v>
      </c>
      <c r="U575" s="21">
        <f t="shared" si="314"/>
        <v>0</v>
      </c>
      <c r="V575" s="21">
        <f t="shared" si="314"/>
        <v>0</v>
      </c>
      <c r="W575" s="21">
        <f t="shared" si="314"/>
        <v>0</v>
      </c>
      <c r="X575" s="21">
        <f t="shared" si="314"/>
        <v>0</v>
      </c>
      <c r="Y575" s="21">
        <f t="shared" si="314"/>
        <v>0</v>
      </c>
      <c r="Z575" s="21">
        <f t="shared" si="314"/>
        <v>0</v>
      </c>
      <c r="AA575" s="21">
        <f t="shared" si="314"/>
        <v>0</v>
      </c>
      <c r="AB575" s="21">
        <f t="shared" si="314"/>
        <v>0</v>
      </c>
      <c r="AC575" s="21">
        <f t="shared" si="314"/>
        <v>0</v>
      </c>
      <c r="AD575" s="21">
        <f t="shared" si="314"/>
        <v>0</v>
      </c>
      <c r="AE575" s="21">
        <f t="shared" si="314"/>
        <v>0</v>
      </c>
      <c r="AF575" s="21">
        <f t="shared" si="314"/>
        <v>0</v>
      </c>
      <c r="AG575" s="21">
        <f t="shared" si="314"/>
        <v>0</v>
      </c>
      <c r="AH575" s="21">
        <f t="shared" si="314"/>
        <v>0</v>
      </c>
      <c r="AI575" s="21">
        <f t="shared" si="314"/>
        <v>0</v>
      </c>
      <c r="AJ575" s="21">
        <f t="shared" si="314"/>
        <v>0</v>
      </c>
      <c r="AK575" s="21">
        <f t="shared" si="314"/>
        <v>0</v>
      </c>
      <c r="AL575" s="21">
        <f t="shared" si="314"/>
        <v>0</v>
      </c>
      <c r="AM575" s="21">
        <f t="shared" ref="AM575:BD575" si="315">AM267</f>
        <v>0</v>
      </c>
      <c r="AN575" s="21">
        <f t="shared" si="315"/>
        <v>0</v>
      </c>
      <c r="AO575" s="21">
        <f t="shared" si="315"/>
        <v>0</v>
      </c>
      <c r="AP575" s="21">
        <f t="shared" si="315"/>
        <v>0</v>
      </c>
      <c r="AQ575" s="21">
        <f t="shared" si="315"/>
        <v>0</v>
      </c>
      <c r="AR575" s="21">
        <f t="shared" si="315"/>
        <v>0</v>
      </c>
      <c r="AS575" s="21">
        <f t="shared" si="315"/>
        <v>0</v>
      </c>
      <c r="AT575" s="21">
        <f t="shared" si="315"/>
        <v>0</v>
      </c>
      <c r="AU575" s="21">
        <f t="shared" si="315"/>
        <v>0</v>
      </c>
      <c r="AV575" s="21">
        <f t="shared" si="315"/>
        <v>0</v>
      </c>
      <c r="AW575" s="21">
        <f t="shared" si="315"/>
        <v>0</v>
      </c>
      <c r="AX575" s="21">
        <f t="shared" si="315"/>
        <v>0</v>
      </c>
      <c r="AY575" s="21">
        <f t="shared" si="315"/>
        <v>0</v>
      </c>
      <c r="AZ575" s="21">
        <f t="shared" si="315"/>
        <v>0</v>
      </c>
      <c r="BA575" s="21">
        <f t="shared" si="315"/>
        <v>0</v>
      </c>
      <c r="BB575" s="21">
        <f t="shared" si="315"/>
        <v>0</v>
      </c>
      <c r="BC575" s="21">
        <f t="shared" si="315"/>
        <v>0</v>
      </c>
      <c r="BD575" s="21">
        <f t="shared" si="315"/>
        <v>0</v>
      </c>
    </row>
    <row r="576" spans="1:57" ht="15" customHeight="1">
      <c r="C576" s="21">
        <f t="shared" si="313"/>
        <v>0</v>
      </c>
      <c r="D576" s="11" t="s">
        <v>584</v>
      </c>
      <c r="E576" s="18" t="s">
        <v>333</v>
      </c>
      <c r="G576" s="21">
        <f t="shared" ref="G576:AL576" si="316">G270</f>
        <v>0</v>
      </c>
      <c r="H576" s="21">
        <f t="shared" si="316"/>
        <v>0</v>
      </c>
      <c r="I576" s="21">
        <f t="shared" si="316"/>
        <v>0</v>
      </c>
      <c r="J576" s="21">
        <f t="shared" si="316"/>
        <v>0</v>
      </c>
      <c r="K576" s="21">
        <f t="shared" si="316"/>
        <v>0</v>
      </c>
      <c r="L576" s="21">
        <f t="shared" si="316"/>
        <v>0</v>
      </c>
      <c r="M576" s="21">
        <f t="shared" si="316"/>
        <v>0</v>
      </c>
      <c r="N576" s="21">
        <f t="shared" si="316"/>
        <v>0</v>
      </c>
      <c r="O576" s="21">
        <f t="shared" si="316"/>
        <v>0</v>
      </c>
      <c r="P576" s="21">
        <f t="shared" si="316"/>
        <v>0</v>
      </c>
      <c r="Q576" s="21">
        <f t="shared" si="316"/>
        <v>0</v>
      </c>
      <c r="R576" s="21">
        <f t="shared" si="316"/>
        <v>0</v>
      </c>
      <c r="S576" s="21">
        <f t="shared" si="316"/>
        <v>0</v>
      </c>
      <c r="T576" s="21">
        <f t="shared" si="316"/>
        <v>0</v>
      </c>
      <c r="U576" s="21">
        <f t="shared" si="316"/>
        <v>0</v>
      </c>
      <c r="V576" s="21">
        <f t="shared" si="316"/>
        <v>0</v>
      </c>
      <c r="W576" s="21">
        <f t="shared" si="316"/>
        <v>0</v>
      </c>
      <c r="X576" s="21">
        <f t="shared" si="316"/>
        <v>0</v>
      </c>
      <c r="Y576" s="21">
        <f t="shared" si="316"/>
        <v>0</v>
      </c>
      <c r="Z576" s="21">
        <f t="shared" si="316"/>
        <v>0</v>
      </c>
      <c r="AA576" s="21">
        <f t="shared" si="316"/>
        <v>0</v>
      </c>
      <c r="AB576" s="21">
        <f t="shared" si="316"/>
        <v>0</v>
      </c>
      <c r="AC576" s="21">
        <f t="shared" si="316"/>
        <v>0</v>
      </c>
      <c r="AD576" s="21">
        <f t="shared" si="316"/>
        <v>0</v>
      </c>
      <c r="AE576" s="21">
        <f t="shared" si="316"/>
        <v>0</v>
      </c>
      <c r="AF576" s="21">
        <f t="shared" si="316"/>
        <v>0</v>
      </c>
      <c r="AG576" s="21">
        <f t="shared" si="316"/>
        <v>0</v>
      </c>
      <c r="AH576" s="21">
        <f t="shared" si="316"/>
        <v>0</v>
      </c>
      <c r="AI576" s="21">
        <f t="shared" si="316"/>
        <v>0</v>
      </c>
      <c r="AJ576" s="21">
        <f t="shared" si="316"/>
        <v>0</v>
      </c>
      <c r="AK576" s="21">
        <f t="shared" si="316"/>
        <v>0</v>
      </c>
      <c r="AL576" s="21">
        <f t="shared" si="316"/>
        <v>0</v>
      </c>
      <c r="AM576" s="21">
        <f t="shared" ref="AM576:BD576" si="317">AM270</f>
        <v>0</v>
      </c>
      <c r="AN576" s="21">
        <f t="shared" si="317"/>
        <v>0</v>
      </c>
      <c r="AO576" s="21">
        <f t="shared" si="317"/>
        <v>0</v>
      </c>
      <c r="AP576" s="21">
        <f t="shared" si="317"/>
        <v>0</v>
      </c>
      <c r="AQ576" s="21">
        <f t="shared" si="317"/>
        <v>0</v>
      </c>
      <c r="AR576" s="21">
        <f t="shared" si="317"/>
        <v>0</v>
      </c>
      <c r="AS576" s="21">
        <f t="shared" si="317"/>
        <v>0</v>
      </c>
      <c r="AT576" s="21">
        <f t="shared" si="317"/>
        <v>0</v>
      </c>
      <c r="AU576" s="21">
        <f t="shared" si="317"/>
        <v>0</v>
      </c>
      <c r="AV576" s="21">
        <f t="shared" si="317"/>
        <v>0</v>
      </c>
      <c r="AW576" s="21">
        <f t="shared" si="317"/>
        <v>0</v>
      </c>
      <c r="AX576" s="21">
        <f t="shared" si="317"/>
        <v>0</v>
      </c>
      <c r="AY576" s="21">
        <f t="shared" si="317"/>
        <v>0</v>
      </c>
      <c r="AZ576" s="21">
        <f t="shared" si="317"/>
        <v>0</v>
      </c>
      <c r="BA576" s="21">
        <f t="shared" si="317"/>
        <v>0</v>
      </c>
      <c r="BB576" s="21">
        <f t="shared" si="317"/>
        <v>0</v>
      </c>
      <c r="BC576" s="21">
        <f t="shared" si="317"/>
        <v>0</v>
      </c>
      <c r="BD576" s="21">
        <f t="shared" si="317"/>
        <v>0</v>
      </c>
    </row>
    <row r="577" spans="1:57" ht="15" customHeight="1">
      <c r="B577" s="393"/>
      <c r="C577" s="21">
        <f t="shared" si="313"/>
        <v>9.8276350464000046</v>
      </c>
      <c r="D577" s="11" t="s">
        <v>364</v>
      </c>
      <c r="E577" s="18" t="s">
        <v>333</v>
      </c>
      <c r="G577" s="21">
        <f t="shared" ref="G577:AL577" si="318">G101 * $E$524</f>
        <v>0</v>
      </c>
      <c r="H577" s="21">
        <f t="shared" si="318"/>
        <v>0</v>
      </c>
      <c r="I577" s="21">
        <f t="shared" si="318"/>
        <v>-6.2423999999999999</v>
      </c>
      <c r="J577" s="21">
        <f t="shared" si="318"/>
        <v>-25.468992</v>
      </c>
      <c r="K577" s="21">
        <f t="shared" si="318"/>
        <v>9.3797803008000002</v>
      </c>
      <c r="L577" s="21">
        <f t="shared" si="318"/>
        <v>8.843792855040002</v>
      </c>
      <c r="M577" s="21">
        <f t="shared" si="318"/>
        <v>8.3078054092800002</v>
      </c>
      <c r="N577" s="21">
        <f t="shared" si="318"/>
        <v>7.7718179635200011</v>
      </c>
      <c r="O577" s="21">
        <f t="shared" si="318"/>
        <v>7.235830517760002</v>
      </c>
      <c r="P577" s="21">
        <f t="shared" si="318"/>
        <v>0</v>
      </c>
      <c r="Q577" s="21">
        <f t="shared" si="318"/>
        <v>0</v>
      </c>
      <c r="R577" s="21">
        <f t="shared" si="318"/>
        <v>0</v>
      </c>
      <c r="S577" s="21">
        <f t="shared" si="318"/>
        <v>0</v>
      </c>
      <c r="T577" s="21">
        <f t="shared" si="318"/>
        <v>0</v>
      </c>
      <c r="U577" s="21">
        <f t="shared" si="318"/>
        <v>0</v>
      </c>
      <c r="V577" s="21">
        <f t="shared" si="318"/>
        <v>0</v>
      </c>
      <c r="W577" s="21">
        <f t="shared" si="318"/>
        <v>0</v>
      </c>
      <c r="X577" s="21">
        <f t="shared" si="318"/>
        <v>0</v>
      </c>
      <c r="Y577" s="21">
        <f t="shared" si="318"/>
        <v>0</v>
      </c>
      <c r="Z577" s="21">
        <f t="shared" si="318"/>
        <v>0</v>
      </c>
      <c r="AA577" s="21">
        <f t="shared" si="318"/>
        <v>0</v>
      </c>
      <c r="AB577" s="21">
        <f t="shared" si="318"/>
        <v>0</v>
      </c>
      <c r="AC577" s="21">
        <f t="shared" si="318"/>
        <v>0</v>
      </c>
      <c r="AD577" s="21">
        <f t="shared" si="318"/>
        <v>0</v>
      </c>
      <c r="AE577" s="21">
        <f t="shared" si="318"/>
        <v>0</v>
      </c>
      <c r="AF577" s="21">
        <f t="shared" si="318"/>
        <v>0</v>
      </c>
      <c r="AG577" s="21">
        <f t="shared" si="318"/>
        <v>0</v>
      </c>
      <c r="AH577" s="21">
        <f t="shared" si="318"/>
        <v>0</v>
      </c>
      <c r="AI577" s="21">
        <f t="shared" si="318"/>
        <v>0</v>
      </c>
      <c r="AJ577" s="21">
        <f t="shared" si="318"/>
        <v>0</v>
      </c>
      <c r="AK577" s="21">
        <f t="shared" si="318"/>
        <v>0</v>
      </c>
      <c r="AL577" s="21">
        <f t="shared" si="318"/>
        <v>0</v>
      </c>
      <c r="AM577" s="21">
        <f t="shared" ref="AM577:BD577" si="319">AM101 * $E$524</f>
        <v>0</v>
      </c>
      <c r="AN577" s="21">
        <f t="shared" si="319"/>
        <v>0</v>
      </c>
      <c r="AO577" s="21">
        <f t="shared" si="319"/>
        <v>0</v>
      </c>
      <c r="AP577" s="21">
        <f t="shared" si="319"/>
        <v>0</v>
      </c>
      <c r="AQ577" s="21">
        <f t="shared" si="319"/>
        <v>0</v>
      </c>
      <c r="AR577" s="21">
        <f t="shared" si="319"/>
        <v>0</v>
      </c>
      <c r="AS577" s="21">
        <f t="shared" si="319"/>
        <v>0</v>
      </c>
      <c r="AT577" s="21">
        <f t="shared" si="319"/>
        <v>0</v>
      </c>
      <c r="AU577" s="21">
        <f t="shared" si="319"/>
        <v>0</v>
      </c>
      <c r="AV577" s="21">
        <f t="shared" si="319"/>
        <v>0</v>
      </c>
      <c r="AW577" s="21">
        <f t="shared" si="319"/>
        <v>0</v>
      </c>
      <c r="AX577" s="21">
        <f t="shared" si="319"/>
        <v>0</v>
      </c>
      <c r="AY577" s="21">
        <f t="shared" si="319"/>
        <v>0</v>
      </c>
      <c r="AZ577" s="21">
        <f t="shared" si="319"/>
        <v>0</v>
      </c>
      <c r="BA577" s="21">
        <f t="shared" si="319"/>
        <v>0</v>
      </c>
      <c r="BB577" s="21">
        <f t="shared" si="319"/>
        <v>0</v>
      </c>
      <c r="BC577" s="21">
        <f t="shared" si="319"/>
        <v>0</v>
      </c>
      <c r="BD577" s="21">
        <f t="shared" si="319"/>
        <v>0</v>
      </c>
    </row>
    <row r="578" spans="1:57" ht="15" customHeight="1">
      <c r="B578" s="393"/>
      <c r="C578" s="21">
        <f t="shared" si="313"/>
        <v>0</v>
      </c>
      <c r="D578" s="11" t="s">
        <v>554</v>
      </c>
      <c r="E578" s="18" t="s">
        <v>333</v>
      </c>
      <c r="G578" s="21">
        <f t="shared" ref="G578:AL578" si="320">G519 * $E$524</f>
        <v>0</v>
      </c>
      <c r="H578" s="21">
        <f t="shared" si="320"/>
        <v>0</v>
      </c>
      <c r="I578" s="21">
        <f t="shared" si="320"/>
        <v>0</v>
      </c>
      <c r="J578" s="21">
        <f t="shared" si="320"/>
        <v>0</v>
      </c>
      <c r="K578" s="21">
        <f t="shared" si="320"/>
        <v>0</v>
      </c>
      <c r="L578" s="21">
        <f t="shared" si="320"/>
        <v>0</v>
      </c>
      <c r="M578" s="21">
        <f t="shared" si="320"/>
        <v>0</v>
      </c>
      <c r="N578" s="21">
        <f t="shared" si="320"/>
        <v>0</v>
      </c>
      <c r="O578" s="21">
        <f t="shared" si="320"/>
        <v>0</v>
      </c>
      <c r="P578" s="21">
        <f t="shared" si="320"/>
        <v>0</v>
      </c>
      <c r="Q578" s="21">
        <f t="shared" si="320"/>
        <v>0</v>
      </c>
      <c r="R578" s="21">
        <f t="shared" si="320"/>
        <v>0</v>
      </c>
      <c r="S578" s="21">
        <f t="shared" si="320"/>
        <v>0</v>
      </c>
      <c r="T578" s="21">
        <f t="shared" si="320"/>
        <v>0</v>
      </c>
      <c r="U578" s="21">
        <f t="shared" si="320"/>
        <v>0</v>
      </c>
      <c r="V578" s="21">
        <f t="shared" si="320"/>
        <v>0</v>
      </c>
      <c r="W578" s="21">
        <f t="shared" si="320"/>
        <v>0</v>
      </c>
      <c r="X578" s="21">
        <f t="shared" si="320"/>
        <v>0</v>
      </c>
      <c r="Y578" s="21">
        <f t="shared" si="320"/>
        <v>0</v>
      </c>
      <c r="Z578" s="21">
        <f t="shared" si="320"/>
        <v>0</v>
      </c>
      <c r="AA578" s="21">
        <f t="shared" si="320"/>
        <v>0</v>
      </c>
      <c r="AB578" s="21">
        <f t="shared" si="320"/>
        <v>0</v>
      </c>
      <c r="AC578" s="21">
        <f t="shared" si="320"/>
        <v>0</v>
      </c>
      <c r="AD578" s="21">
        <f t="shared" si="320"/>
        <v>0</v>
      </c>
      <c r="AE578" s="21">
        <f t="shared" si="320"/>
        <v>0</v>
      </c>
      <c r="AF578" s="21">
        <f t="shared" si="320"/>
        <v>0</v>
      </c>
      <c r="AG578" s="21">
        <f t="shared" si="320"/>
        <v>0</v>
      </c>
      <c r="AH578" s="21">
        <f t="shared" si="320"/>
        <v>0</v>
      </c>
      <c r="AI578" s="21">
        <f t="shared" si="320"/>
        <v>0</v>
      </c>
      <c r="AJ578" s="21">
        <f t="shared" si="320"/>
        <v>0</v>
      </c>
      <c r="AK578" s="21">
        <f t="shared" si="320"/>
        <v>0</v>
      </c>
      <c r="AL578" s="21">
        <f t="shared" si="320"/>
        <v>0</v>
      </c>
      <c r="AM578" s="21">
        <f t="shared" ref="AM578:BD578" si="321">AM519 * $E$524</f>
        <v>0</v>
      </c>
      <c r="AN578" s="21">
        <f t="shared" si="321"/>
        <v>0</v>
      </c>
      <c r="AO578" s="21">
        <f t="shared" si="321"/>
        <v>0</v>
      </c>
      <c r="AP578" s="21">
        <f t="shared" si="321"/>
        <v>0</v>
      </c>
      <c r="AQ578" s="21">
        <f t="shared" si="321"/>
        <v>0</v>
      </c>
      <c r="AR578" s="21">
        <f t="shared" si="321"/>
        <v>0</v>
      </c>
      <c r="AS578" s="21">
        <f t="shared" si="321"/>
        <v>0</v>
      </c>
      <c r="AT578" s="21">
        <f t="shared" si="321"/>
        <v>0</v>
      </c>
      <c r="AU578" s="21">
        <f t="shared" si="321"/>
        <v>0</v>
      </c>
      <c r="AV578" s="21">
        <f t="shared" si="321"/>
        <v>0</v>
      </c>
      <c r="AW578" s="21">
        <f t="shared" si="321"/>
        <v>0</v>
      </c>
      <c r="AX578" s="21">
        <f t="shared" si="321"/>
        <v>0</v>
      </c>
      <c r="AY578" s="21">
        <f t="shared" si="321"/>
        <v>0</v>
      </c>
      <c r="AZ578" s="21">
        <f t="shared" si="321"/>
        <v>0</v>
      </c>
      <c r="BA578" s="21">
        <f t="shared" si="321"/>
        <v>0</v>
      </c>
      <c r="BB578" s="21">
        <f t="shared" si="321"/>
        <v>0</v>
      </c>
      <c r="BC578" s="21">
        <f t="shared" si="321"/>
        <v>0</v>
      </c>
      <c r="BD578" s="21">
        <f t="shared" si="321"/>
        <v>0</v>
      </c>
    </row>
    <row r="579" spans="1:57" ht="15" customHeight="1">
      <c r="B579" s="393"/>
      <c r="C579" s="21">
        <f t="shared" si="313"/>
        <v>-1753.2923373128917</v>
      </c>
      <c r="D579" s="11" t="s">
        <v>576</v>
      </c>
      <c r="E579" s="18" t="s">
        <v>333</v>
      </c>
      <c r="G579" s="21">
        <f t="shared" ref="G579:AL579" si="322">SUM(G574:G575)-SUM(G576:G578)</f>
        <v>0</v>
      </c>
      <c r="H579" s="21">
        <f t="shared" si="322"/>
        <v>0</v>
      </c>
      <c r="I579" s="21">
        <f t="shared" si="322"/>
        <v>-6.7105800000000002</v>
      </c>
      <c r="J579" s="21">
        <f t="shared" si="322"/>
        <v>-27.379166399999995</v>
      </c>
      <c r="K579" s="21">
        <f t="shared" si="322"/>
        <v>-44.550599016383998</v>
      </c>
      <c r="L579" s="21">
        <f t="shared" si="322"/>
        <v>-67.807890598417927</v>
      </c>
      <c r="M579" s="21">
        <f t="shared" si="322"/>
        <v>-68.451185107525475</v>
      </c>
      <c r="N579" s="21">
        <f t="shared" si="322"/>
        <v>-69.118065255730386</v>
      </c>
      <c r="O579" s="21">
        <f t="shared" si="322"/>
        <v>-69.809002755814589</v>
      </c>
      <c r="P579" s="21">
        <f t="shared" si="322"/>
        <v>-63.824635682815682</v>
      </c>
      <c r="Q579" s="21">
        <f t="shared" si="322"/>
        <v>-65.101128396471992</v>
      </c>
      <c r="R579" s="21">
        <f t="shared" si="322"/>
        <v>-66.403150964401433</v>
      </c>
      <c r="S579" s="21">
        <f t="shared" si="322"/>
        <v>-67.731213983689472</v>
      </c>
      <c r="T579" s="21">
        <f t="shared" si="322"/>
        <v>-69.085838263363243</v>
      </c>
      <c r="U579" s="21">
        <f t="shared" si="322"/>
        <v>-70.467555028630528</v>
      </c>
      <c r="V579" s="21">
        <f t="shared" si="322"/>
        <v>-71.876906129203121</v>
      </c>
      <c r="W579" s="21">
        <f t="shared" si="322"/>
        <v>-73.314444251787194</v>
      </c>
      <c r="X579" s="21">
        <f t="shared" si="322"/>
        <v>-74.780733136822946</v>
      </c>
      <c r="Y579" s="21">
        <f t="shared" si="322"/>
        <v>-76.639901389851531</v>
      </c>
      <c r="Z579" s="21">
        <f t="shared" si="322"/>
        <v>-78.173562087184862</v>
      </c>
      <c r="AA579" s="21">
        <f t="shared" si="322"/>
        <v>-79.739012823718355</v>
      </c>
      <c r="AB579" s="21">
        <f t="shared" si="322"/>
        <v>-81.337266142621559</v>
      </c>
      <c r="AC579" s="21">
        <f t="shared" si="322"/>
        <v>-82.969569233891633</v>
      </c>
      <c r="AD579" s="21">
        <f t="shared" si="322"/>
        <v>-84.637605096822099</v>
      </c>
      <c r="AE579" s="21">
        <f t="shared" si="322"/>
        <v>-86.343986713394784</v>
      </c>
      <c r="AF579" s="21">
        <f t="shared" si="322"/>
        <v>-88.093768129972361</v>
      </c>
      <c r="AG579" s="21">
        <f t="shared" si="322"/>
        <v>-84.345495301690733</v>
      </c>
      <c r="AH579" s="21">
        <f t="shared" si="322"/>
        <v>-34.518144871806733</v>
      </c>
      <c r="AI579" s="21">
        <f t="shared" si="322"/>
        <v>-8.1930550878773836E-2</v>
      </c>
      <c r="AJ579" s="21">
        <f t="shared" si="322"/>
        <v>0</v>
      </c>
      <c r="AK579" s="21">
        <f t="shared" si="322"/>
        <v>0</v>
      </c>
      <c r="AL579" s="21">
        <f t="shared" si="322"/>
        <v>0</v>
      </c>
      <c r="AM579" s="21">
        <f t="shared" ref="AM579:BD579" si="323">SUM(AM574:AM575)-SUM(AM576:AM578)</f>
        <v>0</v>
      </c>
      <c r="AN579" s="21">
        <f t="shared" si="323"/>
        <v>0</v>
      </c>
      <c r="AO579" s="21">
        <f t="shared" si="323"/>
        <v>0</v>
      </c>
      <c r="AP579" s="21">
        <f t="shared" si="323"/>
        <v>0</v>
      </c>
      <c r="AQ579" s="21">
        <f t="shared" si="323"/>
        <v>0</v>
      </c>
      <c r="AR579" s="21">
        <f t="shared" si="323"/>
        <v>0</v>
      </c>
      <c r="AS579" s="21">
        <f t="shared" si="323"/>
        <v>0</v>
      </c>
      <c r="AT579" s="21">
        <f t="shared" si="323"/>
        <v>0</v>
      </c>
      <c r="AU579" s="21">
        <f t="shared" si="323"/>
        <v>0</v>
      </c>
      <c r="AV579" s="21">
        <f t="shared" si="323"/>
        <v>0</v>
      </c>
      <c r="AW579" s="21">
        <f t="shared" si="323"/>
        <v>0</v>
      </c>
      <c r="AX579" s="21">
        <f t="shared" si="323"/>
        <v>0</v>
      </c>
      <c r="AY579" s="21">
        <f t="shared" si="323"/>
        <v>0</v>
      </c>
      <c r="AZ579" s="21">
        <f t="shared" si="323"/>
        <v>0</v>
      </c>
      <c r="BA579" s="21">
        <f t="shared" si="323"/>
        <v>0</v>
      </c>
      <c r="BB579" s="21">
        <f t="shared" si="323"/>
        <v>0</v>
      </c>
      <c r="BC579" s="21">
        <f t="shared" si="323"/>
        <v>0</v>
      </c>
      <c r="BD579" s="21">
        <f t="shared" si="323"/>
        <v>0</v>
      </c>
    </row>
    <row r="580" spans="1:57" ht="15" customHeight="1">
      <c r="B580" s="393"/>
      <c r="C580" s="21">
        <f t="shared" si="313"/>
        <v>-60081.508783571357</v>
      </c>
      <c r="D580" s="11" t="s">
        <v>585</v>
      </c>
      <c r="E580" s="18" t="s">
        <v>333</v>
      </c>
      <c r="G580" s="21">
        <f>SUM($G$579:G579)</f>
        <v>0</v>
      </c>
      <c r="H580" s="21">
        <f>SUM($G$579:H579)</f>
        <v>0</v>
      </c>
      <c r="I580" s="21">
        <f>SUM($G$579:I579)</f>
        <v>-6.7105800000000002</v>
      </c>
      <c r="J580" s="21">
        <f>SUM($G$579:J579)</f>
        <v>-34.089746399999996</v>
      </c>
      <c r="K580" s="21">
        <f>SUM($G$579:K579)</f>
        <v>-78.640345416383994</v>
      </c>
      <c r="L580" s="21">
        <f>SUM($G$579:L579)</f>
        <v>-146.44823601480192</v>
      </c>
      <c r="M580" s="21">
        <f>SUM($G$579:M579)</f>
        <v>-214.8994211223274</v>
      </c>
      <c r="N580" s="21">
        <f>SUM($G$579:N579)</f>
        <v>-284.01748637805781</v>
      </c>
      <c r="O580" s="21">
        <f>SUM($G$579:O579)</f>
        <v>-353.82648913387243</v>
      </c>
      <c r="P580" s="21">
        <f>SUM($G$579:P579)</f>
        <v>-417.65112481668814</v>
      </c>
      <c r="Q580" s="21">
        <f>SUM($G$579:Q579)</f>
        <v>-482.75225321316015</v>
      </c>
      <c r="R580" s="21">
        <f>SUM($G$579:R579)</f>
        <v>-549.15540417756154</v>
      </c>
      <c r="S580" s="21">
        <f>SUM($G$579:S579)</f>
        <v>-616.88661816125102</v>
      </c>
      <c r="T580" s="21">
        <f>SUM($G$579:T579)</f>
        <v>-685.97245642461428</v>
      </c>
      <c r="U580" s="21">
        <f>SUM($G$579:U579)</f>
        <v>-756.44001145324478</v>
      </c>
      <c r="V580" s="21">
        <f>SUM($G$579:V579)</f>
        <v>-828.3169175824479</v>
      </c>
      <c r="W580" s="21">
        <f>SUM($G$579:W579)</f>
        <v>-901.63136183423512</v>
      </c>
      <c r="X580" s="21">
        <f>SUM($G$579:X579)</f>
        <v>-976.41209497105808</v>
      </c>
      <c r="Y580" s="21">
        <f>SUM($G$579:Y579)</f>
        <v>-1053.0519963609097</v>
      </c>
      <c r="Z580" s="21">
        <f>SUM($G$579:Z579)</f>
        <v>-1131.2255584480945</v>
      </c>
      <c r="AA580" s="21">
        <f>SUM($G$579:AA579)</f>
        <v>-1210.9645712718129</v>
      </c>
      <c r="AB580" s="21">
        <f>SUM($G$579:AB579)</f>
        <v>-1292.3018374144344</v>
      </c>
      <c r="AC580" s="21">
        <f>SUM($G$579:AC579)</f>
        <v>-1375.2714066483261</v>
      </c>
      <c r="AD580" s="21">
        <f>SUM($G$579:AD579)</f>
        <v>-1459.9090117451483</v>
      </c>
      <c r="AE580" s="21">
        <f>SUM($G$579:AE579)</f>
        <v>-1546.2529984585431</v>
      </c>
      <c r="AF580" s="21">
        <f>SUM($G$579:AF579)</f>
        <v>-1634.3467665885155</v>
      </c>
      <c r="AG580" s="21">
        <f>SUM($G$579:AG579)</f>
        <v>-1718.6922618902063</v>
      </c>
      <c r="AH580" s="21">
        <f>SUM($G$579:AH579)</f>
        <v>-1753.210406762013</v>
      </c>
      <c r="AI580" s="21">
        <f>SUM($G$579:AI579)</f>
        <v>-1753.2923373128917</v>
      </c>
      <c r="AJ580" s="21">
        <f>SUM($G$579:AJ579)</f>
        <v>-1753.2923373128917</v>
      </c>
      <c r="AK580" s="21">
        <f>SUM($G$579:AK579)</f>
        <v>-1753.2923373128917</v>
      </c>
      <c r="AL580" s="21">
        <f>SUM($G$579:AL579)</f>
        <v>-1753.2923373128917</v>
      </c>
      <c r="AM580" s="21">
        <f>SUM($G$579:AM579)</f>
        <v>-1753.2923373128917</v>
      </c>
      <c r="AN580" s="21">
        <f>SUM($G$579:AN579)</f>
        <v>-1753.2923373128917</v>
      </c>
      <c r="AO580" s="21">
        <f>SUM($G$579:AO579)</f>
        <v>-1753.2923373128917</v>
      </c>
      <c r="AP580" s="21">
        <f>SUM($G$579:AP579)</f>
        <v>-1753.2923373128917</v>
      </c>
      <c r="AQ580" s="21">
        <f>SUM($G$579:AQ579)</f>
        <v>-1753.2923373128917</v>
      </c>
      <c r="AR580" s="21">
        <f>SUM($G$579:AR579)</f>
        <v>-1753.2923373128917</v>
      </c>
      <c r="AS580" s="21">
        <f>SUM($G$579:AS579)</f>
        <v>-1753.2923373128917</v>
      </c>
      <c r="AT580" s="21">
        <f>SUM($G$579:AT579)</f>
        <v>-1753.2923373128917</v>
      </c>
      <c r="AU580" s="21">
        <f>SUM($G$579:AU579)</f>
        <v>-1753.2923373128917</v>
      </c>
      <c r="AV580" s="21">
        <f>SUM($G$579:AV579)</f>
        <v>-1753.2923373128917</v>
      </c>
      <c r="AW580" s="21">
        <f>SUM($G$579:AW579)</f>
        <v>-1753.2923373128917</v>
      </c>
      <c r="AX580" s="21">
        <f>SUM($G$579:AX579)</f>
        <v>-1753.2923373128917</v>
      </c>
      <c r="AY580" s="21">
        <f>SUM($G$579:AY579)</f>
        <v>-1753.2923373128917</v>
      </c>
      <c r="AZ580" s="21">
        <f>SUM($G$579:AZ579)</f>
        <v>-1753.2923373128917</v>
      </c>
      <c r="BA580" s="21">
        <f>SUM($G$579:BA579)</f>
        <v>-1753.2923373128917</v>
      </c>
      <c r="BB580" s="21">
        <f>SUM($G$579:BB579)</f>
        <v>-1753.2923373128917</v>
      </c>
      <c r="BC580" s="21">
        <f>SUM($G$579:BC579)</f>
        <v>-1753.2923373128917</v>
      </c>
      <c r="BD580" s="21">
        <f>SUM($G$579:BD579)</f>
        <v>-1753.2923373128917</v>
      </c>
    </row>
    <row r="581" spans="1:57" ht="15" customHeight="1">
      <c r="A581" s="147"/>
      <c r="B581" s="397"/>
      <c r="C581" s="21">
        <f>SUM(G581:BD581)</f>
        <v>0</v>
      </c>
      <c r="D581" s="11" t="s">
        <v>578</v>
      </c>
      <c r="E581" s="18" t="s">
        <v>333</v>
      </c>
      <c r="F581" s="132"/>
      <c r="G581" s="116">
        <f t="shared" ref="G581:AL581" si="324">IF(AND($E$526 = 2, $E$527 &lt; 3, G580 &gt; 0), MAX(0,MIN(G580,G579)), 0)</f>
        <v>0</v>
      </c>
      <c r="H581" s="116">
        <f t="shared" si="324"/>
        <v>0</v>
      </c>
      <c r="I581" s="116">
        <f t="shared" si="324"/>
        <v>0</v>
      </c>
      <c r="J581" s="116">
        <f t="shared" si="324"/>
        <v>0</v>
      </c>
      <c r="K581" s="116">
        <f t="shared" si="324"/>
        <v>0</v>
      </c>
      <c r="L581" s="116">
        <f t="shared" si="324"/>
        <v>0</v>
      </c>
      <c r="M581" s="116">
        <f t="shared" si="324"/>
        <v>0</v>
      </c>
      <c r="N581" s="116">
        <f t="shared" si="324"/>
        <v>0</v>
      </c>
      <c r="O581" s="116">
        <f t="shared" si="324"/>
        <v>0</v>
      </c>
      <c r="P581" s="116">
        <f t="shared" si="324"/>
        <v>0</v>
      </c>
      <c r="Q581" s="116">
        <f t="shared" si="324"/>
        <v>0</v>
      </c>
      <c r="R581" s="116">
        <f t="shared" si="324"/>
        <v>0</v>
      </c>
      <c r="S581" s="116">
        <f t="shared" si="324"/>
        <v>0</v>
      </c>
      <c r="T581" s="116">
        <f t="shared" si="324"/>
        <v>0</v>
      </c>
      <c r="U581" s="116">
        <f t="shared" si="324"/>
        <v>0</v>
      </c>
      <c r="V581" s="116">
        <f t="shared" si="324"/>
        <v>0</v>
      </c>
      <c r="W581" s="116">
        <f t="shared" si="324"/>
        <v>0</v>
      </c>
      <c r="X581" s="116">
        <f t="shared" si="324"/>
        <v>0</v>
      </c>
      <c r="Y581" s="116">
        <f t="shared" si="324"/>
        <v>0</v>
      </c>
      <c r="Z581" s="116">
        <f t="shared" si="324"/>
        <v>0</v>
      </c>
      <c r="AA581" s="116">
        <f t="shared" si="324"/>
        <v>0</v>
      </c>
      <c r="AB581" s="116">
        <f t="shared" si="324"/>
        <v>0</v>
      </c>
      <c r="AC581" s="116">
        <f t="shared" si="324"/>
        <v>0</v>
      </c>
      <c r="AD581" s="116">
        <f t="shared" si="324"/>
        <v>0</v>
      </c>
      <c r="AE581" s="116">
        <f t="shared" si="324"/>
        <v>0</v>
      </c>
      <c r="AF581" s="116">
        <f t="shared" si="324"/>
        <v>0</v>
      </c>
      <c r="AG581" s="116">
        <f t="shared" si="324"/>
        <v>0</v>
      </c>
      <c r="AH581" s="116">
        <f t="shared" si="324"/>
        <v>0</v>
      </c>
      <c r="AI581" s="116">
        <f t="shared" si="324"/>
        <v>0</v>
      </c>
      <c r="AJ581" s="116">
        <f t="shared" si="324"/>
        <v>0</v>
      </c>
      <c r="AK581" s="116">
        <f t="shared" si="324"/>
        <v>0</v>
      </c>
      <c r="AL581" s="116">
        <f t="shared" si="324"/>
        <v>0</v>
      </c>
      <c r="AM581" s="116">
        <f t="shared" ref="AM581:BD581" si="325">IF(AND($E$526 = 2, $E$527 &lt; 3, AM580 &gt; 0), MAX(0,MIN(AM580,AM579)), 0)</f>
        <v>0</v>
      </c>
      <c r="AN581" s="116">
        <f t="shared" si="325"/>
        <v>0</v>
      </c>
      <c r="AO581" s="116">
        <f t="shared" si="325"/>
        <v>0</v>
      </c>
      <c r="AP581" s="116">
        <f t="shared" si="325"/>
        <v>0</v>
      </c>
      <c r="AQ581" s="116">
        <f t="shared" si="325"/>
        <v>0</v>
      </c>
      <c r="AR581" s="116">
        <f t="shared" si="325"/>
        <v>0</v>
      </c>
      <c r="AS581" s="116">
        <f t="shared" si="325"/>
        <v>0</v>
      </c>
      <c r="AT581" s="116">
        <f t="shared" si="325"/>
        <v>0</v>
      </c>
      <c r="AU581" s="116">
        <f t="shared" si="325"/>
        <v>0</v>
      </c>
      <c r="AV581" s="116">
        <f t="shared" si="325"/>
        <v>0</v>
      </c>
      <c r="AW581" s="116">
        <f t="shared" si="325"/>
        <v>0</v>
      </c>
      <c r="AX581" s="116">
        <f t="shared" si="325"/>
        <v>0</v>
      </c>
      <c r="AY581" s="116">
        <f t="shared" si="325"/>
        <v>0</v>
      </c>
      <c r="AZ581" s="116">
        <f t="shared" si="325"/>
        <v>0</v>
      </c>
      <c r="BA581" s="116">
        <f t="shared" si="325"/>
        <v>0</v>
      </c>
      <c r="BB581" s="116">
        <f t="shared" si="325"/>
        <v>0</v>
      </c>
      <c r="BC581" s="116">
        <f t="shared" si="325"/>
        <v>0</v>
      </c>
      <c r="BD581" s="116">
        <f t="shared" si="325"/>
        <v>0</v>
      </c>
      <c r="BE581" s="132"/>
    </row>
    <row r="582" spans="1:57" ht="15" customHeight="1">
      <c r="D582" s="9"/>
    </row>
    <row r="583" spans="1:57" ht="15" customHeight="1">
      <c r="D583" s="11" t="s">
        <v>579</v>
      </c>
    </row>
    <row r="584" spans="1:57" ht="15" customHeight="1">
      <c r="C584" s="21">
        <f t="shared" ref="C584:C591" si="326">SUM(G584:BD584)</f>
        <v>8303.7874866780166</v>
      </c>
      <c r="D584" s="11" t="s">
        <v>586</v>
      </c>
      <c r="E584" s="18" t="s">
        <v>333</v>
      </c>
      <c r="G584" s="21">
        <f>G51 - G254 - IF($E$528 = 1, G52 * $E$525, G52) - ((SUM(G53:G55) + G56 + (G66 + G78 + G79 + G80) + G236 + G240 + G244 + G210) * $E$525) - G311 - G313 - G319 - G410</f>
        <v>-20</v>
      </c>
      <c r="H584" s="21">
        <f t="shared" ref="H584:BD584" si="327">H51 - H254 - IF($E$528 = 1, H52 * $E$525, H52) - ((SUM(H53:H55) + H56 + (H66 + H78 + H79 + H80) + H236 + H240 + H244 + H210) * $E$525) - H311 - H313 - H319 - H410</f>
        <v>-20.399999999999999</v>
      </c>
      <c r="I584" s="21">
        <f t="shared" si="327"/>
        <v>-68.003145000000004</v>
      </c>
      <c r="J584" s="21">
        <f t="shared" si="327"/>
        <v>-277.45283159999997</v>
      </c>
      <c r="K584" s="21">
        <f t="shared" si="327"/>
        <v>74.649825671184033</v>
      </c>
      <c r="L584" s="21">
        <f t="shared" si="327"/>
        <v>307.564451795906</v>
      </c>
      <c r="M584" s="21">
        <f t="shared" si="327"/>
        <v>313.71574083182412</v>
      </c>
      <c r="N584" s="21">
        <f t="shared" si="327"/>
        <v>319.9900556484605</v>
      </c>
      <c r="O584" s="21">
        <f t="shared" si="327"/>
        <v>326.38985676142977</v>
      </c>
      <c r="P584" s="21">
        <f t="shared" si="327"/>
        <v>332.91765389665841</v>
      </c>
      <c r="Q584" s="21">
        <f t="shared" si="327"/>
        <v>339.57600697459162</v>
      </c>
      <c r="R584" s="21">
        <f t="shared" si="327"/>
        <v>346.36752711408326</v>
      </c>
      <c r="S584" s="21">
        <f t="shared" si="327"/>
        <v>353.29487765636503</v>
      </c>
      <c r="T584" s="21">
        <f t="shared" si="327"/>
        <v>360.36077520949237</v>
      </c>
      <c r="U584" s="21">
        <f t="shared" si="327"/>
        <v>367.56799071368221</v>
      </c>
      <c r="V584" s="21">
        <f t="shared" si="327"/>
        <v>374.91935052795571</v>
      </c>
      <c r="W584" s="21">
        <f t="shared" si="327"/>
        <v>382.41773753851498</v>
      </c>
      <c r="X584" s="21">
        <f t="shared" si="327"/>
        <v>390.06609228928528</v>
      </c>
      <c r="Y584" s="21">
        <f t="shared" si="327"/>
        <v>395.95875778603721</v>
      </c>
      <c r="Z584" s="21">
        <f t="shared" si="327"/>
        <v>403.87340392669233</v>
      </c>
      <c r="AA584" s="21">
        <f t="shared" si="327"/>
        <v>411.94047965757983</v>
      </c>
      <c r="AB584" s="21">
        <f t="shared" si="327"/>
        <v>420.16105567298001</v>
      </c>
      <c r="AC584" s="21">
        <f t="shared" si="327"/>
        <v>428.53509850224702</v>
      </c>
      <c r="AD584" s="21">
        <f t="shared" si="327"/>
        <v>433.19701376419647</v>
      </c>
      <c r="AE584" s="21">
        <f t="shared" si="327"/>
        <v>441.78939908764011</v>
      </c>
      <c r="AF584" s="21">
        <f t="shared" si="327"/>
        <v>450.5049532372671</v>
      </c>
      <c r="AG584" s="21">
        <f t="shared" si="327"/>
        <v>488.44333030413821</v>
      </c>
      <c r="AH584" s="21">
        <f t="shared" si="327"/>
        <v>225.87216410191806</v>
      </c>
      <c r="AI584" s="21">
        <f t="shared" si="327"/>
        <v>-0.43013539211356261</v>
      </c>
      <c r="AJ584" s="21">
        <f t="shared" si="327"/>
        <v>0</v>
      </c>
      <c r="AK584" s="21">
        <f t="shared" si="327"/>
        <v>0</v>
      </c>
      <c r="AL584" s="21">
        <f t="shared" si="327"/>
        <v>0</v>
      </c>
      <c r="AM584" s="21">
        <f t="shared" si="327"/>
        <v>0</v>
      </c>
      <c r="AN584" s="21">
        <f t="shared" si="327"/>
        <v>0</v>
      </c>
      <c r="AO584" s="21">
        <f t="shared" si="327"/>
        <v>0</v>
      </c>
      <c r="AP584" s="21">
        <f t="shared" si="327"/>
        <v>0</v>
      </c>
      <c r="AQ584" s="21">
        <f t="shared" si="327"/>
        <v>0</v>
      </c>
      <c r="AR584" s="21">
        <f t="shared" si="327"/>
        <v>0</v>
      </c>
      <c r="AS584" s="21">
        <f t="shared" si="327"/>
        <v>0</v>
      </c>
      <c r="AT584" s="21">
        <f t="shared" si="327"/>
        <v>0</v>
      </c>
      <c r="AU584" s="21">
        <f t="shared" si="327"/>
        <v>0</v>
      </c>
      <c r="AV584" s="21">
        <f t="shared" si="327"/>
        <v>0</v>
      </c>
      <c r="AW584" s="21">
        <f t="shared" si="327"/>
        <v>0</v>
      </c>
      <c r="AX584" s="21">
        <f t="shared" si="327"/>
        <v>0</v>
      </c>
      <c r="AY584" s="21">
        <f t="shared" si="327"/>
        <v>0</v>
      </c>
      <c r="AZ584" s="21">
        <f t="shared" si="327"/>
        <v>0</v>
      </c>
      <c r="BA584" s="21">
        <f t="shared" si="327"/>
        <v>0</v>
      </c>
      <c r="BB584" s="21">
        <f t="shared" si="327"/>
        <v>0</v>
      </c>
      <c r="BC584" s="21">
        <f t="shared" si="327"/>
        <v>0</v>
      </c>
      <c r="BD584" s="21">
        <f t="shared" si="327"/>
        <v>0</v>
      </c>
    </row>
    <row r="585" spans="1:57" ht="15" customHeight="1">
      <c r="C585" s="21">
        <f t="shared" si="326"/>
        <v>0</v>
      </c>
      <c r="D585" s="11" t="s">
        <v>587</v>
      </c>
      <c r="E585" s="18" t="s">
        <v>333</v>
      </c>
      <c r="G585" s="21">
        <f t="shared" ref="G585:AL585" si="328">G267</f>
        <v>0</v>
      </c>
      <c r="H585" s="21">
        <f t="shared" si="328"/>
        <v>0</v>
      </c>
      <c r="I585" s="21">
        <f t="shared" si="328"/>
        <v>0</v>
      </c>
      <c r="J585" s="21">
        <f t="shared" si="328"/>
        <v>0</v>
      </c>
      <c r="K585" s="21">
        <f t="shared" si="328"/>
        <v>0</v>
      </c>
      <c r="L585" s="21">
        <f t="shared" si="328"/>
        <v>0</v>
      </c>
      <c r="M585" s="21">
        <f t="shared" si="328"/>
        <v>0</v>
      </c>
      <c r="N585" s="21">
        <f t="shared" si="328"/>
        <v>0</v>
      </c>
      <c r="O585" s="21">
        <f t="shared" si="328"/>
        <v>0</v>
      </c>
      <c r="P585" s="21">
        <f t="shared" si="328"/>
        <v>0</v>
      </c>
      <c r="Q585" s="21">
        <f t="shared" si="328"/>
        <v>0</v>
      </c>
      <c r="R585" s="21">
        <f t="shared" si="328"/>
        <v>0</v>
      </c>
      <c r="S585" s="21">
        <f t="shared" si="328"/>
        <v>0</v>
      </c>
      <c r="T585" s="21">
        <f t="shared" si="328"/>
        <v>0</v>
      </c>
      <c r="U585" s="21">
        <f t="shared" si="328"/>
        <v>0</v>
      </c>
      <c r="V585" s="21">
        <f t="shared" si="328"/>
        <v>0</v>
      </c>
      <c r="W585" s="21">
        <f t="shared" si="328"/>
        <v>0</v>
      </c>
      <c r="X585" s="21">
        <f t="shared" si="328"/>
        <v>0</v>
      </c>
      <c r="Y585" s="21">
        <f t="shared" si="328"/>
        <v>0</v>
      </c>
      <c r="Z585" s="21">
        <f t="shared" si="328"/>
        <v>0</v>
      </c>
      <c r="AA585" s="21">
        <f t="shared" si="328"/>
        <v>0</v>
      </c>
      <c r="AB585" s="21">
        <f t="shared" si="328"/>
        <v>0</v>
      </c>
      <c r="AC585" s="21">
        <f t="shared" si="328"/>
        <v>0</v>
      </c>
      <c r="AD585" s="21">
        <f t="shared" si="328"/>
        <v>0</v>
      </c>
      <c r="AE585" s="21">
        <f t="shared" si="328"/>
        <v>0</v>
      </c>
      <c r="AF585" s="21">
        <f t="shared" si="328"/>
        <v>0</v>
      </c>
      <c r="AG585" s="21">
        <f t="shared" si="328"/>
        <v>0</v>
      </c>
      <c r="AH585" s="21">
        <f t="shared" si="328"/>
        <v>0</v>
      </c>
      <c r="AI585" s="21">
        <f t="shared" si="328"/>
        <v>0</v>
      </c>
      <c r="AJ585" s="21">
        <f t="shared" si="328"/>
        <v>0</v>
      </c>
      <c r="AK585" s="21">
        <f t="shared" si="328"/>
        <v>0</v>
      </c>
      <c r="AL585" s="21">
        <f t="shared" si="328"/>
        <v>0</v>
      </c>
      <c r="AM585" s="21">
        <f t="shared" ref="AM585:BD585" si="329">AM267</f>
        <v>0</v>
      </c>
      <c r="AN585" s="21">
        <f t="shared" si="329"/>
        <v>0</v>
      </c>
      <c r="AO585" s="21">
        <f t="shared" si="329"/>
        <v>0</v>
      </c>
      <c r="AP585" s="21">
        <f t="shared" si="329"/>
        <v>0</v>
      </c>
      <c r="AQ585" s="21">
        <f t="shared" si="329"/>
        <v>0</v>
      </c>
      <c r="AR585" s="21">
        <f t="shared" si="329"/>
        <v>0</v>
      </c>
      <c r="AS585" s="21">
        <f t="shared" si="329"/>
        <v>0</v>
      </c>
      <c r="AT585" s="21">
        <f t="shared" si="329"/>
        <v>0</v>
      </c>
      <c r="AU585" s="21">
        <f t="shared" si="329"/>
        <v>0</v>
      </c>
      <c r="AV585" s="21">
        <f t="shared" si="329"/>
        <v>0</v>
      </c>
      <c r="AW585" s="21">
        <f t="shared" si="329"/>
        <v>0</v>
      </c>
      <c r="AX585" s="21">
        <f t="shared" si="329"/>
        <v>0</v>
      </c>
      <c r="AY585" s="21">
        <f t="shared" si="329"/>
        <v>0</v>
      </c>
      <c r="AZ585" s="21">
        <f t="shared" si="329"/>
        <v>0</v>
      </c>
      <c r="BA585" s="21">
        <f t="shared" si="329"/>
        <v>0</v>
      </c>
      <c r="BB585" s="21">
        <f t="shared" si="329"/>
        <v>0</v>
      </c>
      <c r="BC585" s="21">
        <f t="shared" si="329"/>
        <v>0</v>
      </c>
      <c r="BD585" s="21">
        <f t="shared" si="329"/>
        <v>0</v>
      </c>
    </row>
    <row r="586" spans="1:57" ht="15" customHeight="1">
      <c r="C586" s="21">
        <f t="shared" si="326"/>
        <v>0</v>
      </c>
      <c r="D586" s="11" t="s">
        <v>584</v>
      </c>
      <c r="E586" s="18" t="s">
        <v>333</v>
      </c>
      <c r="G586" s="21">
        <f t="shared" ref="G586:AL586" si="330">G270</f>
        <v>0</v>
      </c>
      <c r="H586" s="21">
        <f t="shared" si="330"/>
        <v>0</v>
      </c>
      <c r="I586" s="21">
        <f t="shared" si="330"/>
        <v>0</v>
      </c>
      <c r="J586" s="21">
        <f t="shared" si="330"/>
        <v>0</v>
      </c>
      <c r="K586" s="21">
        <f t="shared" si="330"/>
        <v>0</v>
      </c>
      <c r="L586" s="21">
        <f t="shared" si="330"/>
        <v>0</v>
      </c>
      <c r="M586" s="21">
        <f t="shared" si="330"/>
        <v>0</v>
      </c>
      <c r="N586" s="21">
        <f t="shared" si="330"/>
        <v>0</v>
      </c>
      <c r="O586" s="21">
        <f t="shared" si="330"/>
        <v>0</v>
      </c>
      <c r="P586" s="21">
        <f t="shared" si="330"/>
        <v>0</v>
      </c>
      <c r="Q586" s="21">
        <f t="shared" si="330"/>
        <v>0</v>
      </c>
      <c r="R586" s="21">
        <f t="shared" si="330"/>
        <v>0</v>
      </c>
      <c r="S586" s="21">
        <f t="shared" si="330"/>
        <v>0</v>
      </c>
      <c r="T586" s="21">
        <f t="shared" si="330"/>
        <v>0</v>
      </c>
      <c r="U586" s="21">
        <f t="shared" si="330"/>
        <v>0</v>
      </c>
      <c r="V586" s="21">
        <f t="shared" si="330"/>
        <v>0</v>
      </c>
      <c r="W586" s="21">
        <f t="shared" si="330"/>
        <v>0</v>
      </c>
      <c r="X586" s="21">
        <f t="shared" si="330"/>
        <v>0</v>
      </c>
      <c r="Y586" s="21">
        <f t="shared" si="330"/>
        <v>0</v>
      </c>
      <c r="Z586" s="21">
        <f t="shared" si="330"/>
        <v>0</v>
      </c>
      <c r="AA586" s="21">
        <f t="shared" si="330"/>
        <v>0</v>
      </c>
      <c r="AB586" s="21">
        <f t="shared" si="330"/>
        <v>0</v>
      </c>
      <c r="AC586" s="21">
        <f t="shared" si="330"/>
        <v>0</v>
      </c>
      <c r="AD586" s="21">
        <f t="shared" si="330"/>
        <v>0</v>
      </c>
      <c r="AE586" s="21">
        <f t="shared" si="330"/>
        <v>0</v>
      </c>
      <c r="AF586" s="21">
        <f t="shared" si="330"/>
        <v>0</v>
      </c>
      <c r="AG586" s="21">
        <f t="shared" si="330"/>
        <v>0</v>
      </c>
      <c r="AH586" s="21">
        <f t="shared" si="330"/>
        <v>0</v>
      </c>
      <c r="AI586" s="21">
        <f t="shared" si="330"/>
        <v>0</v>
      </c>
      <c r="AJ586" s="21">
        <f t="shared" si="330"/>
        <v>0</v>
      </c>
      <c r="AK586" s="21">
        <f t="shared" si="330"/>
        <v>0</v>
      </c>
      <c r="AL586" s="21">
        <f t="shared" si="330"/>
        <v>0</v>
      </c>
      <c r="AM586" s="21">
        <f t="shared" ref="AM586:BD586" si="331">AM270</f>
        <v>0</v>
      </c>
      <c r="AN586" s="21">
        <f t="shared" si="331"/>
        <v>0</v>
      </c>
      <c r="AO586" s="21">
        <f t="shared" si="331"/>
        <v>0</v>
      </c>
      <c r="AP586" s="21">
        <f t="shared" si="331"/>
        <v>0</v>
      </c>
      <c r="AQ586" s="21">
        <f t="shared" si="331"/>
        <v>0</v>
      </c>
      <c r="AR586" s="21">
        <f t="shared" si="331"/>
        <v>0</v>
      </c>
      <c r="AS586" s="21">
        <f t="shared" si="331"/>
        <v>0</v>
      </c>
      <c r="AT586" s="21">
        <f t="shared" si="331"/>
        <v>0</v>
      </c>
      <c r="AU586" s="21">
        <f t="shared" si="331"/>
        <v>0</v>
      </c>
      <c r="AV586" s="21">
        <f t="shared" si="331"/>
        <v>0</v>
      </c>
      <c r="AW586" s="21">
        <f t="shared" si="331"/>
        <v>0</v>
      </c>
      <c r="AX586" s="21">
        <f t="shared" si="331"/>
        <v>0</v>
      </c>
      <c r="AY586" s="21">
        <f t="shared" si="331"/>
        <v>0</v>
      </c>
      <c r="AZ586" s="21">
        <f t="shared" si="331"/>
        <v>0</v>
      </c>
      <c r="BA586" s="21">
        <f t="shared" si="331"/>
        <v>0</v>
      </c>
      <c r="BB586" s="21">
        <f t="shared" si="331"/>
        <v>0</v>
      </c>
      <c r="BC586" s="21">
        <f t="shared" si="331"/>
        <v>0</v>
      </c>
      <c r="BD586" s="21">
        <f t="shared" si="331"/>
        <v>0</v>
      </c>
    </row>
    <row r="587" spans="1:57" ht="15" customHeight="1">
      <c r="C587" s="21">
        <f t="shared" si="326"/>
        <v>51.595083993600056</v>
      </c>
      <c r="D587" s="11" t="s">
        <v>364</v>
      </c>
      <c r="E587" s="18" t="s">
        <v>333</v>
      </c>
      <c r="G587" s="21">
        <f t="shared" ref="G587:AL587" si="332">G101 * $E$525</f>
        <v>0</v>
      </c>
      <c r="H587" s="21">
        <f t="shared" si="332"/>
        <v>0</v>
      </c>
      <c r="I587" s="21">
        <f t="shared" si="332"/>
        <v>-32.772599999999997</v>
      </c>
      <c r="J587" s="21">
        <f t="shared" si="332"/>
        <v>-133.71220799999998</v>
      </c>
      <c r="K587" s="21">
        <f t="shared" si="332"/>
        <v>49.243846579200003</v>
      </c>
      <c r="L587" s="21">
        <f t="shared" si="332"/>
        <v>46.429912488960007</v>
      </c>
      <c r="M587" s="21">
        <f t="shared" si="332"/>
        <v>43.615978398720003</v>
      </c>
      <c r="N587" s="21">
        <f t="shared" si="332"/>
        <v>40.802044308480006</v>
      </c>
      <c r="O587" s="21">
        <f t="shared" si="332"/>
        <v>37.98811021824001</v>
      </c>
      <c r="P587" s="21">
        <f t="shared" si="332"/>
        <v>0</v>
      </c>
      <c r="Q587" s="21">
        <f t="shared" si="332"/>
        <v>0</v>
      </c>
      <c r="R587" s="21">
        <f t="shared" si="332"/>
        <v>0</v>
      </c>
      <c r="S587" s="21">
        <f t="shared" si="332"/>
        <v>0</v>
      </c>
      <c r="T587" s="21">
        <f t="shared" si="332"/>
        <v>0</v>
      </c>
      <c r="U587" s="21">
        <f t="shared" si="332"/>
        <v>0</v>
      </c>
      <c r="V587" s="21">
        <f t="shared" si="332"/>
        <v>0</v>
      </c>
      <c r="W587" s="21">
        <f t="shared" si="332"/>
        <v>0</v>
      </c>
      <c r="X587" s="21">
        <f t="shared" si="332"/>
        <v>0</v>
      </c>
      <c r="Y587" s="21">
        <f t="shared" si="332"/>
        <v>0</v>
      </c>
      <c r="Z587" s="21">
        <f t="shared" si="332"/>
        <v>0</v>
      </c>
      <c r="AA587" s="21">
        <f t="shared" si="332"/>
        <v>0</v>
      </c>
      <c r="AB587" s="21">
        <f t="shared" si="332"/>
        <v>0</v>
      </c>
      <c r="AC587" s="21">
        <f t="shared" si="332"/>
        <v>0</v>
      </c>
      <c r="AD587" s="21">
        <f t="shared" si="332"/>
        <v>0</v>
      </c>
      <c r="AE587" s="21">
        <f t="shared" si="332"/>
        <v>0</v>
      </c>
      <c r="AF587" s="21">
        <f t="shared" si="332"/>
        <v>0</v>
      </c>
      <c r="AG587" s="21">
        <f t="shared" si="332"/>
        <v>0</v>
      </c>
      <c r="AH587" s="21">
        <f t="shared" si="332"/>
        <v>0</v>
      </c>
      <c r="AI587" s="21">
        <f t="shared" si="332"/>
        <v>0</v>
      </c>
      <c r="AJ587" s="21">
        <f t="shared" si="332"/>
        <v>0</v>
      </c>
      <c r="AK587" s="21">
        <f t="shared" si="332"/>
        <v>0</v>
      </c>
      <c r="AL587" s="21">
        <f t="shared" si="332"/>
        <v>0</v>
      </c>
      <c r="AM587" s="21">
        <f t="shared" ref="AM587:BD587" si="333">AM101 * $E$525</f>
        <v>0</v>
      </c>
      <c r="AN587" s="21">
        <f t="shared" si="333"/>
        <v>0</v>
      </c>
      <c r="AO587" s="21">
        <f t="shared" si="333"/>
        <v>0</v>
      </c>
      <c r="AP587" s="21">
        <f t="shared" si="333"/>
        <v>0</v>
      </c>
      <c r="AQ587" s="21">
        <f t="shared" si="333"/>
        <v>0</v>
      </c>
      <c r="AR587" s="21">
        <f t="shared" si="333"/>
        <v>0</v>
      </c>
      <c r="AS587" s="21">
        <f t="shared" si="333"/>
        <v>0</v>
      </c>
      <c r="AT587" s="21">
        <f t="shared" si="333"/>
        <v>0</v>
      </c>
      <c r="AU587" s="21">
        <f t="shared" si="333"/>
        <v>0</v>
      </c>
      <c r="AV587" s="21">
        <f t="shared" si="333"/>
        <v>0</v>
      </c>
      <c r="AW587" s="21">
        <f t="shared" si="333"/>
        <v>0</v>
      </c>
      <c r="AX587" s="21">
        <f t="shared" si="333"/>
        <v>0</v>
      </c>
      <c r="AY587" s="21">
        <f t="shared" si="333"/>
        <v>0</v>
      </c>
      <c r="AZ587" s="21">
        <f t="shared" si="333"/>
        <v>0</v>
      </c>
      <c r="BA587" s="21">
        <f t="shared" si="333"/>
        <v>0</v>
      </c>
      <c r="BB587" s="21">
        <f t="shared" si="333"/>
        <v>0</v>
      </c>
      <c r="BC587" s="21">
        <f t="shared" si="333"/>
        <v>0</v>
      </c>
      <c r="BD587" s="21">
        <f t="shared" si="333"/>
        <v>0</v>
      </c>
    </row>
    <row r="588" spans="1:57" ht="15" customHeight="1">
      <c r="C588" s="21">
        <f t="shared" si="326"/>
        <v>1953.1758081943549</v>
      </c>
      <c r="D588" s="11" t="s">
        <v>559</v>
      </c>
      <c r="E588" s="18" t="s">
        <v>333</v>
      </c>
      <c r="G588" s="21">
        <f t="shared" ref="G588:AL588" si="334">G512</f>
        <v>0</v>
      </c>
      <c r="H588" s="21">
        <f t="shared" si="334"/>
        <v>0</v>
      </c>
      <c r="I588" s="21">
        <f t="shared" si="334"/>
        <v>0</v>
      </c>
      <c r="J588" s="21">
        <f t="shared" si="334"/>
        <v>0</v>
      </c>
      <c r="K588" s="21">
        <f t="shared" si="334"/>
        <v>0</v>
      </c>
      <c r="L588" s="21">
        <f t="shared" si="334"/>
        <v>38.444527525958449</v>
      </c>
      <c r="M588" s="21">
        <f t="shared" si="334"/>
        <v>52.563655534927982</v>
      </c>
      <c r="N588" s="21">
        <f t="shared" si="334"/>
        <v>52.603499540794509</v>
      </c>
      <c r="O588" s="21">
        <f t="shared" si="334"/>
        <v>52.624040897562431</v>
      </c>
      <c r="P588" s="21">
        <f t="shared" si="334"/>
        <v>81.279382272249691</v>
      </c>
      <c r="Q588" s="21">
        <f t="shared" si="334"/>
        <v>82.904969917694672</v>
      </c>
      <c r="R588" s="21">
        <f t="shared" si="334"/>
        <v>84.563069316048527</v>
      </c>
      <c r="S588" s="21">
        <f t="shared" si="334"/>
        <v>86.254330702369529</v>
      </c>
      <c r="T588" s="21">
        <f t="shared" si="334"/>
        <v>87.979417316416928</v>
      </c>
      <c r="U588" s="21">
        <f t="shared" si="334"/>
        <v>89.739005662745257</v>
      </c>
      <c r="V588" s="21">
        <f t="shared" si="334"/>
        <v>91.533785776000144</v>
      </c>
      <c r="W588" s="21">
        <f t="shared" si="334"/>
        <v>93.364461491520174</v>
      </c>
      <c r="X588" s="21">
        <f t="shared" si="334"/>
        <v>95.231750721350593</v>
      </c>
      <c r="Y588" s="21">
        <f t="shared" si="334"/>
        <v>96.454722753979823</v>
      </c>
      <c r="Z588" s="21">
        <f t="shared" si="334"/>
        <v>98.382199703678864</v>
      </c>
      <c r="AA588" s="21">
        <f t="shared" si="334"/>
        <v>100.34613214502158</v>
      </c>
      <c r="AB588" s="21">
        <f t="shared" si="334"/>
        <v>102.34654279586795</v>
      </c>
      <c r="AC588" s="21">
        <f t="shared" si="334"/>
        <v>104.38305283600222</v>
      </c>
      <c r="AD588" s="21">
        <f t="shared" si="334"/>
        <v>105.29548453681777</v>
      </c>
      <c r="AE588" s="21">
        <f t="shared" si="334"/>
        <v>107.37583888761124</v>
      </c>
      <c r="AF588" s="21">
        <f t="shared" si="334"/>
        <v>109.48041501103279</v>
      </c>
      <c r="AG588" s="21">
        <f t="shared" si="334"/>
        <v>113.96914422025617</v>
      </c>
      <c r="AH588" s="21">
        <f t="shared" si="334"/>
        <v>26.056378628447522</v>
      </c>
      <c r="AI588" s="21">
        <f t="shared" si="334"/>
        <v>0</v>
      </c>
      <c r="AJ588" s="21">
        <f t="shared" si="334"/>
        <v>0</v>
      </c>
      <c r="AK588" s="21">
        <f t="shared" si="334"/>
        <v>0</v>
      </c>
      <c r="AL588" s="21">
        <f t="shared" si="334"/>
        <v>0</v>
      </c>
      <c r="AM588" s="21">
        <f t="shared" ref="AM588:BD588" si="335">AM512</f>
        <v>0</v>
      </c>
      <c r="AN588" s="21">
        <f t="shared" si="335"/>
        <v>0</v>
      </c>
      <c r="AO588" s="21">
        <f t="shared" si="335"/>
        <v>0</v>
      </c>
      <c r="AP588" s="21">
        <f t="shared" si="335"/>
        <v>0</v>
      </c>
      <c r="AQ588" s="21">
        <f t="shared" si="335"/>
        <v>0</v>
      </c>
      <c r="AR588" s="21">
        <f t="shared" si="335"/>
        <v>0</v>
      </c>
      <c r="AS588" s="21">
        <f t="shared" si="335"/>
        <v>0</v>
      </c>
      <c r="AT588" s="21">
        <f t="shared" si="335"/>
        <v>0</v>
      </c>
      <c r="AU588" s="21">
        <f t="shared" si="335"/>
        <v>0</v>
      </c>
      <c r="AV588" s="21">
        <f t="shared" si="335"/>
        <v>0</v>
      </c>
      <c r="AW588" s="21">
        <f t="shared" si="335"/>
        <v>0</v>
      </c>
      <c r="AX588" s="21">
        <f t="shared" si="335"/>
        <v>0</v>
      </c>
      <c r="AY588" s="21">
        <f t="shared" si="335"/>
        <v>0</v>
      </c>
      <c r="AZ588" s="21">
        <f t="shared" si="335"/>
        <v>0</v>
      </c>
      <c r="BA588" s="21">
        <f t="shared" si="335"/>
        <v>0</v>
      </c>
      <c r="BB588" s="21">
        <f t="shared" si="335"/>
        <v>0</v>
      </c>
      <c r="BC588" s="21">
        <f t="shared" si="335"/>
        <v>0</v>
      </c>
      <c r="BD588" s="21">
        <f t="shared" si="335"/>
        <v>0</v>
      </c>
    </row>
    <row r="589" spans="1:57" ht="15" customHeight="1">
      <c r="C589" s="21">
        <f t="shared" si="326"/>
        <v>0</v>
      </c>
      <c r="D589" s="11" t="s">
        <v>554</v>
      </c>
      <c r="E589" s="18" t="s">
        <v>333</v>
      </c>
      <c r="G589" s="21">
        <f t="shared" ref="G589:AL589" si="336">G519 * $E$525</f>
        <v>0</v>
      </c>
      <c r="H589" s="21">
        <f t="shared" si="336"/>
        <v>0</v>
      </c>
      <c r="I589" s="21">
        <f t="shared" si="336"/>
        <v>0</v>
      </c>
      <c r="J589" s="21">
        <f t="shared" si="336"/>
        <v>0</v>
      </c>
      <c r="K589" s="21">
        <f t="shared" si="336"/>
        <v>0</v>
      </c>
      <c r="L589" s="21">
        <f t="shared" si="336"/>
        <v>0</v>
      </c>
      <c r="M589" s="21">
        <f t="shared" si="336"/>
        <v>0</v>
      </c>
      <c r="N589" s="21">
        <f t="shared" si="336"/>
        <v>0</v>
      </c>
      <c r="O589" s="21">
        <f t="shared" si="336"/>
        <v>0</v>
      </c>
      <c r="P589" s="21">
        <f t="shared" si="336"/>
        <v>0</v>
      </c>
      <c r="Q589" s="21">
        <f t="shared" si="336"/>
        <v>0</v>
      </c>
      <c r="R589" s="21">
        <f t="shared" si="336"/>
        <v>0</v>
      </c>
      <c r="S589" s="21">
        <f t="shared" si="336"/>
        <v>0</v>
      </c>
      <c r="T589" s="21">
        <f t="shared" si="336"/>
        <v>0</v>
      </c>
      <c r="U589" s="21">
        <f t="shared" si="336"/>
        <v>0</v>
      </c>
      <c r="V589" s="21">
        <f t="shared" si="336"/>
        <v>0</v>
      </c>
      <c r="W589" s="21">
        <f t="shared" si="336"/>
        <v>0</v>
      </c>
      <c r="X589" s="21">
        <f t="shared" si="336"/>
        <v>0</v>
      </c>
      <c r="Y589" s="21">
        <f t="shared" si="336"/>
        <v>0</v>
      </c>
      <c r="Z589" s="21">
        <f t="shared" si="336"/>
        <v>0</v>
      </c>
      <c r="AA589" s="21">
        <f t="shared" si="336"/>
        <v>0</v>
      </c>
      <c r="AB589" s="21">
        <f t="shared" si="336"/>
        <v>0</v>
      </c>
      <c r="AC589" s="21">
        <f t="shared" si="336"/>
        <v>0</v>
      </c>
      <c r="AD589" s="21">
        <f t="shared" si="336"/>
        <v>0</v>
      </c>
      <c r="AE589" s="21">
        <f t="shared" si="336"/>
        <v>0</v>
      </c>
      <c r="AF589" s="21">
        <f t="shared" si="336"/>
        <v>0</v>
      </c>
      <c r="AG589" s="21">
        <f t="shared" si="336"/>
        <v>0</v>
      </c>
      <c r="AH589" s="21">
        <f t="shared" si="336"/>
        <v>0</v>
      </c>
      <c r="AI589" s="21">
        <f t="shared" si="336"/>
        <v>0</v>
      </c>
      <c r="AJ589" s="21">
        <f t="shared" si="336"/>
        <v>0</v>
      </c>
      <c r="AK589" s="21">
        <f t="shared" si="336"/>
        <v>0</v>
      </c>
      <c r="AL589" s="21">
        <f t="shared" si="336"/>
        <v>0</v>
      </c>
      <c r="AM589" s="21">
        <f t="shared" ref="AM589:BD589" si="337">AM519 * $E$525</f>
        <v>0</v>
      </c>
      <c r="AN589" s="21">
        <f t="shared" si="337"/>
        <v>0</v>
      </c>
      <c r="AO589" s="21">
        <f t="shared" si="337"/>
        <v>0</v>
      </c>
      <c r="AP589" s="21">
        <f t="shared" si="337"/>
        <v>0</v>
      </c>
      <c r="AQ589" s="21">
        <f t="shared" si="337"/>
        <v>0</v>
      </c>
      <c r="AR589" s="21">
        <f t="shared" si="337"/>
        <v>0</v>
      </c>
      <c r="AS589" s="21">
        <f t="shared" si="337"/>
        <v>0</v>
      </c>
      <c r="AT589" s="21">
        <f t="shared" si="337"/>
        <v>0</v>
      </c>
      <c r="AU589" s="21">
        <f t="shared" si="337"/>
        <v>0</v>
      </c>
      <c r="AV589" s="21">
        <f t="shared" si="337"/>
        <v>0</v>
      </c>
      <c r="AW589" s="21">
        <f t="shared" si="337"/>
        <v>0</v>
      </c>
      <c r="AX589" s="21">
        <f t="shared" si="337"/>
        <v>0</v>
      </c>
      <c r="AY589" s="21">
        <f t="shared" si="337"/>
        <v>0</v>
      </c>
      <c r="AZ589" s="21">
        <f t="shared" si="337"/>
        <v>0</v>
      </c>
      <c r="BA589" s="21">
        <f t="shared" si="337"/>
        <v>0</v>
      </c>
      <c r="BB589" s="21">
        <f t="shared" si="337"/>
        <v>0</v>
      </c>
      <c r="BC589" s="21">
        <f t="shared" si="337"/>
        <v>0</v>
      </c>
      <c r="BD589" s="21">
        <f t="shared" si="337"/>
        <v>0</v>
      </c>
    </row>
    <row r="590" spans="1:57" ht="15" customHeight="1">
      <c r="C590" s="21">
        <f t="shared" si="326"/>
        <v>6299.0165944900618</v>
      </c>
      <c r="D590" s="11" t="s">
        <v>588</v>
      </c>
      <c r="E590" s="18" t="s">
        <v>333</v>
      </c>
      <c r="G590" s="21">
        <f>G584 + G586 - G585 - G587 - G588 - G589</f>
        <v>-20</v>
      </c>
      <c r="H590" s="21">
        <f t="shared" ref="H590:BD590" si="338">H584 + H586 - H585 - H587 - H588 - H589</f>
        <v>-20.399999999999999</v>
      </c>
      <c r="I590" s="21">
        <f t="shared" si="338"/>
        <v>-35.230545000000006</v>
      </c>
      <c r="J590" s="21">
        <f t="shared" si="338"/>
        <v>-143.74062359999999</v>
      </c>
      <c r="K590" s="21">
        <f t="shared" si="338"/>
        <v>25.40597909198403</v>
      </c>
      <c r="L590" s="21">
        <f t="shared" si="338"/>
        <v>222.69001178098756</v>
      </c>
      <c r="M590" s="21">
        <f t="shared" si="338"/>
        <v>217.53610689817612</v>
      </c>
      <c r="N590" s="21">
        <f t="shared" si="338"/>
        <v>226.584511799186</v>
      </c>
      <c r="O590" s="21">
        <f t="shared" si="338"/>
        <v>235.77770564562732</v>
      </c>
      <c r="P590" s="21">
        <f t="shared" si="338"/>
        <v>251.63827162440873</v>
      </c>
      <c r="Q590" s="21">
        <f t="shared" si="338"/>
        <v>256.67103705689692</v>
      </c>
      <c r="R590" s="21">
        <f t="shared" si="338"/>
        <v>261.80445779803472</v>
      </c>
      <c r="S590" s="21">
        <f t="shared" si="338"/>
        <v>267.04054695399549</v>
      </c>
      <c r="T590" s="21">
        <f t="shared" si="338"/>
        <v>272.38135789307546</v>
      </c>
      <c r="U590" s="21">
        <f t="shared" si="338"/>
        <v>277.82898505093692</v>
      </c>
      <c r="V590" s="21">
        <f t="shared" si="338"/>
        <v>283.3855647519556</v>
      </c>
      <c r="W590" s="21">
        <f t="shared" si="338"/>
        <v>289.05327604699482</v>
      </c>
      <c r="X590" s="21">
        <f t="shared" si="338"/>
        <v>294.8343415679347</v>
      </c>
      <c r="Y590" s="21">
        <f t="shared" si="338"/>
        <v>299.5040350320574</v>
      </c>
      <c r="Z590" s="21">
        <f t="shared" si="338"/>
        <v>305.49120422301348</v>
      </c>
      <c r="AA590" s="21">
        <f t="shared" si="338"/>
        <v>311.59434751255822</v>
      </c>
      <c r="AB590" s="21">
        <f t="shared" si="338"/>
        <v>317.81451287711207</v>
      </c>
      <c r="AC590" s="21">
        <f t="shared" si="338"/>
        <v>324.15204566624482</v>
      </c>
      <c r="AD590" s="21">
        <f t="shared" si="338"/>
        <v>327.90152922737872</v>
      </c>
      <c r="AE590" s="21">
        <f t="shared" si="338"/>
        <v>334.41356020002888</v>
      </c>
      <c r="AF590" s="21">
        <f t="shared" si="338"/>
        <v>341.02453822623431</v>
      </c>
      <c r="AG590" s="21">
        <f t="shared" si="338"/>
        <v>374.47418608388205</v>
      </c>
      <c r="AH590" s="21">
        <f t="shared" si="338"/>
        <v>199.81578547347053</v>
      </c>
      <c r="AI590" s="21">
        <f t="shared" si="338"/>
        <v>-0.43013539211356261</v>
      </c>
      <c r="AJ590" s="21">
        <f t="shared" si="338"/>
        <v>0</v>
      </c>
      <c r="AK590" s="21">
        <f t="shared" si="338"/>
        <v>0</v>
      </c>
      <c r="AL590" s="21">
        <f t="shared" si="338"/>
        <v>0</v>
      </c>
      <c r="AM590" s="21">
        <f t="shared" si="338"/>
        <v>0</v>
      </c>
      <c r="AN590" s="21">
        <f t="shared" si="338"/>
        <v>0</v>
      </c>
      <c r="AO590" s="21">
        <f t="shared" si="338"/>
        <v>0</v>
      </c>
      <c r="AP590" s="21">
        <f t="shared" si="338"/>
        <v>0</v>
      </c>
      <c r="AQ590" s="21">
        <f t="shared" si="338"/>
        <v>0</v>
      </c>
      <c r="AR590" s="21">
        <f t="shared" si="338"/>
        <v>0</v>
      </c>
      <c r="AS590" s="21">
        <f t="shared" si="338"/>
        <v>0</v>
      </c>
      <c r="AT590" s="21">
        <f t="shared" si="338"/>
        <v>0</v>
      </c>
      <c r="AU590" s="21">
        <f t="shared" si="338"/>
        <v>0</v>
      </c>
      <c r="AV590" s="21">
        <f t="shared" si="338"/>
        <v>0</v>
      </c>
      <c r="AW590" s="21">
        <f t="shared" si="338"/>
        <v>0</v>
      </c>
      <c r="AX590" s="21">
        <f t="shared" si="338"/>
        <v>0</v>
      </c>
      <c r="AY590" s="21">
        <f t="shared" si="338"/>
        <v>0</v>
      </c>
      <c r="AZ590" s="21">
        <f t="shared" si="338"/>
        <v>0</v>
      </c>
      <c r="BA590" s="21">
        <f t="shared" si="338"/>
        <v>0</v>
      </c>
      <c r="BB590" s="21">
        <f t="shared" si="338"/>
        <v>0</v>
      </c>
      <c r="BC590" s="21">
        <f t="shared" si="338"/>
        <v>0</v>
      </c>
      <c r="BD590" s="21">
        <f t="shared" si="338"/>
        <v>0</v>
      </c>
    </row>
    <row r="591" spans="1:57" ht="15" customHeight="1">
      <c r="C591" s="21">
        <f t="shared" si="326"/>
        <v>206800.80772464376</v>
      </c>
      <c r="D591" s="11" t="s">
        <v>589</v>
      </c>
      <c r="E591" s="18" t="s">
        <v>333</v>
      </c>
      <c r="G591" s="21">
        <f>SUM($G$590:G590)</f>
        <v>-20</v>
      </c>
      <c r="H591" s="21">
        <f>SUM($G$590:H590)</f>
        <v>-40.4</v>
      </c>
      <c r="I591" s="21">
        <f>SUM($G$590:I590)</f>
        <v>-75.630545000000012</v>
      </c>
      <c r="J591" s="21">
        <f>SUM($G$590:J590)</f>
        <v>-219.3711686</v>
      </c>
      <c r="K591" s="21">
        <f>SUM($G$590:K590)</f>
        <v>-193.96518950801598</v>
      </c>
      <c r="L591" s="21">
        <f>SUM($G$590:L590)</f>
        <v>28.724822272971579</v>
      </c>
      <c r="M591" s="21">
        <f>SUM($G$590:M590)</f>
        <v>246.26092917114769</v>
      </c>
      <c r="N591" s="21">
        <f>SUM($G$590:N590)</f>
        <v>472.8454409703337</v>
      </c>
      <c r="O591" s="21">
        <f>SUM($G$590:O590)</f>
        <v>708.62314661596099</v>
      </c>
      <c r="P591" s="21">
        <f>SUM($G$590:P590)</f>
        <v>960.26141824036972</v>
      </c>
      <c r="Q591" s="21">
        <f>SUM($G$590:Q590)</f>
        <v>1216.9324552972666</v>
      </c>
      <c r="R591" s="21">
        <f>SUM($G$590:R590)</f>
        <v>1478.7369130953014</v>
      </c>
      <c r="S591" s="21">
        <f>SUM($G$590:S590)</f>
        <v>1745.7774600492969</v>
      </c>
      <c r="T591" s="21">
        <f>SUM($G$590:T590)</f>
        <v>2018.1588179423725</v>
      </c>
      <c r="U591" s="21">
        <f>SUM($G$590:U590)</f>
        <v>2295.9878029933093</v>
      </c>
      <c r="V591" s="21">
        <f>SUM($G$590:V590)</f>
        <v>2579.3733677452647</v>
      </c>
      <c r="W591" s="21">
        <f>SUM($G$590:W590)</f>
        <v>2868.4266437922597</v>
      </c>
      <c r="X591" s="21">
        <f>SUM($G$590:X590)</f>
        <v>3163.2609853601944</v>
      </c>
      <c r="Y591" s="21">
        <f>SUM($G$590:Y590)</f>
        <v>3462.7650203922517</v>
      </c>
      <c r="Z591" s="21">
        <f>SUM($G$590:Z590)</f>
        <v>3768.2562246152652</v>
      </c>
      <c r="AA591" s="21">
        <f>SUM($G$590:AA590)</f>
        <v>4079.8505721278234</v>
      </c>
      <c r="AB591" s="21">
        <f>SUM($G$590:AB590)</f>
        <v>4397.6650850049355</v>
      </c>
      <c r="AC591" s="21">
        <f>SUM($G$590:AC590)</f>
        <v>4721.8171306711802</v>
      </c>
      <c r="AD591" s="21">
        <f>SUM($G$590:AD590)</f>
        <v>5049.7186598985591</v>
      </c>
      <c r="AE591" s="21">
        <f>SUM($G$590:AE590)</f>
        <v>5384.1322200985878</v>
      </c>
      <c r="AF591" s="21">
        <f>SUM($G$590:AF590)</f>
        <v>5725.1567583248225</v>
      </c>
      <c r="AG591" s="21">
        <f>SUM($G$590:AG590)</f>
        <v>6099.6309444087046</v>
      </c>
      <c r="AH591" s="21">
        <f>SUM($G$590:AH590)</f>
        <v>6299.4467298821755</v>
      </c>
      <c r="AI591" s="21">
        <f>SUM($G$590:AI590)</f>
        <v>6299.0165944900618</v>
      </c>
      <c r="AJ591" s="21">
        <f>SUM($G$590:AJ590)</f>
        <v>6299.0165944900618</v>
      </c>
      <c r="AK591" s="21">
        <f>SUM($G$590:AK590)</f>
        <v>6299.0165944900618</v>
      </c>
      <c r="AL591" s="21">
        <f>SUM($G$590:AL590)</f>
        <v>6299.0165944900618</v>
      </c>
      <c r="AM591" s="21">
        <f>SUM($G$590:AM590)</f>
        <v>6299.0165944900618</v>
      </c>
      <c r="AN591" s="21">
        <f>SUM($G$590:AN590)</f>
        <v>6299.0165944900618</v>
      </c>
      <c r="AO591" s="21">
        <f>SUM($G$590:AO590)</f>
        <v>6299.0165944900618</v>
      </c>
      <c r="AP591" s="21">
        <f>SUM($G$590:AP590)</f>
        <v>6299.0165944900618</v>
      </c>
      <c r="AQ591" s="21">
        <f>SUM($G$590:AQ590)</f>
        <v>6299.0165944900618</v>
      </c>
      <c r="AR591" s="21">
        <f>SUM($G$590:AR590)</f>
        <v>6299.0165944900618</v>
      </c>
      <c r="AS591" s="21">
        <f>SUM($G$590:AS590)</f>
        <v>6299.0165944900618</v>
      </c>
      <c r="AT591" s="21">
        <f>SUM($G$590:AT590)</f>
        <v>6299.0165944900618</v>
      </c>
      <c r="AU591" s="21">
        <f>SUM($G$590:AU590)</f>
        <v>6299.0165944900618</v>
      </c>
      <c r="AV591" s="21">
        <f>SUM($G$590:AV590)</f>
        <v>6299.0165944900618</v>
      </c>
      <c r="AW591" s="21">
        <f>SUM($G$590:AW590)</f>
        <v>6299.0165944900618</v>
      </c>
      <c r="AX591" s="21">
        <f>SUM($G$590:AX590)</f>
        <v>6299.0165944900618</v>
      </c>
      <c r="AY591" s="21">
        <f>SUM($G$590:AY590)</f>
        <v>6299.0165944900618</v>
      </c>
      <c r="AZ591" s="21">
        <f>SUM($G$590:AZ590)</f>
        <v>6299.0165944900618</v>
      </c>
      <c r="BA591" s="21">
        <f>SUM($G$590:BA590)</f>
        <v>6299.0165944900618</v>
      </c>
      <c r="BB591" s="21">
        <f>SUM($G$590:BB590)</f>
        <v>6299.0165944900618</v>
      </c>
      <c r="BC591" s="21">
        <f>SUM($G$590:BC590)</f>
        <v>6299.0165944900618</v>
      </c>
      <c r="BD591" s="21">
        <f>SUM($G$590:BD590)</f>
        <v>6299.0165944900618</v>
      </c>
    </row>
    <row r="592" spans="1:57" ht="15" customHeight="1">
      <c r="C592" s="21">
        <f t="shared" ref="C592" si="339">SUM(G592:BD592)</f>
        <v>0</v>
      </c>
      <c r="D592" s="11" t="s">
        <v>580</v>
      </c>
      <c r="E592" s="18" t="s">
        <v>333</v>
      </c>
      <c r="G592" s="116">
        <f t="shared" ref="G592:AL592" si="340">IF(AND($E$526 = 2, $E$527 &lt; 3, G591 &gt; 0), MAX(0,MIN(G591,G590)), 0)</f>
        <v>0</v>
      </c>
      <c r="H592" s="116">
        <f t="shared" si="340"/>
        <v>0</v>
      </c>
      <c r="I592" s="116">
        <f t="shared" si="340"/>
        <v>0</v>
      </c>
      <c r="J592" s="116">
        <f t="shared" si="340"/>
        <v>0</v>
      </c>
      <c r="K592" s="116">
        <f t="shared" si="340"/>
        <v>0</v>
      </c>
      <c r="L592" s="116">
        <f t="shared" si="340"/>
        <v>0</v>
      </c>
      <c r="M592" s="116">
        <f t="shared" si="340"/>
        <v>0</v>
      </c>
      <c r="N592" s="116">
        <f t="shared" si="340"/>
        <v>0</v>
      </c>
      <c r="O592" s="116">
        <f t="shared" si="340"/>
        <v>0</v>
      </c>
      <c r="P592" s="116">
        <f t="shared" si="340"/>
        <v>0</v>
      </c>
      <c r="Q592" s="116">
        <f t="shared" si="340"/>
        <v>0</v>
      </c>
      <c r="R592" s="116">
        <f t="shared" si="340"/>
        <v>0</v>
      </c>
      <c r="S592" s="116">
        <f t="shared" si="340"/>
        <v>0</v>
      </c>
      <c r="T592" s="116">
        <f t="shared" si="340"/>
        <v>0</v>
      </c>
      <c r="U592" s="116">
        <f t="shared" si="340"/>
        <v>0</v>
      </c>
      <c r="V592" s="116">
        <f t="shared" si="340"/>
        <v>0</v>
      </c>
      <c r="W592" s="116">
        <f t="shared" si="340"/>
        <v>0</v>
      </c>
      <c r="X592" s="116">
        <f t="shared" si="340"/>
        <v>0</v>
      </c>
      <c r="Y592" s="116">
        <f t="shared" si="340"/>
        <v>0</v>
      </c>
      <c r="Z592" s="116">
        <f t="shared" si="340"/>
        <v>0</v>
      </c>
      <c r="AA592" s="116">
        <f t="shared" si="340"/>
        <v>0</v>
      </c>
      <c r="AB592" s="116">
        <f t="shared" si="340"/>
        <v>0</v>
      </c>
      <c r="AC592" s="116">
        <f t="shared" si="340"/>
        <v>0</v>
      </c>
      <c r="AD592" s="116">
        <f t="shared" si="340"/>
        <v>0</v>
      </c>
      <c r="AE592" s="116">
        <f t="shared" si="340"/>
        <v>0</v>
      </c>
      <c r="AF592" s="116">
        <f t="shared" si="340"/>
        <v>0</v>
      </c>
      <c r="AG592" s="116">
        <f t="shared" si="340"/>
        <v>0</v>
      </c>
      <c r="AH592" s="116">
        <f t="shared" si="340"/>
        <v>0</v>
      </c>
      <c r="AI592" s="116">
        <f t="shared" si="340"/>
        <v>0</v>
      </c>
      <c r="AJ592" s="116">
        <f t="shared" si="340"/>
        <v>0</v>
      </c>
      <c r="AK592" s="116">
        <f t="shared" si="340"/>
        <v>0</v>
      </c>
      <c r="AL592" s="116">
        <f t="shared" si="340"/>
        <v>0</v>
      </c>
      <c r="AM592" s="116">
        <f t="shared" ref="AM592:BD592" si="341">IF(AND($E$526 = 2, $E$527 &lt; 3, AM591 &gt; 0), MAX(0,MIN(AM591,AM590)), 0)</f>
        <v>0</v>
      </c>
      <c r="AN592" s="116">
        <f t="shared" si="341"/>
        <v>0</v>
      </c>
      <c r="AO592" s="116">
        <f t="shared" si="341"/>
        <v>0</v>
      </c>
      <c r="AP592" s="116">
        <f t="shared" si="341"/>
        <v>0</v>
      </c>
      <c r="AQ592" s="116">
        <f t="shared" si="341"/>
        <v>0</v>
      </c>
      <c r="AR592" s="116">
        <f t="shared" si="341"/>
        <v>0</v>
      </c>
      <c r="AS592" s="116">
        <f t="shared" si="341"/>
        <v>0</v>
      </c>
      <c r="AT592" s="116">
        <f t="shared" si="341"/>
        <v>0</v>
      </c>
      <c r="AU592" s="116">
        <f t="shared" si="341"/>
        <v>0</v>
      </c>
      <c r="AV592" s="116">
        <f t="shared" si="341"/>
        <v>0</v>
      </c>
      <c r="AW592" s="116">
        <f t="shared" si="341"/>
        <v>0</v>
      </c>
      <c r="AX592" s="116">
        <f t="shared" si="341"/>
        <v>0</v>
      </c>
      <c r="AY592" s="116">
        <f t="shared" si="341"/>
        <v>0</v>
      </c>
      <c r="AZ592" s="116">
        <f t="shared" si="341"/>
        <v>0</v>
      </c>
      <c r="BA592" s="116">
        <f t="shared" si="341"/>
        <v>0</v>
      </c>
      <c r="BB592" s="116">
        <f t="shared" si="341"/>
        <v>0</v>
      </c>
      <c r="BC592" s="116">
        <f t="shared" si="341"/>
        <v>0</v>
      </c>
      <c r="BD592" s="116">
        <f t="shared" si="341"/>
        <v>0</v>
      </c>
    </row>
    <row r="593" spans="2:56" ht="27.75" customHeight="1">
      <c r="E593" s="18"/>
    </row>
    <row r="594" spans="2:56" ht="15" customHeight="1">
      <c r="C594" s="21">
        <f>SUM(G594:BD594)</f>
        <v>3818.8385114209359</v>
      </c>
      <c r="D594" s="9" t="s">
        <v>590</v>
      </c>
      <c r="E594" s="18" t="s">
        <v>333</v>
      </c>
      <c r="G594" s="21">
        <f t="shared" ref="G594:AL594" si="342">G570 + G592</f>
        <v>0</v>
      </c>
      <c r="H594" s="21">
        <f t="shared" si="342"/>
        <v>0</v>
      </c>
      <c r="I594" s="21">
        <f t="shared" si="342"/>
        <v>0</v>
      </c>
      <c r="J594" s="21">
        <f t="shared" si="342"/>
        <v>0</v>
      </c>
      <c r="K594" s="21">
        <f t="shared" si="342"/>
        <v>0</v>
      </c>
      <c r="L594" s="21">
        <f t="shared" si="342"/>
        <v>0</v>
      </c>
      <c r="M594" s="21">
        <f t="shared" si="342"/>
        <v>26.343666761009096</v>
      </c>
      <c r="N594" s="21">
        <f t="shared" si="342"/>
        <v>132.27181509650268</v>
      </c>
      <c r="O594" s="21">
        <f t="shared" si="342"/>
        <v>139.41371042744271</v>
      </c>
      <c r="P594" s="21">
        <f t="shared" si="342"/>
        <v>157.76345419093815</v>
      </c>
      <c r="Q594" s="21">
        <f t="shared" si="342"/>
        <v>160.91872327475696</v>
      </c>
      <c r="R594" s="21">
        <f t="shared" si="342"/>
        <v>164.13709774025193</v>
      </c>
      <c r="S594" s="21">
        <f t="shared" si="342"/>
        <v>167.41983969505708</v>
      </c>
      <c r="T594" s="21">
        <f t="shared" si="342"/>
        <v>170.76823648895819</v>
      </c>
      <c r="U594" s="21">
        <f t="shared" si="342"/>
        <v>174.18360121873738</v>
      </c>
      <c r="V594" s="21">
        <f t="shared" si="342"/>
        <v>177.66727324311205</v>
      </c>
      <c r="W594" s="21">
        <f t="shared" si="342"/>
        <v>181.22061870797438</v>
      </c>
      <c r="X594" s="21">
        <f t="shared" si="342"/>
        <v>184.84503108213391</v>
      </c>
      <c r="Y594" s="21">
        <f t="shared" si="342"/>
        <v>187.20587225945295</v>
      </c>
      <c r="Z594" s="21">
        <f t="shared" si="342"/>
        <v>190.94681939409605</v>
      </c>
      <c r="AA594" s="21">
        <f t="shared" si="342"/>
        <v>194.75848113862548</v>
      </c>
      <c r="AB594" s="21">
        <f t="shared" si="342"/>
        <v>198.64088725697201</v>
      </c>
      <c r="AC594" s="21">
        <f t="shared" si="342"/>
        <v>202.59328020317673</v>
      </c>
      <c r="AD594" s="21">
        <f t="shared" si="342"/>
        <v>204.34169626966747</v>
      </c>
      <c r="AE594" s="21">
        <f t="shared" si="342"/>
        <v>208.3784417287726</v>
      </c>
      <c r="AF594" s="21">
        <f t="shared" si="342"/>
        <v>212.46184688085998</v>
      </c>
      <c r="AG594" s="21">
        <f t="shared" si="342"/>
        <v>243.70810025704071</v>
      </c>
      <c r="AH594" s="21">
        <f t="shared" si="342"/>
        <v>138.8500181053976</v>
      </c>
      <c r="AI594" s="21">
        <f t="shared" si="342"/>
        <v>0</v>
      </c>
      <c r="AJ594" s="21">
        <f t="shared" si="342"/>
        <v>0</v>
      </c>
      <c r="AK594" s="21">
        <f t="shared" si="342"/>
        <v>0</v>
      </c>
      <c r="AL594" s="21">
        <f t="shared" si="342"/>
        <v>0</v>
      </c>
      <c r="AM594" s="21">
        <f t="shared" ref="AM594:BD594" si="343">AM570 + AM592</f>
        <v>0</v>
      </c>
      <c r="AN594" s="21">
        <f t="shared" si="343"/>
        <v>0</v>
      </c>
      <c r="AO594" s="21">
        <f t="shared" si="343"/>
        <v>0</v>
      </c>
      <c r="AP594" s="21">
        <f t="shared" si="343"/>
        <v>0</v>
      </c>
      <c r="AQ594" s="21">
        <f t="shared" si="343"/>
        <v>0</v>
      </c>
      <c r="AR594" s="21">
        <f t="shared" si="343"/>
        <v>0</v>
      </c>
      <c r="AS594" s="21">
        <f t="shared" si="343"/>
        <v>0</v>
      </c>
      <c r="AT594" s="21">
        <f t="shared" si="343"/>
        <v>0</v>
      </c>
      <c r="AU594" s="21">
        <f t="shared" si="343"/>
        <v>0</v>
      </c>
      <c r="AV594" s="21">
        <f t="shared" si="343"/>
        <v>0</v>
      </c>
      <c r="AW594" s="21">
        <f t="shared" si="343"/>
        <v>0</v>
      </c>
      <c r="AX594" s="21">
        <f t="shared" si="343"/>
        <v>0</v>
      </c>
      <c r="AY594" s="21">
        <f t="shared" si="343"/>
        <v>0</v>
      </c>
      <c r="AZ594" s="21">
        <f t="shared" si="343"/>
        <v>0</v>
      </c>
      <c r="BA594" s="21">
        <f t="shared" si="343"/>
        <v>0</v>
      </c>
      <c r="BB594" s="21">
        <f t="shared" si="343"/>
        <v>0</v>
      </c>
      <c r="BC594" s="21">
        <f t="shared" si="343"/>
        <v>0</v>
      </c>
      <c r="BD594" s="21">
        <f t="shared" si="343"/>
        <v>0</v>
      </c>
    </row>
    <row r="595" spans="2:56" ht="15" customHeight="1">
      <c r="C595" s="21">
        <f>SUM(G595:BD595)</f>
        <v>727.39781169922594</v>
      </c>
      <c r="D595" s="9" t="s">
        <v>591</v>
      </c>
      <c r="E595" s="18" t="s">
        <v>333</v>
      </c>
      <c r="G595" s="21">
        <f t="shared" ref="G595:AL595" si="344">G567 + G581</f>
        <v>0</v>
      </c>
      <c r="H595" s="21">
        <f t="shared" si="344"/>
        <v>0</v>
      </c>
      <c r="I595" s="21">
        <f t="shared" si="344"/>
        <v>0</v>
      </c>
      <c r="J595" s="21">
        <f t="shared" si="344"/>
        <v>0</v>
      </c>
      <c r="K595" s="21">
        <f t="shared" si="344"/>
        <v>0</v>
      </c>
      <c r="L595" s="21">
        <f t="shared" si="344"/>
        <v>0</v>
      </c>
      <c r="M595" s="21">
        <f t="shared" si="344"/>
        <v>5.0178412878112573</v>
      </c>
      <c r="N595" s="21">
        <f t="shared" si="344"/>
        <v>25.19463144695289</v>
      </c>
      <c r="O595" s="21">
        <f t="shared" si="344"/>
        <v>26.554992462370038</v>
      </c>
      <c r="P595" s="21">
        <f t="shared" si="344"/>
        <v>30.050181750654883</v>
      </c>
      <c r="Q595" s="21">
        <f t="shared" si="344"/>
        <v>30.65118538566799</v>
      </c>
      <c r="R595" s="21">
        <f t="shared" si="344"/>
        <v>31.264209093381325</v>
      </c>
      <c r="S595" s="21">
        <f t="shared" si="344"/>
        <v>31.88949327524897</v>
      </c>
      <c r="T595" s="21">
        <f t="shared" si="344"/>
        <v>32.527283140753944</v>
      </c>
      <c r="U595" s="21">
        <f t="shared" si="344"/>
        <v>33.177828803569021</v>
      </c>
      <c r="V595" s="21">
        <f t="shared" si="344"/>
        <v>33.841385379640393</v>
      </c>
      <c r="W595" s="21">
        <f t="shared" si="344"/>
        <v>34.518213087233214</v>
      </c>
      <c r="X595" s="21">
        <f t="shared" si="344"/>
        <v>35.20857734897789</v>
      </c>
      <c r="Y595" s="21">
        <f t="shared" si="344"/>
        <v>35.658261382752947</v>
      </c>
      <c r="Z595" s="21">
        <f t="shared" si="344"/>
        <v>36.370822741732582</v>
      </c>
      <c r="AA595" s="21">
        <f t="shared" si="344"/>
        <v>37.096853550214377</v>
      </c>
      <c r="AB595" s="21">
        <f t="shared" si="344"/>
        <v>37.836359477518485</v>
      </c>
      <c r="AC595" s="21">
        <f t="shared" si="344"/>
        <v>38.589196229176522</v>
      </c>
      <c r="AD595" s="21">
        <f t="shared" si="344"/>
        <v>38.922227860889045</v>
      </c>
      <c r="AE595" s="21">
        <f t="shared" si="344"/>
        <v>39.691131757861449</v>
      </c>
      <c r="AF595" s="21">
        <f t="shared" si="344"/>
        <v>40.468923215401901</v>
      </c>
      <c r="AG595" s="21">
        <f t="shared" si="344"/>
        <v>46.420590525150608</v>
      </c>
      <c r="AH595" s="21">
        <f t="shared" si="344"/>
        <v>26.447622496266209</v>
      </c>
      <c r="AI595" s="21">
        <f t="shared" si="344"/>
        <v>0</v>
      </c>
      <c r="AJ595" s="21">
        <f t="shared" si="344"/>
        <v>0</v>
      </c>
      <c r="AK595" s="21">
        <f t="shared" si="344"/>
        <v>0</v>
      </c>
      <c r="AL595" s="21">
        <f t="shared" si="344"/>
        <v>0</v>
      </c>
      <c r="AM595" s="21">
        <f t="shared" ref="AM595:BD595" si="345">AM567 + AM581</f>
        <v>0</v>
      </c>
      <c r="AN595" s="21">
        <f t="shared" si="345"/>
        <v>0</v>
      </c>
      <c r="AO595" s="21">
        <f t="shared" si="345"/>
        <v>0</v>
      </c>
      <c r="AP595" s="21">
        <f t="shared" si="345"/>
        <v>0</v>
      </c>
      <c r="AQ595" s="21">
        <f t="shared" si="345"/>
        <v>0</v>
      </c>
      <c r="AR595" s="21">
        <f t="shared" si="345"/>
        <v>0</v>
      </c>
      <c r="AS595" s="21">
        <f t="shared" si="345"/>
        <v>0</v>
      </c>
      <c r="AT595" s="21">
        <f t="shared" si="345"/>
        <v>0</v>
      </c>
      <c r="AU595" s="21">
        <f t="shared" si="345"/>
        <v>0</v>
      </c>
      <c r="AV595" s="21">
        <f t="shared" si="345"/>
        <v>0</v>
      </c>
      <c r="AW595" s="21">
        <f t="shared" si="345"/>
        <v>0</v>
      </c>
      <c r="AX595" s="21">
        <f t="shared" si="345"/>
        <v>0</v>
      </c>
      <c r="AY595" s="21">
        <f t="shared" si="345"/>
        <v>0</v>
      </c>
      <c r="AZ595" s="21">
        <f t="shared" si="345"/>
        <v>0</v>
      </c>
      <c r="BA595" s="21">
        <f t="shared" si="345"/>
        <v>0</v>
      </c>
      <c r="BB595" s="21">
        <f t="shared" si="345"/>
        <v>0</v>
      </c>
      <c r="BC595" s="21">
        <f t="shared" si="345"/>
        <v>0</v>
      </c>
      <c r="BD595" s="21">
        <f t="shared" si="345"/>
        <v>0</v>
      </c>
    </row>
    <row r="596" spans="2:56" ht="16.5" customHeight="1" thickBot="1">
      <c r="C596" s="20"/>
      <c r="E596" s="18"/>
      <c r="G596" s="17"/>
      <c r="H596" s="17"/>
      <c r="I596" s="17"/>
      <c r="J596" s="17"/>
      <c r="K596" s="17"/>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row>
    <row r="597" spans="2:56" ht="15" customHeight="1">
      <c r="C597" s="130"/>
      <c r="D597" s="131"/>
      <c r="E597" s="130"/>
      <c r="F597" s="130"/>
      <c r="G597" s="130"/>
      <c r="H597" s="130"/>
      <c r="I597" s="130"/>
      <c r="J597" s="130"/>
      <c r="K597" s="130"/>
      <c r="L597" s="130"/>
      <c r="M597" s="130"/>
      <c r="N597" s="130"/>
      <c r="O597" s="130"/>
      <c r="P597" s="130"/>
      <c r="Q597" s="130"/>
      <c r="R597" s="130"/>
      <c r="S597" s="130"/>
      <c r="T597" s="130"/>
      <c r="U597" s="130"/>
      <c r="V597" s="130"/>
      <c r="W597" s="130"/>
      <c r="X597" s="130"/>
      <c r="Y597" s="130"/>
      <c r="Z597" s="130"/>
      <c r="AA597" s="130"/>
      <c r="AB597" s="130"/>
      <c r="AC597" s="130"/>
      <c r="AD597" s="130"/>
      <c r="AE597" s="130"/>
      <c r="AF597" s="130"/>
      <c r="AG597" s="130"/>
      <c r="AH597" s="130"/>
      <c r="AI597" s="130"/>
      <c r="AJ597" s="130"/>
      <c r="AK597" s="130"/>
      <c r="AL597" s="130"/>
      <c r="AM597" s="130"/>
      <c r="AN597" s="130"/>
      <c r="AO597" s="130"/>
      <c r="AP597" s="130"/>
      <c r="AQ597" s="130"/>
      <c r="AR597" s="130"/>
      <c r="AS597" s="130"/>
      <c r="AT597" s="130"/>
      <c r="AU597" s="130"/>
      <c r="AV597" s="130"/>
      <c r="AW597" s="130"/>
      <c r="AX597" s="130"/>
      <c r="AY597" s="130"/>
      <c r="AZ597" s="130"/>
      <c r="BA597" s="130"/>
      <c r="BB597" s="130"/>
      <c r="BC597" s="130"/>
      <c r="BD597" s="130"/>
    </row>
    <row r="598" spans="2:56" ht="15" customHeight="1">
      <c r="C598" s="20"/>
      <c r="D598" s="213" t="s">
        <v>592</v>
      </c>
      <c r="E598" s="18"/>
      <c r="G598" s="17"/>
      <c r="H598" s="17"/>
      <c r="I598" s="17"/>
      <c r="J598" s="17"/>
      <c r="K598" s="17"/>
      <c r="L598" s="17"/>
      <c r="M598" s="17"/>
      <c r="N598" s="17"/>
      <c r="O598" s="17"/>
      <c r="P598" s="17"/>
      <c r="Q598" s="17"/>
      <c r="R598" s="17"/>
      <c r="S598" s="17"/>
      <c r="T598" s="17"/>
      <c r="U598" s="17"/>
      <c r="V598" s="17"/>
      <c r="W598" s="17"/>
      <c r="X598" s="17"/>
      <c r="Y598" s="17"/>
      <c r="Z598" s="17"/>
      <c r="AA598" s="17"/>
      <c r="AB598" s="17"/>
      <c r="AC598" s="17"/>
      <c r="AD598" s="17"/>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row>
    <row r="599" spans="2:56" ht="15" customHeight="1">
      <c r="C599" s="20"/>
      <c r="E599" s="18"/>
      <c r="G599" s="17"/>
      <c r="H599" s="17"/>
      <c r="I599" s="17"/>
      <c r="J599" s="17"/>
      <c r="K599" s="17"/>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row>
    <row r="600" spans="2:56" ht="15" customHeight="1">
      <c r="C600" s="20"/>
      <c r="D600" s="11" t="s">
        <v>435</v>
      </c>
      <c r="E600" s="18">
        <f>IF(Inputs!$E$85 = 1, 1, IF(Inputs!$E$89 = 1, 2, 3))</f>
        <v>3</v>
      </c>
      <c r="G600" s="17"/>
      <c r="H600" s="17"/>
      <c r="I600" s="17"/>
      <c r="J600" s="17"/>
      <c r="K600" s="17"/>
      <c r="L600" s="17"/>
      <c r="M600" s="17"/>
      <c r="N600" s="17"/>
      <c r="O600" s="17"/>
      <c r="P600" s="17"/>
      <c r="Q600" s="17"/>
      <c r="R600" s="17"/>
      <c r="S600" s="17"/>
      <c r="T600" s="17"/>
      <c r="U600" s="17"/>
      <c r="V600" s="17"/>
      <c r="W600" s="17"/>
      <c r="X600" s="17"/>
      <c r="Y600" s="17"/>
      <c r="Z600" s="17"/>
      <c r="AA600" s="17"/>
      <c r="AB600" s="17"/>
      <c r="AC600" s="17"/>
      <c r="AD600" s="17"/>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row>
    <row r="601" spans="2:56" ht="15" customHeight="1">
      <c r="C601" s="20"/>
      <c r="E601" s="18"/>
      <c r="G601" s="17"/>
      <c r="H601" s="17"/>
      <c r="I601" s="17"/>
      <c r="J601" s="17"/>
      <c r="K601" s="17"/>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row>
    <row r="602" spans="2:56" ht="15" customHeight="1">
      <c r="C602" s="20"/>
      <c r="D602" s="9" t="s">
        <v>593</v>
      </c>
      <c r="E602" s="18"/>
      <c r="G602" s="17"/>
      <c r="H602" s="17"/>
      <c r="I602" s="17"/>
      <c r="J602" s="17"/>
      <c r="K602" s="17"/>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row>
    <row r="603" spans="2:56" ht="15" customHeight="1">
      <c r="C603" s="21">
        <f>SUM(G603:BD603)</f>
        <v>3818.8385114209359</v>
      </c>
      <c r="D603" s="11" t="s">
        <v>594</v>
      </c>
      <c r="E603" s="18" t="s">
        <v>333</v>
      </c>
      <c r="G603" s="116">
        <f t="shared" ref="G603:AL603" si="346">G594</f>
        <v>0</v>
      </c>
      <c r="H603" s="116">
        <f t="shared" si="346"/>
        <v>0</v>
      </c>
      <c r="I603" s="116">
        <f t="shared" si="346"/>
        <v>0</v>
      </c>
      <c r="J603" s="116">
        <f t="shared" si="346"/>
        <v>0</v>
      </c>
      <c r="K603" s="116">
        <f t="shared" si="346"/>
        <v>0</v>
      </c>
      <c r="L603" s="116">
        <f t="shared" si="346"/>
        <v>0</v>
      </c>
      <c r="M603" s="116">
        <f t="shared" si="346"/>
        <v>26.343666761009096</v>
      </c>
      <c r="N603" s="116">
        <f t="shared" si="346"/>
        <v>132.27181509650268</v>
      </c>
      <c r="O603" s="116">
        <f t="shared" si="346"/>
        <v>139.41371042744271</v>
      </c>
      <c r="P603" s="116">
        <f t="shared" si="346"/>
        <v>157.76345419093815</v>
      </c>
      <c r="Q603" s="116">
        <f t="shared" si="346"/>
        <v>160.91872327475696</v>
      </c>
      <c r="R603" s="116">
        <f t="shared" si="346"/>
        <v>164.13709774025193</v>
      </c>
      <c r="S603" s="116">
        <f t="shared" si="346"/>
        <v>167.41983969505708</v>
      </c>
      <c r="T603" s="116">
        <f t="shared" si="346"/>
        <v>170.76823648895819</v>
      </c>
      <c r="U603" s="116">
        <f t="shared" si="346"/>
        <v>174.18360121873738</v>
      </c>
      <c r="V603" s="116">
        <f t="shared" si="346"/>
        <v>177.66727324311205</v>
      </c>
      <c r="W603" s="116">
        <f t="shared" si="346"/>
        <v>181.22061870797438</v>
      </c>
      <c r="X603" s="116">
        <f t="shared" si="346"/>
        <v>184.84503108213391</v>
      </c>
      <c r="Y603" s="116">
        <f t="shared" si="346"/>
        <v>187.20587225945295</v>
      </c>
      <c r="Z603" s="116">
        <f t="shared" si="346"/>
        <v>190.94681939409605</v>
      </c>
      <c r="AA603" s="116">
        <f t="shared" si="346"/>
        <v>194.75848113862548</v>
      </c>
      <c r="AB603" s="116">
        <f t="shared" si="346"/>
        <v>198.64088725697201</v>
      </c>
      <c r="AC603" s="116">
        <f t="shared" si="346"/>
        <v>202.59328020317673</v>
      </c>
      <c r="AD603" s="116">
        <f t="shared" si="346"/>
        <v>204.34169626966747</v>
      </c>
      <c r="AE603" s="116">
        <f t="shared" si="346"/>
        <v>208.3784417287726</v>
      </c>
      <c r="AF603" s="116">
        <f t="shared" si="346"/>
        <v>212.46184688085998</v>
      </c>
      <c r="AG603" s="116">
        <f t="shared" si="346"/>
        <v>243.70810025704071</v>
      </c>
      <c r="AH603" s="116">
        <f t="shared" si="346"/>
        <v>138.8500181053976</v>
      </c>
      <c r="AI603" s="116">
        <f t="shared" si="346"/>
        <v>0</v>
      </c>
      <c r="AJ603" s="116">
        <f t="shared" si="346"/>
        <v>0</v>
      </c>
      <c r="AK603" s="116">
        <f t="shared" si="346"/>
        <v>0</v>
      </c>
      <c r="AL603" s="116">
        <f t="shared" si="346"/>
        <v>0</v>
      </c>
      <c r="AM603" s="116">
        <f t="shared" ref="AM603:BD603" si="347">AM594</f>
        <v>0</v>
      </c>
      <c r="AN603" s="116">
        <f t="shared" si="347"/>
        <v>0</v>
      </c>
      <c r="AO603" s="116">
        <f t="shared" si="347"/>
        <v>0</v>
      </c>
      <c r="AP603" s="116">
        <f t="shared" si="347"/>
        <v>0</v>
      </c>
      <c r="AQ603" s="116">
        <f t="shared" si="347"/>
        <v>0</v>
      </c>
      <c r="AR603" s="116">
        <f t="shared" si="347"/>
        <v>0</v>
      </c>
      <c r="AS603" s="116">
        <f t="shared" si="347"/>
        <v>0</v>
      </c>
      <c r="AT603" s="116">
        <f t="shared" si="347"/>
        <v>0</v>
      </c>
      <c r="AU603" s="116">
        <f t="shared" si="347"/>
        <v>0</v>
      </c>
      <c r="AV603" s="116">
        <f t="shared" si="347"/>
        <v>0</v>
      </c>
      <c r="AW603" s="116">
        <f t="shared" si="347"/>
        <v>0</v>
      </c>
      <c r="AX603" s="116">
        <f t="shared" si="347"/>
        <v>0</v>
      </c>
      <c r="AY603" s="116">
        <f t="shared" si="347"/>
        <v>0</v>
      </c>
      <c r="AZ603" s="116">
        <f t="shared" si="347"/>
        <v>0</v>
      </c>
      <c r="BA603" s="116">
        <f t="shared" si="347"/>
        <v>0</v>
      </c>
      <c r="BB603" s="116">
        <f t="shared" si="347"/>
        <v>0</v>
      </c>
      <c r="BC603" s="116">
        <f t="shared" si="347"/>
        <v>0</v>
      </c>
      <c r="BD603" s="116">
        <f t="shared" si="347"/>
        <v>0</v>
      </c>
    </row>
    <row r="604" spans="2:56" ht="15" customHeight="1">
      <c r="B604" s="47"/>
      <c r="C604" s="21">
        <f>SUM(G604:BD604)</f>
        <v>381.8838511420937</v>
      </c>
      <c r="D604" s="11" t="s">
        <v>595</v>
      </c>
      <c r="E604" s="18" t="s">
        <v>333</v>
      </c>
      <c r="G604" s="116">
        <f>G603*Inputs!$E$74*Inputs!$E$191 * IF($E$600 &lt;&gt; 2, 1, G224)</f>
        <v>0</v>
      </c>
      <c r="H604" s="116">
        <f>H603*Inputs!$E$74*Inputs!$E$191 * IF($E$600 &lt;&gt; 2, 1, H224)</f>
        <v>0</v>
      </c>
      <c r="I604" s="116">
        <f>I603*Inputs!$E$74*Inputs!$E$191 * IF($E$600 &lt;&gt; 2, 1, I224)</f>
        <v>0</v>
      </c>
      <c r="J604" s="116">
        <f>J603*Inputs!$E$74*Inputs!$E$191 * IF($E$600 &lt;&gt; 2, 1, J224)</f>
        <v>0</v>
      </c>
      <c r="K604" s="116">
        <f>K603*Inputs!$E$74*Inputs!$E$191 * IF($E$600 &lt;&gt; 2, 1, K224)</f>
        <v>0</v>
      </c>
      <c r="L604" s="116">
        <f>L603*Inputs!$E$74*Inputs!$E$191 * IF($E$600 &lt;&gt; 2, 1, L224)</f>
        <v>0</v>
      </c>
      <c r="M604" s="116">
        <f>M603*Inputs!$E$74*Inputs!$E$191 * IF($E$600 &lt;&gt; 2, 1, M224)</f>
        <v>2.6343666761009099</v>
      </c>
      <c r="N604" s="116">
        <f>N603*Inputs!$E$74*Inputs!$E$191 * IF($E$600 &lt;&gt; 2, 1, N224)</f>
        <v>13.227181509650269</v>
      </c>
      <c r="O604" s="116">
        <f>O603*Inputs!$E$74*Inputs!$E$191 * IF($E$600 &lt;&gt; 2, 1, O224)</f>
        <v>13.941371042744272</v>
      </c>
      <c r="P604" s="116">
        <f>P603*Inputs!$E$74*Inputs!$E$191 * IF($E$600 &lt;&gt; 2, 1, P224)</f>
        <v>15.776345419093815</v>
      </c>
      <c r="Q604" s="116">
        <f>Q603*Inputs!$E$74*Inputs!$E$191 * IF($E$600 &lt;&gt; 2, 1, Q224)</f>
        <v>16.091872327475695</v>
      </c>
      <c r="R604" s="116">
        <f>R603*Inputs!$E$74*Inputs!$E$191 * IF($E$600 &lt;&gt; 2, 1, R224)</f>
        <v>16.413709774025193</v>
      </c>
      <c r="S604" s="116">
        <f>S603*Inputs!$E$74*Inputs!$E$191 * IF($E$600 &lt;&gt; 2, 1, S224)</f>
        <v>16.741983969505707</v>
      </c>
      <c r="T604" s="116">
        <f>T603*Inputs!$E$74*Inputs!$E$191 * IF($E$600 &lt;&gt; 2, 1, T224)</f>
        <v>17.076823648895822</v>
      </c>
      <c r="U604" s="116">
        <f>U603*Inputs!$E$74*Inputs!$E$191 * IF($E$600 &lt;&gt; 2, 1, U224)</f>
        <v>17.418360121873739</v>
      </c>
      <c r="V604" s="116">
        <f>V603*Inputs!$E$74*Inputs!$E$191 * IF($E$600 &lt;&gt; 2, 1, V224)</f>
        <v>17.766727324311205</v>
      </c>
      <c r="W604" s="116">
        <f>W603*Inputs!$E$74*Inputs!$E$191 * IF($E$600 &lt;&gt; 2, 1, W224)</f>
        <v>18.122061870797438</v>
      </c>
      <c r="X604" s="116">
        <f>X603*Inputs!$E$74*Inputs!$E$191 * IF($E$600 &lt;&gt; 2, 1, X224)</f>
        <v>18.484503108213392</v>
      </c>
      <c r="Y604" s="116">
        <f>Y603*Inputs!$E$74*Inputs!$E$191 * IF($E$600 &lt;&gt; 2, 1, Y224)</f>
        <v>18.720587225945295</v>
      </c>
      <c r="Z604" s="116">
        <f>Z603*Inputs!$E$74*Inputs!$E$191 * IF($E$600 &lt;&gt; 2, 1, Z224)</f>
        <v>19.094681939409607</v>
      </c>
      <c r="AA604" s="116">
        <f>AA603*Inputs!$E$74*Inputs!$E$191 * IF($E$600 &lt;&gt; 2, 1, AA224)</f>
        <v>19.475848113862551</v>
      </c>
      <c r="AB604" s="116">
        <f>AB603*Inputs!$E$74*Inputs!$E$191 * IF($E$600 &lt;&gt; 2, 1, AB224)</f>
        <v>19.864088725697201</v>
      </c>
      <c r="AC604" s="116">
        <f>AC603*Inputs!$E$74*Inputs!$E$191 * IF($E$600 &lt;&gt; 2, 1, AC224)</f>
        <v>20.259328020317675</v>
      </c>
      <c r="AD604" s="116">
        <f>AD603*Inputs!$E$74*Inputs!$E$191 * IF($E$600 &lt;&gt; 2, 1, AD224)</f>
        <v>20.434169626966749</v>
      </c>
      <c r="AE604" s="116">
        <f>AE603*Inputs!$E$74*Inputs!$E$191 * IF($E$600 &lt;&gt; 2, 1, AE224)</f>
        <v>20.837844172877261</v>
      </c>
      <c r="AF604" s="116">
        <f>AF603*Inputs!$E$74*Inputs!$E$191 * IF($E$600 &lt;&gt; 2, 1, AF224)</f>
        <v>21.246184688086</v>
      </c>
      <c r="AG604" s="116">
        <f>AG603*Inputs!$E$74*Inputs!$E$191 * IF($E$600 &lt;&gt; 2, 1, AG224)</f>
        <v>24.370810025704074</v>
      </c>
      <c r="AH604" s="116">
        <f>AH603*Inputs!$E$74*Inputs!$E$191 * IF($E$600 &lt;&gt; 2, 1, AH224)</f>
        <v>13.885001810539761</v>
      </c>
      <c r="AI604" s="116">
        <f>AI603*Inputs!$E$74*Inputs!$E$191 * IF($E$600 &lt;&gt; 2, 1, AI224)</f>
        <v>0</v>
      </c>
      <c r="AJ604" s="116">
        <f>AJ603*Inputs!$E$74*Inputs!$E$191 * IF($E$600 &lt;&gt; 2, 1, AJ224)</f>
        <v>0</v>
      </c>
      <c r="AK604" s="116">
        <f>AK603*Inputs!$E$74*Inputs!$E$191 * IF($E$600 &lt;&gt; 2, 1, AK224)</f>
        <v>0</v>
      </c>
      <c r="AL604" s="116">
        <f>AL603*Inputs!$E$74*Inputs!$E$191 * IF($E$600 &lt;&gt; 2, 1, AL224)</f>
        <v>0</v>
      </c>
      <c r="AM604" s="116">
        <f>AM603*Inputs!$E$74*Inputs!$E$191 * IF($E$600 &lt;&gt; 2, 1, AM224)</f>
        <v>0</v>
      </c>
      <c r="AN604" s="116">
        <f>AN603*Inputs!$E$74*Inputs!$E$191 * IF($E$600 &lt;&gt; 2, 1, AN224)</f>
        <v>0</v>
      </c>
      <c r="AO604" s="116">
        <f>AO603*Inputs!$E$74*Inputs!$E$191 * IF($E$600 &lt;&gt; 2, 1, AO224)</f>
        <v>0</v>
      </c>
      <c r="AP604" s="116">
        <f>AP603*Inputs!$E$74*Inputs!$E$191 * IF($E$600 &lt;&gt; 2, 1, AP224)</f>
        <v>0</v>
      </c>
      <c r="AQ604" s="116">
        <f>AQ603*Inputs!$E$74*Inputs!$E$191 * IF($E$600 &lt;&gt; 2, 1, AQ224)</f>
        <v>0</v>
      </c>
      <c r="AR604" s="116">
        <f>AR603*Inputs!$E$74*Inputs!$E$191 * IF($E$600 &lt;&gt; 2, 1, AR224)</f>
        <v>0</v>
      </c>
      <c r="AS604" s="116">
        <f>AS603*Inputs!$E$74*Inputs!$E$191 * IF($E$600 &lt;&gt; 2, 1, AS224)</f>
        <v>0</v>
      </c>
      <c r="AT604" s="116">
        <f>AT603*Inputs!$E$74*Inputs!$E$191 * IF($E$600 &lt;&gt; 2, 1, AT224)</f>
        <v>0</v>
      </c>
      <c r="AU604" s="116">
        <f>AU603*Inputs!$E$74*Inputs!$E$191 * IF($E$600 &lt;&gt; 2, 1, AU224)</f>
        <v>0</v>
      </c>
      <c r="AV604" s="116">
        <f>AV603*Inputs!$E$74*Inputs!$E$191 * IF($E$600 &lt;&gt; 2, 1, AV224)</f>
        <v>0</v>
      </c>
      <c r="AW604" s="116">
        <f>AW603*Inputs!$E$74*Inputs!$E$191 * IF($E$600 &lt;&gt; 2, 1, AW224)</f>
        <v>0</v>
      </c>
      <c r="AX604" s="116">
        <f>AX603*Inputs!$E$74*Inputs!$E$191 * IF($E$600 &lt;&gt; 2, 1, AX224)</f>
        <v>0</v>
      </c>
      <c r="AY604" s="116">
        <f>AY603*Inputs!$E$74*Inputs!$E$191 * IF($E$600 &lt;&gt; 2, 1, AY224)</f>
        <v>0</v>
      </c>
      <c r="AZ604" s="116">
        <f>AZ603*Inputs!$E$74*Inputs!$E$191 * IF($E$600 &lt;&gt; 2, 1, AZ224)</f>
        <v>0</v>
      </c>
      <c r="BA604" s="116">
        <f>BA603*Inputs!$E$74*Inputs!$E$191 * IF($E$600 &lt;&gt; 2, 1, BA224)</f>
        <v>0</v>
      </c>
      <c r="BB604" s="116">
        <f>BB603*Inputs!$E$74*Inputs!$E$191 * IF($E$600 &lt;&gt; 2, 1, BB224)</f>
        <v>0</v>
      </c>
      <c r="BC604" s="116">
        <f>BC603*Inputs!$E$74*Inputs!$E$191 * IF($E$600 &lt;&gt; 2, 1, BC224)</f>
        <v>0</v>
      </c>
      <c r="BD604" s="116">
        <f>BD603*Inputs!$E$74*Inputs!$E$191 * IF($E$600 &lt;&gt; 2, 1, BD224)</f>
        <v>0</v>
      </c>
    </row>
    <row r="605" spans="2:56" ht="15" customHeight="1">
      <c r="B605" s="47"/>
      <c r="C605" s="21"/>
      <c r="E605" s="18"/>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row>
    <row r="606" spans="2:56" ht="15" customHeight="1">
      <c r="C606" s="21"/>
      <c r="D606" s="9" t="s">
        <v>596</v>
      </c>
      <c r="E606" s="18"/>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row>
    <row r="607" spans="2:56" ht="15" customHeight="1">
      <c r="B607" s="396"/>
      <c r="D607" s="11" t="s">
        <v>597</v>
      </c>
      <c r="E607" s="413">
        <f>Inputs!E57</f>
        <v>1</v>
      </c>
    </row>
    <row r="608" spans="2:56" ht="15" customHeight="1">
      <c r="B608" s="396"/>
      <c r="E608" s="413"/>
    </row>
    <row r="609" spans="2:56" ht="15" customHeight="1">
      <c r="C609" s="21">
        <f>SUM(G609:BD609)</f>
        <v>50.248823040000005</v>
      </c>
      <c r="D609" s="11" t="s">
        <v>598</v>
      </c>
      <c r="E609" s="18" t="s">
        <v>333</v>
      </c>
      <c r="G609" s="21">
        <f>IF($E$607 = 1, G96, G96 * (1 - Inputs!$E$196))</f>
        <v>0</v>
      </c>
      <c r="H609" s="21">
        <f>IF($E$607 = 1, H96, H96 * (1 - Inputs!$E$196))</f>
        <v>0</v>
      </c>
      <c r="I609" s="21">
        <f>IF($E$607 = 1, I96, I96 * (1 - Inputs!$E$196))</f>
        <v>0</v>
      </c>
      <c r="J609" s="21">
        <f>IF($E$607 = 1, J96, J96 * (1 - Inputs!$E$196))</f>
        <v>0</v>
      </c>
      <c r="K609" s="21">
        <f>IF($E$607 = 1, K96, K96 * (1 - Inputs!$E$196))</f>
        <v>16.74960768</v>
      </c>
      <c r="L609" s="21">
        <f>IF($E$607 = 1, L96, L96 * (1 - Inputs!$E$196))</f>
        <v>13.399686144</v>
      </c>
      <c r="M609" s="21">
        <f>IF($E$607 = 1, M96, M96 * (1 - Inputs!$E$196))</f>
        <v>10.049764608000002</v>
      </c>
      <c r="N609" s="21">
        <f>IF($E$607 = 1, N96, N96 * (1 - Inputs!$E$196))</f>
        <v>6.6998430720000011</v>
      </c>
      <c r="O609" s="21">
        <f>IF($E$607 = 1, O96, O96 * (1 - Inputs!$E$196))</f>
        <v>3.3499215360000005</v>
      </c>
      <c r="P609" s="21">
        <f>IF($E$607 = 1, P96, P96 * (1 - Inputs!$E$196))</f>
        <v>0</v>
      </c>
      <c r="Q609" s="21">
        <f>IF($E$607 = 1, Q96, Q96 * (1 - Inputs!$E$196))</f>
        <v>0</v>
      </c>
      <c r="R609" s="21">
        <f>IF($E$607 = 1, R96, R96 * (1 - Inputs!$E$196))</f>
        <v>0</v>
      </c>
      <c r="S609" s="21">
        <f>IF($E$607 = 1, S96, S96 * (1 - Inputs!$E$196))</f>
        <v>0</v>
      </c>
      <c r="T609" s="21">
        <f>IF($E$607 = 1, T96, T96 * (1 - Inputs!$E$196))</f>
        <v>0</v>
      </c>
      <c r="U609" s="21">
        <f>IF($E$607 = 1, U96, U96 * (1 - Inputs!$E$196))</f>
        <v>0</v>
      </c>
      <c r="V609" s="21">
        <f>IF($E$607 = 1, V96, V96 * (1 - Inputs!$E$196))</f>
        <v>0</v>
      </c>
      <c r="W609" s="21">
        <f>IF($E$607 = 1, W96, W96 * (1 - Inputs!$E$196))</f>
        <v>0</v>
      </c>
      <c r="X609" s="21">
        <f>IF($E$607 = 1, X96, X96 * (1 - Inputs!$E$196))</f>
        <v>0</v>
      </c>
      <c r="Y609" s="21">
        <f>IF($E$607 = 1, Y96, Y96 * (1 - Inputs!$E$196))</f>
        <v>0</v>
      </c>
      <c r="Z609" s="21">
        <f>IF($E$607 = 1, Z96, Z96 * (1 - Inputs!$E$196))</f>
        <v>0</v>
      </c>
      <c r="AA609" s="21">
        <f>IF($E$607 = 1, AA96, AA96 * (1 - Inputs!$E$196))</f>
        <v>0</v>
      </c>
      <c r="AB609" s="21">
        <f>IF($E$607 = 1, AB96, AB96 * (1 - Inputs!$E$196))</f>
        <v>0</v>
      </c>
      <c r="AC609" s="21">
        <f>IF($E$607 = 1, AC96, AC96 * (1 - Inputs!$E$196))</f>
        <v>0</v>
      </c>
      <c r="AD609" s="21">
        <f>IF($E$607 = 1, AD96, AD96 * (1 - Inputs!$E$196))</f>
        <v>0</v>
      </c>
      <c r="AE609" s="21">
        <f>IF($E$607 = 1, AE96, AE96 * (1 - Inputs!$E$196))</f>
        <v>0</v>
      </c>
      <c r="AF609" s="21">
        <f>IF($E$607 = 1, AF96, AF96 * (1 - Inputs!$E$196))</f>
        <v>0</v>
      </c>
      <c r="AG609" s="21">
        <f>IF($E$607 = 1, AG96, AG96 * (1 - Inputs!$E$196))</f>
        <v>0</v>
      </c>
      <c r="AH609" s="21">
        <f>IF($E$607 = 1, AH96, AH96 * (1 - Inputs!$E$196))</f>
        <v>0</v>
      </c>
      <c r="AI609" s="21">
        <f>IF($E$607 = 1, AI96, AI96 * (1 - Inputs!$E$196))</f>
        <v>0</v>
      </c>
      <c r="AJ609" s="21">
        <f>IF($E$607 = 1, AJ96, AJ96 * (1 - Inputs!$E$196))</f>
        <v>0</v>
      </c>
      <c r="AK609" s="21">
        <f>IF($E$607 = 1, AK96, AK96 * (1 - Inputs!$E$196))</f>
        <v>0</v>
      </c>
      <c r="AL609" s="21">
        <f>IF($E$607 = 1, AL96, AL96 * (1 - Inputs!$E$196))</f>
        <v>0</v>
      </c>
      <c r="AM609" s="21">
        <f>IF($E$607 = 1, AM96, AM96 * (1 - Inputs!$E$196))</f>
        <v>0</v>
      </c>
      <c r="AN609" s="21">
        <f>IF($E$607 = 1, AN96, AN96 * (1 - Inputs!$E$196))</f>
        <v>0</v>
      </c>
      <c r="AO609" s="21">
        <f>IF($E$607 = 1, AO96, AO96 * (1 - Inputs!$E$196))</f>
        <v>0</v>
      </c>
      <c r="AP609" s="21">
        <f>IF($E$607 = 1, AP96, AP96 * (1 - Inputs!$E$196))</f>
        <v>0</v>
      </c>
      <c r="AQ609" s="21">
        <f>IF($E$607 = 1, AQ96, AQ96 * (1 - Inputs!$E$196))</f>
        <v>0</v>
      </c>
      <c r="AR609" s="21">
        <f>IF($E$607 = 1, AR96, AR96 * (1 - Inputs!$E$196))</f>
        <v>0</v>
      </c>
      <c r="AS609" s="21">
        <f>IF($E$607 = 1, AS96, AS96 * (1 - Inputs!$E$196))</f>
        <v>0</v>
      </c>
      <c r="AT609" s="21">
        <f>IF($E$607 = 1, AT96, AT96 * (1 - Inputs!$E$196))</f>
        <v>0</v>
      </c>
      <c r="AU609" s="21">
        <f>IF($E$607 = 1, AU96, AU96 * (1 - Inputs!$E$196))</f>
        <v>0</v>
      </c>
      <c r="AV609" s="21">
        <f>IF($E$607 = 1, AV96, AV96 * (1 - Inputs!$E$196))</f>
        <v>0</v>
      </c>
      <c r="AW609" s="21">
        <f>IF($E$607 = 1, AW96, AW96 * (1 - Inputs!$E$196))</f>
        <v>0</v>
      </c>
      <c r="AX609" s="21">
        <f>IF($E$607 = 1, AX96, AX96 * (1 - Inputs!$E$196))</f>
        <v>0</v>
      </c>
      <c r="AY609" s="21">
        <f>IF($E$607 = 1, AY96, AY96 * (1 - Inputs!$E$196))</f>
        <v>0</v>
      </c>
      <c r="AZ609" s="21">
        <f>IF($E$607 = 1, AZ96, AZ96 * (1 - Inputs!$E$196))</f>
        <v>0</v>
      </c>
      <c r="BA609" s="21">
        <f>IF($E$607 = 1, BA96, BA96 * (1 - Inputs!$E$196))</f>
        <v>0</v>
      </c>
      <c r="BB609" s="21">
        <f>IF($E$607 = 1, BB96, BB96 * (1 - Inputs!$E$196))</f>
        <v>0</v>
      </c>
      <c r="BC609" s="21">
        <f>IF($E$607 = 1, BC96, BC96 * (1 - Inputs!$E$196))</f>
        <v>0</v>
      </c>
      <c r="BD609" s="21">
        <f>IF($E$607 = 1, BD96, BD96 * (1 - Inputs!$E$196))</f>
        <v>0</v>
      </c>
    </row>
    <row r="610" spans="2:56" ht="15" customHeight="1">
      <c r="C610" s="21">
        <f>SUM(G610:BD610)</f>
        <v>5.0248823040000001</v>
      </c>
      <c r="D610" s="11" t="s">
        <v>599</v>
      </c>
      <c r="E610" s="18" t="s">
        <v>333</v>
      </c>
      <c r="G610" s="116">
        <f>G609 * Inputs!$E$73 * Inputs!$E$191 * IF($E$600 &lt;&gt; 2, 1, G224)</f>
        <v>0</v>
      </c>
      <c r="H610" s="116">
        <f>H609*Inputs!$E$73*Inputs!$E$191 * IF($E$600 &lt;&gt; 2, 1, H224)</f>
        <v>0</v>
      </c>
      <c r="I610" s="116">
        <f>I609*Inputs!$E$73*Inputs!$E$191 * IF($E$600 &lt;&gt; 2, 1, I224)</f>
        <v>0</v>
      </c>
      <c r="J610" s="116">
        <f>J609*Inputs!$E$73*Inputs!$E$191 * IF($E$600 &lt;&gt; 2, 1, J224)</f>
        <v>0</v>
      </c>
      <c r="K610" s="116">
        <f>K609*Inputs!$E$73*Inputs!$E$191 * IF($E$600 &lt;&gt; 2, 1, K224)</f>
        <v>1.674960768</v>
      </c>
      <c r="L610" s="116">
        <f>L609*Inputs!$E$73*Inputs!$E$191 * IF($E$600 &lt;&gt; 2, 1, L224)</f>
        <v>1.3399686144</v>
      </c>
      <c r="M610" s="116">
        <f>M609*Inputs!$E$73*Inputs!$E$191 * IF($E$600 &lt;&gt; 2, 1, M224)</f>
        <v>1.0049764608000002</v>
      </c>
      <c r="N610" s="116">
        <f>N609*Inputs!$E$73*Inputs!$E$191 * IF($E$600 &lt;&gt; 2, 1, N224)</f>
        <v>0.66998430720000013</v>
      </c>
      <c r="O610" s="116">
        <f>O609*Inputs!$E$73*Inputs!$E$191 * IF($E$600 &lt;&gt; 2, 1, O224)</f>
        <v>0.33499215360000006</v>
      </c>
      <c r="P610" s="116">
        <f>P609*Inputs!$E$73*Inputs!$E$191 * IF($E$600 &lt;&gt; 2, 1, P224)</f>
        <v>0</v>
      </c>
      <c r="Q610" s="116">
        <f>Q609*Inputs!$E$73*Inputs!$E$191 * IF($E$600 &lt;&gt; 2, 1, Q224)</f>
        <v>0</v>
      </c>
      <c r="R610" s="116">
        <f>R609*Inputs!$E$73*Inputs!$E$191 * IF($E$600 &lt;&gt; 2, 1, R224)</f>
        <v>0</v>
      </c>
      <c r="S610" s="116">
        <f>S609*Inputs!$E$73*Inputs!$E$191 * IF($E$600 &lt;&gt; 2, 1, S224)</f>
        <v>0</v>
      </c>
      <c r="T610" s="116">
        <f>T609*Inputs!$E$73*Inputs!$E$191 * IF($E$600 &lt;&gt; 2, 1, T224)</f>
        <v>0</v>
      </c>
      <c r="U610" s="116">
        <f>U609*Inputs!$E$73*Inputs!$E$191 * IF($E$600 &lt;&gt; 2, 1, U224)</f>
        <v>0</v>
      </c>
      <c r="V610" s="116">
        <f>V609*Inputs!$E$73*Inputs!$E$191 * IF($E$600 &lt;&gt; 2, 1, V224)</f>
        <v>0</v>
      </c>
      <c r="W610" s="116">
        <f>W609*Inputs!$E$73*Inputs!$E$191 * IF($E$600 &lt;&gt; 2, 1, W224)</f>
        <v>0</v>
      </c>
      <c r="X610" s="116">
        <f>X609*Inputs!$E$73*Inputs!$E$191 * IF($E$600 &lt;&gt; 2, 1, X224)</f>
        <v>0</v>
      </c>
      <c r="Y610" s="116">
        <f>Y609*Inputs!$E$73*Inputs!$E$191 * IF($E$600 &lt;&gt; 2, 1, Y224)</f>
        <v>0</v>
      </c>
      <c r="Z610" s="116">
        <f>Z609*Inputs!$E$73*Inputs!$E$191 * IF($E$600 &lt;&gt; 2, 1, Z224)</f>
        <v>0</v>
      </c>
      <c r="AA610" s="116">
        <f>AA609*Inputs!$E$73*Inputs!$E$191 * IF($E$600 &lt;&gt; 2, 1, AA224)</f>
        <v>0</v>
      </c>
      <c r="AB610" s="116">
        <f>AB609*Inputs!$E$73*Inputs!$E$191 * IF($E$600 &lt;&gt; 2, 1, AB224)</f>
        <v>0</v>
      </c>
      <c r="AC610" s="116">
        <f>AC609*Inputs!$E$73*Inputs!$E$191 * IF($E$600 &lt;&gt; 2, 1, AC224)</f>
        <v>0</v>
      </c>
      <c r="AD610" s="116">
        <f>AD609*Inputs!$E$73*Inputs!$E$191 * IF($E$600 &lt;&gt; 2, 1, AD224)</f>
        <v>0</v>
      </c>
      <c r="AE610" s="116">
        <f>AE609*Inputs!$E$73*Inputs!$E$191 * IF($E$600 &lt;&gt; 2, 1, AE224)</f>
        <v>0</v>
      </c>
      <c r="AF610" s="116">
        <f>AF609*Inputs!$E$73*Inputs!$E$191 * IF($E$600 &lt;&gt; 2, 1, AF224)</f>
        <v>0</v>
      </c>
      <c r="AG610" s="116">
        <f>AG609*Inputs!$E$73*Inputs!$E$191 * IF($E$600 &lt;&gt; 2, 1, AG224)</f>
        <v>0</v>
      </c>
      <c r="AH610" s="116">
        <f>AH609*Inputs!$E$73*Inputs!$E$191 * IF($E$600 &lt;&gt; 2, 1, AH224)</f>
        <v>0</v>
      </c>
      <c r="AI610" s="116">
        <f>AI609*Inputs!$E$73*Inputs!$E$191 * IF($E$600 &lt;&gt; 2, 1, AI224)</f>
        <v>0</v>
      </c>
      <c r="AJ610" s="116">
        <f>AJ609*Inputs!$E$73*Inputs!$E$191 * IF($E$600 &lt;&gt; 2, 1, AJ224)</f>
        <v>0</v>
      </c>
      <c r="AK610" s="116">
        <f>AK609*Inputs!$E$73*Inputs!$E$191 * IF($E$600 &lt;&gt; 2, 1, AK224)</f>
        <v>0</v>
      </c>
      <c r="AL610" s="116">
        <f>AL609*Inputs!$E$73*Inputs!$E$191 * IF($E$600 &lt;&gt; 2, 1, AL224)</f>
        <v>0</v>
      </c>
      <c r="AM610" s="116">
        <f>AM609*Inputs!$E$73*Inputs!$E$191 * IF($E$600 &lt;&gt; 2, 1, AM224)</f>
        <v>0</v>
      </c>
      <c r="AN610" s="116">
        <f>AN609*Inputs!$E$73*Inputs!$E$191 * IF($E$600 &lt;&gt; 2, 1, AN224)</f>
        <v>0</v>
      </c>
      <c r="AO610" s="116">
        <f>AO609*Inputs!$E$73*Inputs!$E$191 * IF($E$600 &lt;&gt; 2, 1, AO224)</f>
        <v>0</v>
      </c>
      <c r="AP610" s="116">
        <f>AP609*Inputs!$E$73*Inputs!$E$191 * IF($E$600 &lt;&gt; 2, 1, AP224)</f>
        <v>0</v>
      </c>
      <c r="AQ610" s="116">
        <f>AQ609*Inputs!$E$73*Inputs!$E$191 * IF($E$600 &lt;&gt; 2, 1, AQ224)</f>
        <v>0</v>
      </c>
      <c r="AR610" s="116">
        <f>AR609*Inputs!$E$73*Inputs!$E$191 * IF($E$600 &lt;&gt; 2, 1, AR224)</f>
        <v>0</v>
      </c>
      <c r="AS610" s="116">
        <f>AS609*Inputs!$E$73*Inputs!$E$191 * IF($E$600 &lt;&gt; 2, 1, AS224)</f>
        <v>0</v>
      </c>
      <c r="AT610" s="116">
        <f>AT609*Inputs!$E$73*Inputs!$E$191 * IF($E$600 &lt;&gt; 2, 1, AT224)</f>
        <v>0</v>
      </c>
      <c r="AU610" s="116">
        <f>AU609*Inputs!$E$73*Inputs!$E$191 * IF($E$600 &lt;&gt; 2, 1, AU224)</f>
        <v>0</v>
      </c>
      <c r="AV610" s="116">
        <f>AV609*Inputs!$E$73*Inputs!$E$191 * IF($E$600 &lt;&gt; 2, 1, AV224)</f>
        <v>0</v>
      </c>
      <c r="AW610" s="116">
        <f>AW609*Inputs!$E$73*Inputs!$E$191 * IF($E$600 &lt;&gt; 2, 1, AW224)</f>
        <v>0</v>
      </c>
      <c r="AX610" s="116">
        <f>AX609*Inputs!$E$73*Inputs!$E$191 * IF($E$600 &lt;&gt; 2, 1, AX224)</f>
        <v>0</v>
      </c>
      <c r="AY610" s="116">
        <f>AY609*Inputs!$E$73*Inputs!$E$191 * IF($E$600 &lt;&gt; 2, 1, AY224)</f>
        <v>0</v>
      </c>
      <c r="AZ610" s="116">
        <f>AZ609*Inputs!$E$73*Inputs!$E$191 * IF($E$600 &lt;&gt; 2, 1, AZ224)</f>
        <v>0</v>
      </c>
      <c r="BA610" s="116">
        <f>BA609*Inputs!$E$73*Inputs!$E$191 * IF($E$600 &lt;&gt; 2, 1, BA224)</f>
        <v>0</v>
      </c>
      <c r="BB610" s="116">
        <f>BB609*Inputs!$E$73*Inputs!$E$191 * IF($E$600 &lt;&gt; 2, 1, BB224)</f>
        <v>0</v>
      </c>
      <c r="BC610" s="116">
        <f>BC609*Inputs!$E$73*Inputs!$E$191 * IF($E$600 &lt;&gt; 2, 1, BC224)</f>
        <v>0</v>
      </c>
      <c r="BD610" s="116">
        <f>BD609*Inputs!$E$73*Inputs!$E$191 * IF($E$600 &lt;&gt; 2, 1, BD224)</f>
        <v>0</v>
      </c>
    </row>
    <row r="611" spans="2:56" ht="15" customHeight="1"/>
    <row r="612" spans="2:56" ht="15" customHeight="1">
      <c r="C612" s="21">
        <f>SUM(G612:BD612)</f>
        <v>2340.0845416404486</v>
      </c>
      <c r="D612" s="9" t="s">
        <v>600</v>
      </c>
      <c r="G612" s="162">
        <f t="shared" ref="G612:AL612" si="348">G512+G604+G610</f>
        <v>0</v>
      </c>
      <c r="H612" s="162">
        <f t="shared" si="348"/>
        <v>0</v>
      </c>
      <c r="I612" s="162">
        <f t="shared" si="348"/>
        <v>0</v>
      </c>
      <c r="J612" s="162">
        <f t="shared" si="348"/>
        <v>0</v>
      </c>
      <c r="K612" s="162">
        <f t="shared" si="348"/>
        <v>1.674960768</v>
      </c>
      <c r="L612" s="162">
        <f t="shared" si="348"/>
        <v>39.784496140358449</v>
      </c>
      <c r="M612" s="162">
        <f t="shared" si="348"/>
        <v>56.202998671828894</v>
      </c>
      <c r="N612" s="162">
        <f t="shared" si="348"/>
        <v>66.500665357644777</v>
      </c>
      <c r="O612" s="162">
        <f t="shared" si="348"/>
        <v>66.900404093906701</v>
      </c>
      <c r="P612" s="162">
        <f t="shared" si="348"/>
        <v>97.055727691343506</v>
      </c>
      <c r="Q612" s="162">
        <f t="shared" si="348"/>
        <v>98.99684224517037</v>
      </c>
      <c r="R612" s="162">
        <f t="shared" si="348"/>
        <v>100.97677909007372</v>
      </c>
      <c r="S612" s="162">
        <f t="shared" si="348"/>
        <v>102.99631467187524</v>
      </c>
      <c r="T612" s="162">
        <f t="shared" si="348"/>
        <v>105.05624096531275</v>
      </c>
      <c r="U612" s="162">
        <f t="shared" si="348"/>
        <v>107.157365784619</v>
      </c>
      <c r="V612" s="162">
        <f t="shared" si="348"/>
        <v>109.30051310031135</v>
      </c>
      <c r="W612" s="162">
        <f t="shared" si="348"/>
        <v>111.48652336231761</v>
      </c>
      <c r="X612" s="162">
        <f t="shared" si="348"/>
        <v>113.71625382956398</v>
      </c>
      <c r="Y612" s="162">
        <f t="shared" si="348"/>
        <v>115.17530997992512</v>
      </c>
      <c r="Z612" s="162">
        <f t="shared" si="348"/>
        <v>117.47688164308848</v>
      </c>
      <c r="AA612" s="162">
        <f t="shared" si="348"/>
        <v>119.82198025888414</v>
      </c>
      <c r="AB612" s="162">
        <f t="shared" si="348"/>
        <v>122.21063152156515</v>
      </c>
      <c r="AC612" s="162">
        <f t="shared" si="348"/>
        <v>124.6423808563199</v>
      </c>
      <c r="AD612" s="162">
        <f t="shared" si="348"/>
        <v>125.72965416378452</v>
      </c>
      <c r="AE612" s="162">
        <f t="shared" si="348"/>
        <v>128.21368306048851</v>
      </c>
      <c r="AF612" s="162">
        <f t="shared" si="348"/>
        <v>130.72659969911879</v>
      </c>
      <c r="AG612" s="162">
        <f t="shared" si="348"/>
        <v>138.33995424596026</v>
      </c>
      <c r="AH612" s="162">
        <f t="shared" si="348"/>
        <v>39.941380438987281</v>
      </c>
      <c r="AI612" s="162">
        <f t="shared" si="348"/>
        <v>0</v>
      </c>
      <c r="AJ612" s="162">
        <f t="shared" si="348"/>
        <v>0</v>
      </c>
      <c r="AK612" s="162">
        <f t="shared" si="348"/>
        <v>0</v>
      </c>
      <c r="AL612" s="162">
        <f t="shared" si="348"/>
        <v>0</v>
      </c>
      <c r="AM612" s="162">
        <f t="shared" ref="AM612:BD612" si="349">AM512+AM604+AM610</f>
        <v>0</v>
      </c>
      <c r="AN612" s="162">
        <f t="shared" si="349"/>
        <v>0</v>
      </c>
      <c r="AO612" s="162">
        <f t="shared" si="349"/>
        <v>0</v>
      </c>
      <c r="AP612" s="162">
        <f t="shared" si="349"/>
        <v>0</v>
      </c>
      <c r="AQ612" s="162">
        <f t="shared" si="349"/>
        <v>0</v>
      </c>
      <c r="AR612" s="162">
        <f t="shared" si="349"/>
        <v>0</v>
      </c>
      <c r="AS612" s="162">
        <f t="shared" si="349"/>
        <v>0</v>
      </c>
      <c r="AT612" s="162">
        <f t="shared" si="349"/>
        <v>0</v>
      </c>
      <c r="AU612" s="162">
        <f t="shared" si="349"/>
        <v>0</v>
      </c>
      <c r="AV612" s="162">
        <f t="shared" si="349"/>
        <v>0</v>
      </c>
      <c r="AW612" s="162">
        <f t="shared" si="349"/>
        <v>0</v>
      </c>
      <c r="AX612" s="162">
        <f t="shared" si="349"/>
        <v>0</v>
      </c>
      <c r="AY612" s="162">
        <f t="shared" si="349"/>
        <v>0</v>
      </c>
      <c r="AZ612" s="162">
        <f t="shared" si="349"/>
        <v>0</v>
      </c>
      <c r="BA612" s="162">
        <f t="shared" si="349"/>
        <v>0</v>
      </c>
      <c r="BB612" s="162">
        <f t="shared" si="349"/>
        <v>0</v>
      </c>
      <c r="BC612" s="162">
        <f t="shared" si="349"/>
        <v>0</v>
      </c>
      <c r="BD612" s="162">
        <f t="shared" si="349"/>
        <v>0</v>
      </c>
    </row>
    <row r="613" spans="2:56" ht="15" customHeight="1" thickBot="1">
      <c r="C613" s="21"/>
      <c r="E613" s="18"/>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row>
    <row r="614" spans="2:56" ht="15" customHeight="1">
      <c r="C614" s="130"/>
      <c r="D614" s="131"/>
      <c r="E614" s="130"/>
      <c r="F614" s="130"/>
      <c r="G614" s="130"/>
      <c r="H614" s="130"/>
      <c r="I614" s="130"/>
      <c r="J614" s="130"/>
      <c r="K614" s="130"/>
      <c r="L614" s="130"/>
      <c r="M614" s="130"/>
      <c r="N614" s="130"/>
      <c r="O614" s="130"/>
      <c r="P614" s="130"/>
      <c r="Q614" s="130"/>
      <c r="R614" s="130"/>
      <c r="S614" s="130"/>
      <c r="T614" s="130"/>
      <c r="U614" s="130"/>
      <c r="V614" s="130"/>
      <c r="W614" s="130"/>
      <c r="X614" s="130"/>
      <c r="Y614" s="130"/>
      <c r="Z614" s="130"/>
      <c r="AA614" s="130"/>
      <c r="AB614" s="130"/>
      <c r="AC614" s="130"/>
      <c r="AD614" s="130"/>
      <c r="AE614" s="130"/>
      <c r="AF614" s="130"/>
      <c r="AG614" s="130"/>
      <c r="AH614" s="130"/>
      <c r="AI614" s="130"/>
      <c r="AJ614" s="130"/>
      <c r="AK614" s="130"/>
      <c r="AL614" s="130"/>
      <c r="AM614" s="130"/>
      <c r="AN614" s="130"/>
      <c r="AO614" s="130"/>
      <c r="AP614" s="130"/>
      <c r="AQ614" s="130"/>
      <c r="AR614" s="130"/>
      <c r="AS614" s="130"/>
      <c r="AT614" s="130"/>
      <c r="AU614" s="130"/>
      <c r="AV614" s="130"/>
      <c r="AW614" s="130"/>
      <c r="AX614" s="130"/>
      <c r="AY614" s="130"/>
      <c r="AZ614" s="130"/>
      <c r="BA614" s="130"/>
      <c r="BB614" s="130"/>
      <c r="BC614" s="130"/>
      <c r="BD614" s="130"/>
    </row>
    <row r="615" spans="2:56" ht="15" customHeight="1">
      <c r="C615" s="20"/>
      <c r="D615" s="213" t="s">
        <v>601</v>
      </c>
      <c r="E615" s="18"/>
      <c r="G615" s="17"/>
      <c r="H615" s="17"/>
      <c r="I615" s="17"/>
      <c r="J615" s="17"/>
      <c r="K615" s="17"/>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row>
    <row r="616" spans="2:56" ht="15" customHeight="1">
      <c r="C616" s="20"/>
      <c r="D616" s="112"/>
      <c r="E616" s="18"/>
      <c r="G616" s="17"/>
      <c r="H616" s="17"/>
      <c r="I616" s="17"/>
      <c r="J616" s="17"/>
      <c r="K616" s="17"/>
      <c r="L616" s="17"/>
      <c r="M616" s="17"/>
      <c r="N616" s="17"/>
      <c r="O616" s="17"/>
      <c r="P616" s="17"/>
      <c r="Q616" s="17"/>
      <c r="R616" s="17"/>
      <c r="S616" s="17"/>
      <c r="T616" s="17"/>
      <c r="U616" s="17"/>
      <c r="V616" s="17"/>
      <c r="W616" s="17"/>
      <c r="X616" s="17"/>
      <c r="Y616" s="17"/>
      <c r="Z616" s="17"/>
      <c r="AA616" s="17"/>
      <c r="AB616" s="17"/>
      <c r="AC616" s="17"/>
      <c r="AD616" s="17"/>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row>
    <row r="617" spans="2:56" ht="15" customHeight="1">
      <c r="C617" s="20"/>
      <c r="D617" s="11" t="s">
        <v>435</v>
      </c>
      <c r="E617" s="18">
        <f>IF(AND(Inputs!$E$85 = 1, Inputs!$E$88 = 0), 1, IF(AND(Inputs!$E$85 = 1, Inputs!$E$88 = 1), 2, IF(Inputs!$E$89 = 1, 3, IF(Inputs!$E$93 = 1, 4, 5))))</f>
        <v>5</v>
      </c>
      <c r="G617" s="17"/>
      <c r="H617" s="17"/>
      <c r="I617" s="17"/>
      <c r="J617" s="17"/>
      <c r="K617" s="17"/>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row>
    <row r="618" spans="2:56" ht="15" customHeight="1">
      <c r="C618" s="20"/>
      <c r="E618" s="18"/>
      <c r="G618" s="17"/>
      <c r="H618" s="17"/>
      <c r="I618" s="17"/>
      <c r="J618" s="17"/>
      <c r="K618" s="17"/>
      <c r="L618" s="17"/>
      <c r="M618" s="17"/>
      <c r="N618" s="17"/>
      <c r="O618" s="17"/>
      <c r="P618" s="17"/>
      <c r="Q618" s="17"/>
      <c r="R618" s="17"/>
      <c r="S618" s="17"/>
      <c r="T618" s="17"/>
      <c r="U618" s="17"/>
      <c r="V618" s="17"/>
      <c r="W618" s="17"/>
      <c r="X618" s="17"/>
      <c r="Y618" s="17"/>
      <c r="Z618" s="17"/>
      <c r="AA618" s="17"/>
      <c r="AB618" s="17"/>
      <c r="AC618" s="17"/>
      <c r="AD618" s="17"/>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row>
    <row r="619" spans="2:56" ht="15" customHeight="1">
      <c r="C619" s="20"/>
      <c r="D619" s="112" t="s">
        <v>602</v>
      </c>
      <c r="E619" s="18"/>
      <c r="G619" s="17"/>
      <c r="H619" s="17"/>
      <c r="I619" s="17"/>
      <c r="J619" s="17"/>
      <c r="K619" s="17"/>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row>
    <row r="620" spans="2:56" ht="15" customHeight="1">
      <c r="C620" s="20"/>
      <c r="D620" s="112"/>
      <c r="E620" s="18"/>
      <c r="G620" s="17"/>
      <c r="H620" s="17"/>
      <c r="I620" s="17"/>
      <c r="J620" s="17"/>
      <c r="K620" s="17"/>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row>
    <row r="621" spans="2:56" ht="15" customHeight="1">
      <c r="C621" s="20"/>
      <c r="D621" s="22" t="s">
        <v>603</v>
      </c>
      <c r="E621" s="159">
        <f>IF(Inputs!E87 = 1, 1, IF(Inputs!E87 = 2, 2, 0))</f>
        <v>0</v>
      </c>
      <c r="G621" s="17"/>
      <c r="H621" s="17"/>
      <c r="I621" s="17"/>
      <c r="J621" s="17"/>
      <c r="K621" s="17"/>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row>
    <row r="622" spans="2:56" ht="15" customHeight="1">
      <c r="B622" s="396"/>
      <c r="D622" s="11" t="s">
        <v>604</v>
      </c>
      <c r="E622" s="413">
        <f>Inputs!E57</f>
        <v>1</v>
      </c>
    </row>
    <row r="623" spans="2:56" ht="15" customHeight="1">
      <c r="C623" s="20"/>
      <c r="D623" s="22"/>
      <c r="E623" s="18"/>
      <c r="G623" s="17"/>
      <c r="H623" s="17"/>
      <c r="I623" s="17"/>
      <c r="J623" s="17"/>
      <c r="K623" s="17"/>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row>
    <row r="624" spans="2:56" ht="15" customHeight="1">
      <c r="C624" s="20"/>
      <c r="D624" s="449" t="s">
        <v>605</v>
      </c>
      <c r="E624" s="18"/>
      <c r="G624" s="17"/>
      <c r="H624" s="17"/>
      <c r="I624" s="17"/>
      <c r="J624" s="17"/>
      <c r="K624" s="17"/>
      <c r="L624" s="17"/>
      <c r="M624" s="17"/>
      <c r="N624" s="17"/>
      <c r="O624" s="17"/>
      <c r="P624" s="17"/>
      <c r="Q624" s="17"/>
      <c r="R624" s="17"/>
      <c r="S624" s="17"/>
      <c r="T624" s="17"/>
      <c r="U624" s="17"/>
      <c r="V624" s="17"/>
      <c r="W624" s="17"/>
      <c r="X624" s="17"/>
      <c r="Y624" s="17"/>
      <c r="Z624" s="17"/>
      <c r="AA624" s="17"/>
      <c r="AB624" s="17"/>
      <c r="AC624" s="17"/>
      <c r="AD624" s="17"/>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row>
    <row r="625" spans="1:56" ht="15" customHeight="1">
      <c r="C625" s="20"/>
      <c r="D625" s="449"/>
      <c r="E625" s="18"/>
      <c r="G625" s="17"/>
      <c r="H625" s="17"/>
      <c r="I625" s="17"/>
      <c r="J625" s="17"/>
      <c r="K625" s="17"/>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row>
    <row r="626" spans="1:56" ht="15" customHeight="1">
      <c r="C626" s="20"/>
      <c r="D626" s="401" t="s">
        <v>606</v>
      </c>
      <c r="E626" s="18"/>
      <c r="G626" s="17"/>
      <c r="H626" s="17"/>
      <c r="I626" s="17"/>
      <c r="J626" s="17"/>
      <c r="K626" s="17"/>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row>
    <row r="627" spans="1:56" ht="15" customHeight="1">
      <c r="C627" s="21">
        <f>SUM(G627:BD627)</f>
        <v>146719.29894107234</v>
      </c>
      <c r="D627" s="22" t="s">
        <v>607</v>
      </c>
      <c r="E627" s="18" t="s">
        <v>333</v>
      </c>
      <c r="G627" s="17">
        <f>G547 + IF($E$622 = 2, G96 * Inputs!$E$196, 0)</f>
        <v>-20</v>
      </c>
      <c r="H627" s="17">
        <f>H547 + IF($E$622 = 2, H96 * Inputs!$E$196, 0)</f>
        <v>-40.4</v>
      </c>
      <c r="I627" s="17">
        <f>I547 + IF($E$622 = 2, I96 * Inputs!$E$196, 0)</f>
        <v>-82.341125000000005</v>
      </c>
      <c r="J627" s="17">
        <f>J547 + IF($E$622 = 2, J96 * Inputs!$E$196, 0)</f>
        <v>-253.46091499999997</v>
      </c>
      <c r="K627" s="17">
        <f>K547 + IF($E$622 = 2, K96 * Inputs!$E$196, 0)</f>
        <v>-272.60553492439993</v>
      </c>
      <c r="L627" s="17">
        <f>L547 + IF($E$622 = 2, L96 * Inputs!$E$196, 0)</f>
        <v>-117.72341374183031</v>
      </c>
      <c r="M627" s="17">
        <f>M547 + IF($E$622 = 2, M96 * Inputs!$E$196, 0)</f>
        <v>31.361508048820355</v>
      </c>
      <c r="N627" s="17">
        <f>N547 + IF($E$622 = 2, N96 * Inputs!$E$196, 0)</f>
        <v>188.82795459227592</v>
      </c>
      <c r="O627" s="17">
        <f>O547 + IF($E$622 = 2, O96 * Inputs!$E$196, 0)</f>
        <v>354.79665748208868</v>
      </c>
      <c r="P627" s="17">
        <f>P547 + IF($E$622 = 2, P96 * Inputs!$E$196, 0)</f>
        <v>542.6102934236817</v>
      </c>
      <c r="Q627" s="17">
        <f>Q547 + IF($E$622 = 2, Q96 * Inputs!$E$196, 0)</f>
        <v>734.18020208410667</v>
      </c>
      <c r="R627" s="17">
        <f>R547 + IF($E$622 = 2, R96 * Inputs!$E$196, 0)</f>
        <v>929.58150891773994</v>
      </c>
      <c r="S627" s="17">
        <f>S547 + IF($E$622 = 2, S96 * Inputs!$E$196, 0)</f>
        <v>1128.890841888046</v>
      </c>
      <c r="T627" s="17">
        <f>T547 + IF($E$622 = 2, T96 * Inputs!$E$196, 0)</f>
        <v>1332.1863615177581</v>
      </c>
      <c r="U627" s="17">
        <f>U547 + IF($E$622 = 2, U96 * Inputs!$E$196, 0)</f>
        <v>1539.5477915400645</v>
      </c>
      <c r="V627" s="17">
        <f>V547 + IF($E$622 = 2, V96 * Inputs!$E$196, 0)</f>
        <v>1751.0564501628169</v>
      </c>
      <c r="W627" s="17">
        <f>W547 + IF($E$622 = 2, W96 * Inputs!$E$196, 0)</f>
        <v>1966.7952819580246</v>
      </c>
      <c r="X627" s="17">
        <f>X547 + IF($E$622 = 2, X96 * Inputs!$E$196, 0)</f>
        <v>2186.8488903891366</v>
      </c>
      <c r="Y627" s="17">
        <f>Y547 + IF($E$622 = 2, Y96 * Inputs!$E$196, 0)</f>
        <v>2409.7130240313427</v>
      </c>
      <c r="Z627" s="17">
        <f>Z547 + IF($E$622 = 2, Z96 * Inputs!$E$196, 0)</f>
        <v>2637.0306661671711</v>
      </c>
      <c r="AA627" s="17">
        <f>AA547 + IF($E$622 = 2, AA96 * Inputs!$E$196, 0)</f>
        <v>2868.8860008560109</v>
      </c>
      <c r="AB627" s="17">
        <f>AB547 + IF($E$622 = 2, AB96 * Inputs!$E$196, 0)</f>
        <v>3105.3632475905015</v>
      </c>
      <c r="AC627" s="17">
        <f>AC547 + IF($E$622 = 2, AC96 * Inputs!$E$196, 0)</f>
        <v>3346.5457240228548</v>
      </c>
      <c r="AD627" s="17">
        <f>AD547 + IF($E$622 = 2, AD96 * Inputs!$E$196, 0)</f>
        <v>3589.8096481534112</v>
      </c>
      <c r="AE627" s="17">
        <f>AE547 + IF($E$622 = 2, AE96 * Inputs!$E$196, 0)</f>
        <v>3837.8792216400452</v>
      </c>
      <c r="AF627" s="17">
        <f>AF547 + IF($E$622 = 2, AF96 * Inputs!$E$196, 0)</f>
        <v>4090.809991736307</v>
      </c>
      <c r="AG627" s="17">
        <f>AG547 + IF($E$622 = 2, AG96 * Inputs!$E$196, 0)</f>
        <v>4380.9386825184984</v>
      </c>
      <c r="AH627" s="17">
        <f>AH547 + IF($E$622 = 2, AH96 * Inputs!$E$196, 0)</f>
        <v>4546.2363231201625</v>
      </c>
      <c r="AI627" s="17">
        <f>AI547 + IF($E$622 = 2, AI96 * Inputs!$E$196, 0)</f>
        <v>4545.7242571771703</v>
      </c>
      <c r="AJ627" s="17">
        <f>AJ547 + IF($E$622 = 2, AJ96 * Inputs!$E$196, 0)</f>
        <v>4545.7242571771703</v>
      </c>
      <c r="AK627" s="17">
        <f>AK547 + IF($E$622 = 2, AK96 * Inputs!$E$196, 0)</f>
        <v>4545.7242571771703</v>
      </c>
      <c r="AL627" s="17">
        <f>AL547 + IF($E$622 = 2, AL96 * Inputs!$E$196, 0)</f>
        <v>4545.7242571771703</v>
      </c>
      <c r="AM627" s="17">
        <f>AM547 + IF($E$622 = 2, AM96 * Inputs!$E$196, 0)</f>
        <v>4545.7242571771703</v>
      </c>
      <c r="AN627" s="17">
        <f>AN547 + IF($E$622 = 2, AN96 * Inputs!$E$196, 0)</f>
        <v>4545.7242571771703</v>
      </c>
      <c r="AO627" s="17">
        <f>AO547 + IF($E$622 = 2, AO96 * Inputs!$E$196, 0)</f>
        <v>4545.7242571771703</v>
      </c>
      <c r="AP627" s="17">
        <f>AP547 + IF($E$622 = 2, AP96 * Inputs!$E$196, 0)</f>
        <v>4545.7242571771703</v>
      </c>
      <c r="AQ627" s="17">
        <f>AQ547 + IF($E$622 = 2, AQ96 * Inputs!$E$196, 0)</f>
        <v>4545.7242571771703</v>
      </c>
      <c r="AR627" s="17">
        <f>AR547 + IF($E$622 = 2, AR96 * Inputs!$E$196, 0)</f>
        <v>4545.7242571771703</v>
      </c>
      <c r="AS627" s="17">
        <f>AS547 + IF($E$622 = 2, AS96 * Inputs!$E$196, 0)</f>
        <v>4545.7242571771703</v>
      </c>
      <c r="AT627" s="17">
        <f>AT547 + IF($E$622 = 2, AT96 * Inputs!$E$196, 0)</f>
        <v>4545.7242571771703</v>
      </c>
      <c r="AU627" s="17">
        <f>AU547 + IF($E$622 = 2, AU96 * Inputs!$E$196, 0)</f>
        <v>4545.7242571771703</v>
      </c>
      <c r="AV627" s="17">
        <f>AV547 + IF($E$622 = 2, AV96 * Inputs!$E$196, 0)</f>
        <v>4545.7242571771703</v>
      </c>
      <c r="AW627" s="17">
        <f>AW547 + IF($E$622 = 2, AW96 * Inputs!$E$196, 0)</f>
        <v>4545.7242571771703</v>
      </c>
      <c r="AX627" s="17">
        <f>AX547 + IF($E$622 = 2, AX96 * Inputs!$E$196, 0)</f>
        <v>4545.7242571771703</v>
      </c>
      <c r="AY627" s="17">
        <f>AY547 + IF($E$622 = 2, AY96 * Inputs!$E$196, 0)</f>
        <v>4545.7242571771703</v>
      </c>
      <c r="AZ627" s="17">
        <f>AZ547 + IF($E$622 = 2, AZ96 * Inputs!$E$196, 0)</f>
        <v>4545.7242571771703</v>
      </c>
      <c r="BA627" s="17">
        <f>BA547 + IF($E$622 = 2, BA96 * Inputs!$E$196, 0)</f>
        <v>4545.7242571771703</v>
      </c>
      <c r="BB627" s="17">
        <f>BB547 + IF($E$622 = 2, BB96 * Inputs!$E$196, 0)</f>
        <v>4545.7242571771703</v>
      </c>
      <c r="BC627" s="17">
        <f>BC547 + IF($E$622 = 2, BC96 * Inputs!$E$196, 0)</f>
        <v>4545.7242571771703</v>
      </c>
      <c r="BD627" s="17">
        <f>BD547 + IF($E$622 = 2, BD96 * Inputs!$E$196, 0)</f>
        <v>4545.7242571771703</v>
      </c>
    </row>
    <row r="628" spans="1:56" ht="15" customHeight="1">
      <c r="C628" s="20"/>
      <c r="D628" s="22" t="s">
        <v>608</v>
      </c>
      <c r="E628" s="159" t="s">
        <v>427</v>
      </c>
      <c r="G628" s="21">
        <f>(G627 &gt; 0) * 1</f>
        <v>0</v>
      </c>
      <c r="H628" s="21">
        <f t="shared" ref="H628:BD628" si="350">(H627 &gt; 0) * 1</f>
        <v>0</v>
      </c>
      <c r="I628" s="21">
        <f t="shared" si="350"/>
        <v>0</v>
      </c>
      <c r="J628" s="21">
        <f t="shared" si="350"/>
        <v>0</v>
      </c>
      <c r="K628" s="21">
        <f t="shared" si="350"/>
        <v>0</v>
      </c>
      <c r="L628" s="21">
        <f t="shared" si="350"/>
        <v>0</v>
      </c>
      <c r="M628" s="21">
        <f t="shared" si="350"/>
        <v>1</v>
      </c>
      <c r="N628" s="21">
        <f t="shared" si="350"/>
        <v>1</v>
      </c>
      <c r="O628" s="21">
        <f t="shared" si="350"/>
        <v>1</v>
      </c>
      <c r="P628" s="21">
        <f t="shared" si="350"/>
        <v>1</v>
      </c>
      <c r="Q628" s="21">
        <f t="shared" si="350"/>
        <v>1</v>
      </c>
      <c r="R628" s="21">
        <f t="shared" si="350"/>
        <v>1</v>
      </c>
      <c r="S628" s="21">
        <f t="shared" si="350"/>
        <v>1</v>
      </c>
      <c r="T628" s="21">
        <f t="shared" si="350"/>
        <v>1</v>
      </c>
      <c r="U628" s="21">
        <f t="shared" si="350"/>
        <v>1</v>
      </c>
      <c r="V628" s="21">
        <f t="shared" si="350"/>
        <v>1</v>
      </c>
      <c r="W628" s="21">
        <f t="shared" si="350"/>
        <v>1</v>
      </c>
      <c r="X628" s="21">
        <f t="shared" si="350"/>
        <v>1</v>
      </c>
      <c r="Y628" s="21">
        <f t="shared" si="350"/>
        <v>1</v>
      </c>
      <c r="Z628" s="21">
        <f t="shared" si="350"/>
        <v>1</v>
      </c>
      <c r="AA628" s="21">
        <f t="shared" si="350"/>
        <v>1</v>
      </c>
      <c r="AB628" s="21">
        <f t="shared" si="350"/>
        <v>1</v>
      </c>
      <c r="AC628" s="21">
        <f t="shared" si="350"/>
        <v>1</v>
      </c>
      <c r="AD628" s="21">
        <f t="shared" si="350"/>
        <v>1</v>
      </c>
      <c r="AE628" s="21">
        <f t="shared" si="350"/>
        <v>1</v>
      </c>
      <c r="AF628" s="21">
        <f t="shared" si="350"/>
        <v>1</v>
      </c>
      <c r="AG628" s="21">
        <f t="shared" si="350"/>
        <v>1</v>
      </c>
      <c r="AH628" s="21">
        <f t="shared" si="350"/>
        <v>1</v>
      </c>
      <c r="AI628" s="21">
        <f t="shared" si="350"/>
        <v>1</v>
      </c>
      <c r="AJ628" s="21">
        <f t="shared" si="350"/>
        <v>1</v>
      </c>
      <c r="AK628" s="21">
        <f t="shared" si="350"/>
        <v>1</v>
      </c>
      <c r="AL628" s="21">
        <f t="shared" si="350"/>
        <v>1</v>
      </c>
      <c r="AM628" s="21">
        <f t="shared" si="350"/>
        <v>1</v>
      </c>
      <c r="AN628" s="21">
        <f t="shared" si="350"/>
        <v>1</v>
      </c>
      <c r="AO628" s="21">
        <f t="shared" si="350"/>
        <v>1</v>
      </c>
      <c r="AP628" s="21">
        <f t="shared" si="350"/>
        <v>1</v>
      </c>
      <c r="AQ628" s="21">
        <f t="shared" si="350"/>
        <v>1</v>
      </c>
      <c r="AR628" s="21">
        <f t="shared" si="350"/>
        <v>1</v>
      </c>
      <c r="AS628" s="21">
        <f t="shared" si="350"/>
        <v>1</v>
      </c>
      <c r="AT628" s="21">
        <f t="shared" si="350"/>
        <v>1</v>
      </c>
      <c r="AU628" s="21">
        <f t="shared" si="350"/>
        <v>1</v>
      </c>
      <c r="AV628" s="21">
        <f t="shared" si="350"/>
        <v>1</v>
      </c>
      <c r="AW628" s="21">
        <f t="shared" si="350"/>
        <v>1</v>
      </c>
      <c r="AX628" s="21">
        <f t="shared" si="350"/>
        <v>1</v>
      </c>
      <c r="AY628" s="21">
        <f t="shared" si="350"/>
        <v>1</v>
      </c>
      <c r="AZ628" s="21">
        <f t="shared" si="350"/>
        <v>1</v>
      </c>
      <c r="BA628" s="21">
        <f t="shared" si="350"/>
        <v>1</v>
      </c>
      <c r="BB628" s="21">
        <f t="shared" si="350"/>
        <v>1</v>
      </c>
      <c r="BC628" s="21">
        <f t="shared" si="350"/>
        <v>1</v>
      </c>
      <c r="BD628" s="21">
        <f t="shared" si="350"/>
        <v>1</v>
      </c>
    </row>
    <row r="629" spans="1:56" ht="15" customHeight="1">
      <c r="C629" s="20"/>
      <c r="D629" s="22" t="s">
        <v>609</v>
      </c>
      <c r="E629" s="159">
        <f>SUMPRODUCT(G629:BD629,G31:BD31)</f>
        <v>7</v>
      </c>
      <c r="G629" s="21">
        <f>IF(AND(G628 = 1, SUM($F$628:F628) = 0), 1, 0)</f>
        <v>0</v>
      </c>
      <c r="H629" s="21">
        <f>IF(AND(H628 = 1, SUM($F$628:G628) = 0), 1, 0)</f>
        <v>0</v>
      </c>
      <c r="I629" s="21">
        <f>IF(AND(I628 = 1, SUM($F$628:H628) = 0), 1, 0)</f>
        <v>0</v>
      </c>
      <c r="J629" s="21">
        <f>IF(AND(J628 = 1, SUM($F$628:I628) = 0), 1, 0)</f>
        <v>0</v>
      </c>
      <c r="K629" s="21">
        <f>IF(AND(K628 = 1, SUM($F$628:J628) = 0), 1, 0)</f>
        <v>0</v>
      </c>
      <c r="L629" s="21">
        <f>IF(AND(L628 = 1, SUM($F$628:K628) = 0), 1, 0)</f>
        <v>0</v>
      </c>
      <c r="M629" s="21">
        <f>IF(AND(M628 = 1, SUM($F$628:L628) = 0), 1, 0)</f>
        <v>1</v>
      </c>
      <c r="N629" s="21">
        <f>IF(AND(N628 = 1, SUM($F$628:M628) = 0), 1, 0)</f>
        <v>0</v>
      </c>
      <c r="O629" s="21">
        <f>IF(AND(O628 = 1, SUM($F$628:N628) = 0), 1, 0)</f>
        <v>0</v>
      </c>
      <c r="P629" s="21">
        <f>IF(AND(P628 = 1, SUM($F$628:O628) = 0), 1, 0)</f>
        <v>0</v>
      </c>
      <c r="Q629" s="21">
        <f>IF(AND(Q628 = 1, SUM($F$628:P628) = 0), 1, 0)</f>
        <v>0</v>
      </c>
      <c r="R629" s="21">
        <f>IF(AND(R628 = 1, SUM($F$628:Q628) = 0), 1, 0)</f>
        <v>0</v>
      </c>
      <c r="S629" s="21">
        <f>IF(AND(S628 = 1, SUM($F$628:R628) = 0), 1, 0)</f>
        <v>0</v>
      </c>
      <c r="T629" s="21">
        <f>IF(AND(T628 = 1, SUM($F$628:S628) = 0), 1, 0)</f>
        <v>0</v>
      </c>
      <c r="U629" s="21">
        <f>IF(AND(U628 = 1, SUM($F$628:T628) = 0), 1, 0)</f>
        <v>0</v>
      </c>
      <c r="V629" s="21">
        <f>IF(AND(V628 = 1, SUM($F$628:U628) = 0), 1, 0)</f>
        <v>0</v>
      </c>
      <c r="W629" s="21">
        <f>IF(AND(W628 = 1, SUM($F$628:V628) = 0), 1, 0)</f>
        <v>0</v>
      </c>
      <c r="X629" s="21">
        <f>IF(AND(X628 = 1, SUM($F$628:W628) = 0), 1, 0)</f>
        <v>0</v>
      </c>
      <c r="Y629" s="21">
        <f>IF(AND(Y628 = 1, SUM($F$628:X628) = 0), 1, 0)</f>
        <v>0</v>
      </c>
      <c r="Z629" s="21">
        <f>IF(AND(Z628 = 1, SUM($F$628:Y628) = 0), 1, 0)</f>
        <v>0</v>
      </c>
      <c r="AA629" s="21">
        <f>IF(AND(AA628 = 1, SUM($F$628:Z628) = 0), 1, 0)</f>
        <v>0</v>
      </c>
      <c r="AB629" s="21">
        <f>IF(AND(AB628 = 1, SUM($F$628:AA628) = 0), 1, 0)</f>
        <v>0</v>
      </c>
      <c r="AC629" s="21">
        <f>IF(AND(AC628 = 1, SUM($F$628:AB628) = 0), 1, 0)</f>
        <v>0</v>
      </c>
      <c r="AD629" s="21">
        <f>IF(AND(AD628 = 1, SUM($F$628:AC628) = 0), 1, 0)</f>
        <v>0</v>
      </c>
      <c r="AE629" s="21">
        <f>IF(AND(AE628 = 1, SUM($F$628:AD628) = 0), 1, 0)</f>
        <v>0</v>
      </c>
      <c r="AF629" s="21">
        <f>IF(AND(AF628 = 1, SUM($F$628:AE628) = 0), 1, 0)</f>
        <v>0</v>
      </c>
      <c r="AG629" s="21">
        <f>IF(AND(AG628 = 1, SUM($F$628:AF628) = 0), 1, 0)</f>
        <v>0</v>
      </c>
      <c r="AH629" s="21">
        <f>IF(AND(AH628 = 1, SUM($F$628:AG628) = 0), 1, 0)</f>
        <v>0</v>
      </c>
      <c r="AI629" s="21">
        <f>IF(AND(AI628 = 1, SUM($F$628:AH628) = 0), 1, 0)</f>
        <v>0</v>
      </c>
      <c r="AJ629" s="21">
        <f>IF(AND(AJ628 = 1, SUM($F$628:AI628) = 0), 1, 0)</f>
        <v>0</v>
      </c>
      <c r="AK629" s="21">
        <f>IF(AND(AK628 = 1, SUM($F$628:AJ628) = 0), 1, 0)</f>
        <v>0</v>
      </c>
      <c r="AL629" s="21">
        <f>IF(AND(AL628 = 1, SUM($F$628:AK628) = 0), 1, 0)</f>
        <v>0</v>
      </c>
      <c r="AM629" s="21">
        <f>IF(AND(AM628 = 1, SUM($F$628:AL628) = 0), 1, 0)</f>
        <v>0</v>
      </c>
      <c r="AN629" s="21">
        <f>IF(AND(AN628 = 1, SUM($F$628:AM628) = 0), 1, 0)</f>
        <v>0</v>
      </c>
      <c r="AO629" s="21">
        <f>IF(AND(AO628 = 1, SUM($F$628:AN628) = 0), 1, 0)</f>
        <v>0</v>
      </c>
      <c r="AP629" s="21">
        <f>IF(AND(AP628 = 1, SUM($F$628:AO628) = 0), 1, 0)</f>
        <v>0</v>
      </c>
      <c r="AQ629" s="21">
        <f>IF(AND(AQ628 = 1, SUM($F$628:AP628) = 0), 1, 0)</f>
        <v>0</v>
      </c>
      <c r="AR629" s="21">
        <f>IF(AND(AR628 = 1, SUM($F$628:AQ628) = 0), 1, 0)</f>
        <v>0</v>
      </c>
      <c r="AS629" s="21">
        <f>IF(AND(AS628 = 1, SUM($F$628:AR628) = 0), 1, 0)</f>
        <v>0</v>
      </c>
      <c r="AT629" s="21">
        <f>IF(AND(AT628 = 1, SUM($F$628:AS628) = 0), 1, 0)</f>
        <v>0</v>
      </c>
      <c r="AU629" s="21">
        <f>IF(AND(AU628 = 1, SUM($F$628:AT628) = 0), 1, 0)</f>
        <v>0</v>
      </c>
      <c r="AV629" s="21">
        <f>IF(AND(AV628 = 1, SUM($F$628:AU628) = 0), 1, 0)</f>
        <v>0</v>
      </c>
      <c r="AW629" s="21">
        <f>IF(AND(AW628 = 1, SUM($F$628:AV628) = 0), 1, 0)</f>
        <v>0</v>
      </c>
      <c r="AX629" s="21">
        <f>IF(AND(AX628 = 1, SUM($F$628:AW628) = 0), 1, 0)</f>
        <v>0</v>
      </c>
      <c r="AY629" s="21">
        <f>IF(AND(AY628 = 1, SUM($F$628:AX628) = 0), 1, 0)</f>
        <v>0</v>
      </c>
      <c r="AZ629" s="21">
        <f>IF(AND(AZ628 = 1, SUM($F$628:AY628) = 0), 1, 0)</f>
        <v>0</v>
      </c>
      <c r="BA629" s="21">
        <f>IF(AND(BA628 = 1, SUM($F$628:AZ628) = 0), 1, 0)</f>
        <v>0</v>
      </c>
      <c r="BB629" s="21">
        <f>IF(AND(BB628 = 1, SUM($F$628:BA628) = 0), 1, 0)</f>
        <v>0</v>
      </c>
      <c r="BC629" s="21">
        <f>IF(AND(BC628 = 1, SUM($F$628:BB628) = 0), 1, 0)</f>
        <v>0</v>
      </c>
      <c r="BD629" s="21">
        <f>IF(AND(BD628 = 1, SUM($F$628:BC628) = 0), 1, 0)</f>
        <v>0</v>
      </c>
    </row>
    <row r="630" spans="1:56" ht="15" customHeight="1">
      <c r="C630" s="20"/>
      <c r="D630" s="22" t="s">
        <v>610</v>
      </c>
      <c r="E630" s="18" t="s">
        <v>427</v>
      </c>
      <c r="G630" s="21">
        <f t="shared" ref="G630:AL630" si="351">IF(G31 &gt;= $E$629, 1, 0)</f>
        <v>0</v>
      </c>
      <c r="H630" s="21">
        <f t="shared" si="351"/>
        <v>0</v>
      </c>
      <c r="I630" s="21">
        <f t="shared" si="351"/>
        <v>0</v>
      </c>
      <c r="J630" s="21">
        <f t="shared" si="351"/>
        <v>0</v>
      </c>
      <c r="K630" s="21">
        <f t="shared" si="351"/>
        <v>0</v>
      </c>
      <c r="L630" s="21">
        <f t="shared" si="351"/>
        <v>0</v>
      </c>
      <c r="M630" s="21">
        <f t="shared" si="351"/>
        <v>1</v>
      </c>
      <c r="N630" s="21">
        <f t="shared" si="351"/>
        <v>1</v>
      </c>
      <c r="O630" s="21">
        <f t="shared" si="351"/>
        <v>1</v>
      </c>
      <c r="P630" s="21">
        <f t="shared" si="351"/>
        <v>1</v>
      </c>
      <c r="Q630" s="21">
        <f t="shared" si="351"/>
        <v>1</v>
      </c>
      <c r="R630" s="21">
        <f t="shared" si="351"/>
        <v>1</v>
      </c>
      <c r="S630" s="21">
        <f t="shared" si="351"/>
        <v>1</v>
      </c>
      <c r="T630" s="21">
        <f t="shared" si="351"/>
        <v>1</v>
      </c>
      <c r="U630" s="21">
        <f t="shared" si="351"/>
        <v>1</v>
      </c>
      <c r="V630" s="21">
        <f t="shared" si="351"/>
        <v>1</v>
      </c>
      <c r="W630" s="21">
        <f t="shared" si="351"/>
        <v>1</v>
      </c>
      <c r="X630" s="21">
        <f t="shared" si="351"/>
        <v>1</v>
      </c>
      <c r="Y630" s="21">
        <f t="shared" si="351"/>
        <v>1</v>
      </c>
      <c r="Z630" s="21">
        <f t="shared" si="351"/>
        <v>1</v>
      </c>
      <c r="AA630" s="21">
        <f t="shared" si="351"/>
        <v>1</v>
      </c>
      <c r="AB630" s="21">
        <f t="shared" si="351"/>
        <v>1</v>
      </c>
      <c r="AC630" s="21">
        <f t="shared" si="351"/>
        <v>1</v>
      </c>
      <c r="AD630" s="21">
        <f t="shared" si="351"/>
        <v>1</v>
      </c>
      <c r="AE630" s="21">
        <f t="shared" si="351"/>
        <v>1</v>
      </c>
      <c r="AF630" s="21">
        <f t="shared" si="351"/>
        <v>1</v>
      </c>
      <c r="AG630" s="21">
        <f t="shared" si="351"/>
        <v>1</v>
      </c>
      <c r="AH630" s="21">
        <f t="shared" si="351"/>
        <v>1</v>
      </c>
      <c r="AI630" s="21">
        <f t="shared" si="351"/>
        <v>1</v>
      </c>
      <c r="AJ630" s="21">
        <f t="shared" si="351"/>
        <v>1</v>
      </c>
      <c r="AK630" s="21">
        <f t="shared" si="351"/>
        <v>1</v>
      </c>
      <c r="AL630" s="21">
        <f t="shared" si="351"/>
        <v>1</v>
      </c>
      <c r="AM630" s="21">
        <f t="shared" ref="AM630:BD630" si="352">IF(AM31 &gt;= $E$629, 1, 0)</f>
        <v>1</v>
      </c>
      <c r="AN630" s="21">
        <f t="shared" si="352"/>
        <v>1</v>
      </c>
      <c r="AO630" s="21">
        <f t="shared" si="352"/>
        <v>1</v>
      </c>
      <c r="AP630" s="21">
        <f t="shared" si="352"/>
        <v>1</v>
      </c>
      <c r="AQ630" s="21">
        <f t="shared" si="352"/>
        <v>1</v>
      </c>
      <c r="AR630" s="21">
        <f t="shared" si="352"/>
        <v>1</v>
      </c>
      <c r="AS630" s="21">
        <f t="shared" si="352"/>
        <v>1</v>
      </c>
      <c r="AT630" s="21">
        <f t="shared" si="352"/>
        <v>1</v>
      </c>
      <c r="AU630" s="21">
        <f t="shared" si="352"/>
        <v>1</v>
      </c>
      <c r="AV630" s="21">
        <f t="shared" si="352"/>
        <v>1</v>
      </c>
      <c r="AW630" s="21">
        <f t="shared" si="352"/>
        <v>1</v>
      </c>
      <c r="AX630" s="21">
        <f t="shared" si="352"/>
        <v>1</v>
      </c>
      <c r="AY630" s="21">
        <f t="shared" si="352"/>
        <v>1</v>
      </c>
      <c r="AZ630" s="21">
        <f t="shared" si="352"/>
        <v>1</v>
      </c>
      <c r="BA630" s="21">
        <f t="shared" si="352"/>
        <v>1</v>
      </c>
      <c r="BB630" s="21">
        <f t="shared" si="352"/>
        <v>1</v>
      </c>
      <c r="BC630" s="21">
        <f t="shared" si="352"/>
        <v>1</v>
      </c>
      <c r="BD630" s="21">
        <f t="shared" si="352"/>
        <v>1</v>
      </c>
    </row>
    <row r="631" spans="1:56" ht="15" customHeight="1">
      <c r="C631" s="20"/>
      <c r="D631" s="22" t="s">
        <v>611</v>
      </c>
      <c r="E631" s="18" t="s">
        <v>427</v>
      </c>
      <c r="G631" s="21">
        <f t="shared" ref="G631:AL631" si="353">IF($E$621 =1, 1, 1 * G630)</f>
        <v>0</v>
      </c>
      <c r="H631" s="21">
        <f t="shared" si="353"/>
        <v>0</v>
      </c>
      <c r="I631" s="21">
        <f t="shared" si="353"/>
        <v>0</v>
      </c>
      <c r="J631" s="21">
        <f t="shared" si="353"/>
        <v>0</v>
      </c>
      <c r="K631" s="21">
        <f t="shared" si="353"/>
        <v>0</v>
      </c>
      <c r="L631" s="21">
        <f t="shared" si="353"/>
        <v>0</v>
      </c>
      <c r="M631" s="21">
        <f t="shared" si="353"/>
        <v>1</v>
      </c>
      <c r="N631" s="21">
        <f t="shared" si="353"/>
        <v>1</v>
      </c>
      <c r="O631" s="21">
        <f t="shared" si="353"/>
        <v>1</v>
      </c>
      <c r="P631" s="21">
        <f t="shared" si="353"/>
        <v>1</v>
      </c>
      <c r="Q631" s="21">
        <f t="shared" si="353"/>
        <v>1</v>
      </c>
      <c r="R631" s="21">
        <f t="shared" si="353"/>
        <v>1</v>
      </c>
      <c r="S631" s="21">
        <f t="shared" si="353"/>
        <v>1</v>
      </c>
      <c r="T631" s="21">
        <f t="shared" si="353"/>
        <v>1</v>
      </c>
      <c r="U631" s="21">
        <f t="shared" si="353"/>
        <v>1</v>
      </c>
      <c r="V631" s="21">
        <f t="shared" si="353"/>
        <v>1</v>
      </c>
      <c r="W631" s="21">
        <f t="shared" si="353"/>
        <v>1</v>
      </c>
      <c r="X631" s="21">
        <f t="shared" si="353"/>
        <v>1</v>
      </c>
      <c r="Y631" s="21">
        <f t="shared" si="353"/>
        <v>1</v>
      </c>
      <c r="Z631" s="21">
        <f t="shared" si="353"/>
        <v>1</v>
      </c>
      <c r="AA631" s="21">
        <f t="shared" si="353"/>
        <v>1</v>
      </c>
      <c r="AB631" s="21">
        <f t="shared" si="353"/>
        <v>1</v>
      </c>
      <c r="AC631" s="21">
        <f t="shared" si="353"/>
        <v>1</v>
      </c>
      <c r="AD631" s="21">
        <f t="shared" si="353"/>
        <v>1</v>
      </c>
      <c r="AE631" s="21">
        <f t="shared" si="353"/>
        <v>1</v>
      </c>
      <c r="AF631" s="21">
        <f t="shared" si="353"/>
        <v>1</v>
      </c>
      <c r="AG631" s="21">
        <f t="shared" si="353"/>
        <v>1</v>
      </c>
      <c r="AH631" s="21">
        <f t="shared" si="353"/>
        <v>1</v>
      </c>
      <c r="AI631" s="21">
        <f t="shared" si="353"/>
        <v>1</v>
      </c>
      <c r="AJ631" s="21">
        <f t="shared" si="353"/>
        <v>1</v>
      </c>
      <c r="AK631" s="21">
        <f t="shared" si="353"/>
        <v>1</v>
      </c>
      <c r="AL631" s="21">
        <f t="shared" si="353"/>
        <v>1</v>
      </c>
      <c r="AM631" s="21">
        <f t="shared" ref="AM631:BD631" si="354">IF($E$621 =1, 1, 1 * AM630)</f>
        <v>1</v>
      </c>
      <c r="AN631" s="21">
        <f t="shared" si="354"/>
        <v>1</v>
      </c>
      <c r="AO631" s="21">
        <f t="shared" si="354"/>
        <v>1</v>
      </c>
      <c r="AP631" s="21">
        <f t="shared" si="354"/>
        <v>1</v>
      </c>
      <c r="AQ631" s="21">
        <f t="shared" si="354"/>
        <v>1</v>
      </c>
      <c r="AR631" s="21">
        <f t="shared" si="354"/>
        <v>1</v>
      </c>
      <c r="AS631" s="21">
        <f t="shared" si="354"/>
        <v>1</v>
      </c>
      <c r="AT631" s="21">
        <f t="shared" si="354"/>
        <v>1</v>
      </c>
      <c r="AU631" s="21">
        <f t="shared" si="354"/>
        <v>1</v>
      </c>
      <c r="AV631" s="21">
        <f t="shared" si="354"/>
        <v>1</v>
      </c>
      <c r="AW631" s="21">
        <f t="shared" si="354"/>
        <v>1</v>
      </c>
      <c r="AX631" s="21">
        <f t="shared" si="354"/>
        <v>1</v>
      </c>
      <c r="AY631" s="21">
        <f t="shared" si="354"/>
        <v>1</v>
      </c>
      <c r="AZ631" s="21">
        <f t="shared" si="354"/>
        <v>1</v>
      </c>
      <c r="BA631" s="21">
        <f t="shared" si="354"/>
        <v>1</v>
      </c>
      <c r="BB631" s="21">
        <f t="shared" si="354"/>
        <v>1</v>
      </c>
      <c r="BC631" s="21">
        <f t="shared" si="354"/>
        <v>1</v>
      </c>
      <c r="BD631" s="21">
        <f t="shared" si="354"/>
        <v>1</v>
      </c>
    </row>
    <row r="632" spans="1:56" ht="15" customHeight="1">
      <c r="C632" s="20"/>
      <c r="D632" s="22"/>
      <c r="E632" s="18"/>
      <c r="G632" s="17"/>
      <c r="H632" s="17"/>
      <c r="I632" s="17"/>
      <c r="J632" s="17"/>
      <c r="K632" s="17"/>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row>
    <row r="633" spans="1:56" ht="15" customHeight="1">
      <c r="C633" s="20"/>
      <c r="D633" s="401" t="s">
        <v>612</v>
      </c>
      <c r="E633" s="18"/>
      <c r="G633" s="17"/>
      <c r="H633" s="17"/>
      <c r="I633" s="17"/>
      <c r="J633" s="17"/>
      <c r="K633" s="17"/>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row>
    <row r="634" spans="1:56" ht="15" customHeight="1">
      <c r="C634" s="21">
        <f>SUM(G634:BD634)</f>
        <v>8048.0102865954977</v>
      </c>
      <c r="D634" s="11" t="s">
        <v>613</v>
      </c>
      <c r="E634" s="18" t="s">
        <v>333</v>
      </c>
      <c r="F634" s="400"/>
      <c r="G634" s="17">
        <f>G210 + G236 + G244 + G311 + G313 + G319 + G512 + G519 + G594 + G595 + G610 + IF($E$622 = 2, G96 * Inputs!$E$196, 0)</f>
        <v>0</v>
      </c>
      <c r="H634" s="17">
        <f>H210 + H236 + H244 + H311 + H313 + H319 + H512 + H519 + H594 + H595 + H610 + IF($E$622 = 2, H96 * Inputs!$E$196, 0)</f>
        <v>0</v>
      </c>
      <c r="I634" s="17">
        <f>I210 + I236 + I244 + I311 + I313 + I319 + I512 + I519 + I594 + I595 + I610 + IF($E$622 = 2, I96 * Inputs!$E$196, 0)</f>
        <v>2.9261250000000003</v>
      </c>
      <c r="J634" s="17">
        <f>J210 + J236 + J244 + J311 + J313 + J319 + J512 + J519 + J594 + J595 + J610 + IF($E$622 = 2, J96 * Inputs!$E$196, 0)</f>
        <v>11.93859</v>
      </c>
      <c r="K634" s="17">
        <f>K210 + K236 + K244 + K311 + K313 + K319 + K512 + K519 + K594 + K595 + K610 + IF($E$622 = 2, K96 * Inputs!$E$196, 0)</f>
        <v>26.654788940400003</v>
      </c>
      <c r="L634" s="17">
        <f>L210 + L236 + L244 + L311 + L313 + L319 + L512 + L519 + L594 + L595 + L610 + IF($E$622 = 2, L96 * Inputs!$E$196, 0)</f>
        <v>93.647078124470454</v>
      </c>
      <c r="M634" s="17">
        <f>M210 + M236 + M244 + M311 + M313 + M319 + M512 + M519 + M594 + M595 + M610 + IF($E$622 = 2, M96 * Inputs!$E$196, 0)</f>
        <v>139.86997366834257</v>
      </c>
      <c r="N634" s="17">
        <f>N210 + N236 + N244 + N311 + N313 + N319 + N512 + N519 + N594 + N595 + N610 + IF($E$622 = 2, N96 * Inputs!$E$196, 0)</f>
        <v>266.77856068772024</v>
      </c>
      <c r="O634" s="17">
        <f>O210 + O236 + O244 + O311 + O313 + O319 + O512 + O519 + O594 + O595 + O610 + IF($E$622 = 2, O96 * Inputs!$E$196, 0)</f>
        <v>276.08713884317069</v>
      </c>
      <c r="P634" s="17">
        <f>P210 + P236 + P244 + P311 + P313 + P319 + P512 + P519 + P594 + P595 + P610 + IF($E$622 = 2, P96 * Inputs!$E$196, 0)</f>
        <v>327.39560917408215</v>
      </c>
      <c r="Q634" s="17">
        <f>Q210 + Q236 + Q244 + Q311 + Q313 + Q319 + Q512 + Q519 + Q594 + Q595 + Q610 + IF($E$622 = 2, Q96 * Inputs!$E$196, 0)</f>
        <v>333.94352135756384</v>
      </c>
      <c r="R634" s="17">
        <f>R210 + R236 + R244 + R311 + R313 + R319 + R512 + R519 + R594 + R595 + R610 + IF($E$622 = 2, R96 * Inputs!$E$196, 0)</f>
        <v>340.62239178471492</v>
      </c>
      <c r="S634" s="17">
        <f>S210 + S236 + S244 + S311 + S313 + S319 + S512 + S519 + S594 + S595 + S610 + IF($E$622 = 2, S96 * Inputs!$E$196, 0)</f>
        <v>347.43483962040938</v>
      </c>
      <c r="T634" s="17">
        <f>T210 + T236 + T244 + T311 + T313 + T319 + T512 + T519 + T594 + T595 + T610 + IF($E$622 = 2, T96 * Inputs!$E$196, 0)</f>
        <v>354.38353641281748</v>
      </c>
      <c r="U634" s="17">
        <f>U210 + U236 + U244 + U311 + U313 + U319 + U512 + U519 + U594 + U595 + U610 + IF($E$622 = 2, U96 * Inputs!$E$196, 0)</f>
        <v>361.47120714107382</v>
      </c>
      <c r="V634" s="17">
        <f>V210 + V236 + V244 + V311 + V313 + V319 + V512 + V519 + V594 + V595 + V610 + IF($E$622 = 2, V96 * Inputs!$E$196, 0)</f>
        <v>368.70063128389523</v>
      </c>
      <c r="W634" s="17">
        <f>W210 + W236 + W244 + W311 + W313 + W319 + W512 + W519 + W594 + W595 + W610 + IF($E$622 = 2, W96 * Inputs!$E$196, 0)</f>
        <v>376.0746439095733</v>
      </c>
      <c r="X634" s="17">
        <f>X210 + X236 + X244 + X311 + X313 + X319 + X512 + X519 + X594 + X595 + X610 + IF($E$622 = 2, X96 * Inputs!$E$196, 0)</f>
        <v>383.59613678776481</v>
      </c>
      <c r="Y634" s="17">
        <f>Y210 + Y236 + Y244 + Y311 + Y313 + Y319 + Y512 + Y519 + Y594 + Y595 + Y610 + IF($E$622 = 2, Y96 * Inputs!$E$196, 0)</f>
        <v>388.99584958419416</v>
      </c>
      <c r="Z634" s="17">
        <f>Z210 + Z236 + Z244 + Z311 + Z313 + Z319 + Z512 + Z519 + Z594 + Z595 + Z610 + IF($E$622 = 2, Z96 * Inputs!$E$196, 0)</f>
        <v>396.77037489127611</v>
      </c>
      <c r="AA634" s="17">
        <f>AA210 + AA236 + AA244 + AA311 + AA313 + AA319 + AA512 + AA519 + AA594 + AA595 + AA610 + IF($E$622 = 2, AA96 * Inputs!$E$196, 0)</f>
        <v>404.6934105466654</v>
      </c>
      <c r="AB634" s="17">
        <f>AB210 + AB236 + AB244 + AB311 + AB313 + AB319 + AB512 + AB519 + AB594 + AB595 + AB610 + IF($E$622 = 2, AB96 * Inputs!$E$196, 0)</f>
        <v>412.76557211741851</v>
      </c>
      <c r="AC634" s="17">
        <f>AC210 + AC236 + AC244 + AC311 + AC313 + AC319 + AC512 + AC519 + AC594 + AC595 + AC610 + IF($E$622 = 2, AC96 * Inputs!$E$196, 0)</f>
        <v>420.98614750715677</v>
      </c>
      <c r="AD634" s="17">
        <f>AD210 + AD236 + AD244 + AD311 + AD313 + AD319 + AD512 + AD519 + AD594 + AD595 + AD610 + IF($E$622 = 2, AD96 * Inputs!$E$196, 0)</f>
        <v>425.48843927095157</v>
      </c>
      <c r="AE634" s="17">
        <f>AE210 + AE236 + AE244 + AE311 + AE313 + AE319 + AE512 + AE519 + AE594 + AE595 + AE610 + IF($E$622 = 2, AE96 * Inputs!$E$196, 0)</f>
        <v>433.91302358989412</v>
      </c>
      <c r="AF634" s="17">
        <f>AF210 + AF236 + AF244 + AF311 + AF313 + AF319 + AF512 + AF519 + AF594 + AF595 + AF610 + IF($E$622 = 2, AF96 * Inputs!$E$196, 0)</f>
        <v>442.44814854725649</v>
      </c>
      <c r="AG634" s="17">
        <f>AG210 + AG236 + AG244 + AG311 + AG313 + AG319 + AG512 + AG519 + AG594 + AG595 + AG610 + IF($E$622 = 2, AG96 * Inputs!$E$196, 0)</f>
        <v>484.48047412544304</v>
      </c>
      <c r="AH634" s="17">
        <f>AH210 + AH236 + AH244 + AH311 + AH313 + AH319 + AH512 + AH519 + AH594 + AH595 + AH610 + IF($E$622 = 2, AH96 * Inputs!$E$196, 0)</f>
        <v>225.9440736792433</v>
      </c>
      <c r="AI634" s="17">
        <f>AI210 + AI236 + AI244 + AI311 + AI313 + AI319 + AI512 + AI519 + AI594 + AI595 + AI610 + IF($E$622 = 2, AI96 * Inputs!$E$196, 0)</f>
        <v>0</v>
      </c>
      <c r="AJ634" s="17">
        <f>AJ210 + AJ236 + AJ244 + AJ311 + AJ313 + AJ319 + AJ512 + AJ519 + AJ594 + AJ595 + AJ610 + IF($E$622 = 2, AJ96 * Inputs!$E$196, 0)</f>
        <v>0</v>
      </c>
      <c r="AK634" s="17">
        <f>AK210 + AK236 + AK244 + AK311 + AK313 + AK319 + AK512 + AK519 + AK594 + AK595 + AK610 + IF($E$622 = 2, AK96 * Inputs!$E$196, 0)</f>
        <v>0</v>
      </c>
      <c r="AL634" s="17">
        <f>AL210 + AL236 + AL244 + AL311 + AL313 + AL319 + AL512 + AL519 + AL594 + AL595 + AL610 + IF($E$622 = 2, AL96 * Inputs!$E$196, 0)</f>
        <v>0</v>
      </c>
      <c r="AM634" s="17">
        <f>AM210 + AM236 + AM244 + AM311 + AM313 + AM319 + AM512 + AM519 + AM594 + AM595 + AM610 + IF($E$622 = 2, AM96 * Inputs!$E$196, 0)</f>
        <v>0</v>
      </c>
      <c r="AN634" s="17">
        <f>AN210 + AN236 + AN244 + AN311 + AN313 + AN319 + AN512 + AN519 + AN594 + AN595 + AN610 + IF($E$622 = 2, AN96 * Inputs!$E$196, 0)</f>
        <v>0</v>
      </c>
      <c r="AO634" s="17">
        <f>AO210 + AO236 + AO244 + AO311 + AO313 + AO319 + AO512 + AO519 + AO594 + AO595 + AO610 + IF($E$622 = 2, AO96 * Inputs!$E$196, 0)</f>
        <v>0</v>
      </c>
      <c r="AP634" s="17">
        <f>AP210 + AP236 + AP244 + AP311 + AP313 + AP319 + AP512 + AP519 + AP594 + AP595 + AP610 + IF($E$622 = 2, AP96 * Inputs!$E$196, 0)</f>
        <v>0</v>
      </c>
      <c r="AQ634" s="17">
        <f>AQ210 + AQ236 + AQ244 + AQ311 + AQ313 + AQ319 + AQ512 + AQ519 + AQ594 + AQ595 + AQ610 + IF($E$622 = 2, AQ96 * Inputs!$E$196, 0)</f>
        <v>0</v>
      </c>
      <c r="AR634" s="17">
        <f>AR210 + AR236 + AR244 + AR311 + AR313 + AR319 + AR512 + AR519 + AR594 + AR595 + AR610 + IF($E$622 = 2, AR96 * Inputs!$E$196, 0)</f>
        <v>0</v>
      </c>
      <c r="AS634" s="17">
        <f>AS210 + AS236 + AS244 + AS311 + AS313 + AS319 + AS512 + AS519 + AS594 + AS595 + AS610 + IF($E$622 = 2, AS96 * Inputs!$E$196, 0)</f>
        <v>0</v>
      </c>
      <c r="AT634" s="17">
        <f>AT210 + AT236 + AT244 + AT311 + AT313 + AT319 + AT512 + AT519 + AT594 + AT595 + AT610 + IF($E$622 = 2, AT96 * Inputs!$E$196, 0)</f>
        <v>0</v>
      </c>
      <c r="AU634" s="17">
        <f>AU210 + AU236 + AU244 + AU311 + AU313 + AU319 + AU512 + AU519 + AU594 + AU595 + AU610 + IF($E$622 = 2, AU96 * Inputs!$E$196, 0)</f>
        <v>0</v>
      </c>
      <c r="AV634" s="17">
        <f>AV210 + AV236 + AV244 + AV311 + AV313 + AV319 + AV512 + AV519 + AV594 + AV595 + AV610 + IF($E$622 = 2, AV96 * Inputs!$E$196, 0)</f>
        <v>0</v>
      </c>
      <c r="AW634" s="17">
        <f>AW210 + AW236 + AW244 + AW311 + AW313 + AW319 + AW512 + AW519 + AW594 + AW595 + AW610 + IF($E$622 = 2, AW96 * Inputs!$E$196, 0)</f>
        <v>0</v>
      </c>
      <c r="AX634" s="17">
        <f>AX210 + AX236 + AX244 + AX311 + AX313 + AX319 + AX512 + AX519 + AX594 + AX595 + AX610 + IF($E$622 = 2, AX96 * Inputs!$E$196, 0)</f>
        <v>0</v>
      </c>
      <c r="AY634" s="17">
        <f>AY210 + AY236 + AY244 + AY311 + AY313 + AY319 + AY512 + AY519 + AY594 + AY595 + AY610 + IF($E$622 = 2, AY96 * Inputs!$E$196, 0)</f>
        <v>0</v>
      </c>
      <c r="AZ634" s="17">
        <f>AZ210 + AZ236 + AZ244 + AZ311 + AZ313 + AZ319 + AZ512 + AZ519 + AZ594 + AZ595 + AZ610 + IF($E$622 = 2, AZ96 * Inputs!$E$196, 0)</f>
        <v>0</v>
      </c>
      <c r="BA634" s="17">
        <f>BA210 + BA236 + BA244 + BA311 + BA313 + BA319 + BA512 + BA519 + BA594 + BA595 + BA610 + IF($E$622 = 2, BA96 * Inputs!$E$196, 0)</f>
        <v>0</v>
      </c>
      <c r="BB634" s="17">
        <f>BB210 + BB236 + BB244 + BB311 + BB313 + BB319 + BB512 + BB519 + BB594 + BB595 + BB610 + IF($E$622 = 2, BB96 * Inputs!$E$196, 0)</f>
        <v>0</v>
      </c>
      <c r="BC634" s="17">
        <f>BC210 + BC236 + BC244 + BC311 + BC313 + BC319 + BC512 + BC519 + BC594 + BC595 + BC610 + IF($E$622 = 2, BC96 * Inputs!$E$196, 0)</f>
        <v>0</v>
      </c>
      <c r="BD634" s="17">
        <f>BD210 + BD236 + BD244 + BD311 + BD313 + BD319 + BD512 + BD519 + BD594 + BD595 + BD610 + IF($E$622 = 2, BD96 * Inputs!$E$196, 0)</f>
        <v>0</v>
      </c>
    </row>
    <row r="635" spans="1:56" ht="15" customHeight="1">
      <c r="C635" s="21"/>
      <c r="D635" s="22" t="s">
        <v>614</v>
      </c>
      <c r="E635" s="18" t="s">
        <v>333</v>
      </c>
      <c r="G635" s="17">
        <f>SUM($G$634:G634)</f>
        <v>0</v>
      </c>
      <c r="H635" s="17">
        <f>SUM($G$634:H634)</f>
        <v>0</v>
      </c>
      <c r="I635" s="17">
        <f>SUM($G$634:I634)</f>
        <v>2.9261250000000003</v>
      </c>
      <c r="J635" s="17">
        <f>SUM($G$634:J634)</f>
        <v>14.864715</v>
      </c>
      <c r="K635" s="17">
        <f>SUM($G$634:K634)</f>
        <v>41.5195039404</v>
      </c>
      <c r="L635" s="17">
        <f>SUM($G$634:L634)</f>
        <v>135.16658206487045</v>
      </c>
      <c r="M635" s="17">
        <f>SUM($G$634:M634)</f>
        <v>275.03655573321305</v>
      </c>
      <c r="N635" s="17">
        <f>SUM($G$634:N634)</f>
        <v>541.81511642093324</v>
      </c>
      <c r="O635" s="17">
        <f>SUM($G$634:O634)</f>
        <v>817.90225526410393</v>
      </c>
      <c r="P635" s="17">
        <f>SUM($G$634:P634)</f>
        <v>1145.297864438186</v>
      </c>
      <c r="Q635" s="17">
        <f>SUM($G$634:Q634)</f>
        <v>1479.2413857957499</v>
      </c>
      <c r="R635" s="17">
        <f>SUM($G$634:R634)</f>
        <v>1819.8637775804648</v>
      </c>
      <c r="S635" s="17">
        <f>SUM($G$634:S634)</f>
        <v>2167.2986172008741</v>
      </c>
      <c r="T635" s="17">
        <f>SUM($G$634:T634)</f>
        <v>2521.6821536136918</v>
      </c>
      <c r="U635" s="17">
        <f>SUM($G$634:U634)</f>
        <v>2883.1533607547653</v>
      </c>
      <c r="V635" s="17">
        <f>SUM($G$634:V634)</f>
        <v>3251.8539920386606</v>
      </c>
      <c r="W635" s="17">
        <f>SUM($G$634:W634)</f>
        <v>3627.9286359482339</v>
      </c>
      <c r="X635" s="17">
        <f>SUM($G$634:X634)</f>
        <v>4011.5247727359988</v>
      </c>
      <c r="Y635" s="17">
        <f>SUM($G$634:Y634)</f>
        <v>4400.5206223201931</v>
      </c>
      <c r="Z635" s="17">
        <f>SUM($G$634:Z634)</f>
        <v>4797.2909972114694</v>
      </c>
      <c r="AA635" s="17">
        <f>SUM($G$634:AA634)</f>
        <v>5201.9844077581347</v>
      </c>
      <c r="AB635" s="17">
        <f>SUM($G$634:AB634)</f>
        <v>5614.7499798755534</v>
      </c>
      <c r="AC635" s="17">
        <f>SUM($G$634:AC634)</f>
        <v>6035.73612738271</v>
      </c>
      <c r="AD635" s="17">
        <f>SUM($G$634:AD634)</f>
        <v>6461.2245666536619</v>
      </c>
      <c r="AE635" s="17">
        <f>SUM($G$634:AE634)</f>
        <v>6895.1375902435557</v>
      </c>
      <c r="AF635" s="17">
        <f>SUM($G$634:AF634)</f>
        <v>7337.5857387908118</v>
      </c>
      <c r="AG635" s="17">
        <f>SUM($G$634:AG634)</f>
        <v>7822.0662129162547</v>
      </c>
      <c r="AH635" s="17">
        <f>SUM($G$634:AH634)</f>
        <v>8048.0102865954977</v>
      </c>
      <c r="AI635" s="17">
        <f>SUM($G$634:AI634)</f>
        <v>8048.0102865954977</v>
      </c>
      <c r="AJ635" s="17">
        <f>SUM($G$634:AJ634)</f>
        <v>8048.0102865954977</v>
      </c>
      <c r="AK635" s="17">
        <f>SUM($G$634:AK634)</f>
        <v>8048.0102865954977</v>
      </c>
      <c r="AL635" s="17">
        <f>SUM($G$634:AL634)</f>
        <v>8048.0102865954977</v>
      </c>
      <c r="AM635" s="17">
        <f>SUM($G$634:AM634)</f>
        <v>8048.0102865954977</v>
      </c>
      <c r="AN635" s="17">
        <f>SUM($G$634:AN634)</f>
        <v>8048.0102865954977</v>
      </c>
      <c r="AO635" s="17">
        <f>SUM($G$634:AO634)</f>
        <v>8048.0102865954977</v>
      </c>
      <c r="AP635" s="17">
        <f>SUM($G$634:AP634)</f>
        <v>8048.0102865954977</v>
      </c>
      <c r="AQ635" s="17">
        <f>SUM($G$634:AQ634)</f>
        <v>8048.0102865954977</v>
      </c>
      <c r="AR635" s="17">
        <f>SUM($G$634:AR634)</f>
        <v>8048.0102865954977</v>
      </c>
      <c r="AS635" s="17">
        <f>SUM($G$634:AS634)</f>
        <v>8048.0102865954977</v>
      </c>
      <c r="AT635" s="17">
        <f>SUM($G$634:AT634)</f>
        <v>8048.0102865954977</v>
      </c>
      <c r="AU635" s="17">
        <f>SUM($G$634:AU634)</f>
        <v>8048.0102865954977</v>
      </c>
      <c r="AV635" s="17">
        <f>SUM($G$634:AV634)</f>
        <v>8048.0102865954977</v>
      </c>
      <c r="AW635" s="17">
        <f>SUM($G$634:AW634)</f>
        <v>8048.0102865954977</v>
      </c>
      <c r="AX635" s="17">
        <f>SUM($G$634:AX634)</f>
        <v>8048.0102865954977</v>
      </c>
      <c r="AY635" s="17">
        <f>SUM($G$634:AY634)</f>
        <v>8048.0102865954977</v>
      </c>
      <c r="AZ635" s="17">
        <f>SUM($G$634:AZ634)</f>
        <v>8048.0102865954977</v>
      </c>
      <c r="BA635" s="17">
        <f>SUM($G$634:BA634)</f>
        <v>8048.0102865954977</v>
      </c>
      <c r="BB635" s="17">
        <f>SUM($G$634:BB634)</f>
        <v>8048.0102865954977</v>
      </c>
      <c r="BC635" s="17">
        <f>SUM($G$634:BC634)</f>
        <v>8048.0102865954977</v>
      </c>
      <c r="BD635" s="17">
        <f>SUM($G$634:BD634)</f>
        <v>8048.0102865954977</v>
      </c>
    </row>
    <row r="636" spans="1:56" ht="15" customHeight="1">
      <c r="C636" s="21"/>
      <c r="D636" s="22"/>
      <c r="E636" s="18"/>
      <c r="G636" s="17"/>
      <c r="H636" s="17"/>
      <c r="I636" s="17"/>
      <c r="J636" s="17"/>
      <c r="K636" s="17"/>
      <c r="L636" s="17"/>
      <c r="M636" s="17"/>
      <c r="N636" s="17"/>
      <c r="O636" s="17"/>
      <c r="P636" s="17"/>
      <c r="Q636" s="17"/>
      <c r="R636" s="17"/>
      <c r="S636" s="17"/>
      <c r="T636" s="17"/>
      <c r="U636" s="17"/>
      <c r="V636" s="17"/>
      <c r="W636" s="17"/>
      <c r="X636" s="17"/>
      <c r="Y636" s="17"/>
      <c r="Z636" s="17"/>
      <c r="AA636" s="17"/>
      <c r="AB636" s="17"/>
      <c r="AC636" s="17"/>
      <c r="AD636" s="17"/>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row>
    <row r="637" spans="1:56" ht="15" customHeight="1">
      <c r="C637" s="21">
        <f t="shared" ref="C637:C639" si="355">SUM(G637:BD637)</f>
        <v>4611.0556263166563</v>
      </c>
      <c r="D637" s="22" t="s">
        <v>615</v>
      </c>
      <c r="E637" s="18" t="s">
        <v>333</v>
      </c>
      <c r="G637" s="17">
        <f t="shared" ref="G637:AL637" si="356">G210 + G236 + G240 + G244 + G311 + G313 + G319 + G512 + G519 + G595 + G604 + G610</f>
        <v>0</v>
      </c>
      <c r="H637" s="17">
        <f t="shared" si="356"/>
        <v>0</v>
      </c>
      <c r="I637" s="17">
        <f t="shared" si="356"/>
        <v>2.9261250000000003</v>
      </c>
      <c r="J637" s="17">
        <f t="shared" si="356"/>
        <v>11.93859</v>
      </c>
      <c r="K637" s="17">
        <f t="shared" si="356"/>
        <v>26.654788940400003</v>
      </c>
      <c r="L637" s="17">
        <f t="shared" si="356"/>
        <v>93.647078124470454</v>
      </c>
      <c r="M637" s="17">
        <f t="shared" si="356"/>
        <v>116.16067358343437</v>
      </c>
      <c r="N637" s="17">
        <f t="shared" si="356"/>
        <v>147.73392710086779</v>
      </c>
      <c r="O637" s="17">
        <f t="shared" si="356"/>
        <v>150.61479945847225</v>
      </c>
      <c r="P637" s="17">
        <f t="shared" si="356"/>
        <v>185.40850040223782</v>
      </c>
      <c r="Q637" s="17">
        <f t="shared" si="356"/>
        <v>189.11667041028258</v>
      </c>
      <c r="R637" s="17">
        <f t="shared" si="356"/>
        <v>192.89900381848813</v>
      </c>
      <c r="S637" s="17">
        <f t="shared" si="356"/>
        <v>196.756983894858</v>
      </c>
      <c r="T637" s="17">
        <f t="shared" si="356"/>
        <v>200.69212357275512</v>
      </c>
      <c r="U637" s="17">
        <f t="shared" si="356"/>
        <v>204.70596604421021</v>
      </c>
      <c r="V637" s="17">
        <f t="shared" si="356"/>
        <v>208.80008536509439</v>
      </c>
      <c r="W637" s="17">
        <f t="shared" si="356"/>
        <v>212.97608707239635</v>
      </c>
      <c r="X637" s="17">
        <f t="shared" si="356"/>
        <v>217.23560881384429</v>
      </c>
      <c r="Y637" s="17">
        <f t="shared" si="356"/>
        <v>220.51056455068652</v>
      </c>
      <c r="Z637" s="17">
        <f t="shared" si="356"/>
        <v>224.91823743658969</v>
      </c>
      <c r="AA637" s="17">
        <f t="shared" si="356"/>
        <v>229.4107775219025</v>
      </c>
      <c r="AB637" s="17">
        <f t="shared" si="356"/>
        <v>233.98877358614371</v>
      </c>
      <c r="AC637" s="17">
        <f t="shared" si="356"/>
        <v>238.65219532429771</v>
      </c>
      <c r="AD637" s="17">
        <f t="shared" si="356"/>
        <v>241.58091262825087</v>
      </c>
      <c r="AE637" s="17">
        <f t="shared" si="356"/>
        <v>246.37242603399878</v>
      </c>
      <c r="AF637" s="17">
        <f t="shared" si="356"/>
        <v>251.23248635448252</v>
      </c>
      <c r="AG637" s="17">
        <f t="shared" si="356"/>
        <v>265.14318389410641</v>
      </c>
      <c r="AH637" s="17">
        <f t="shared" si="356"/>
        <v>100.97905738438547</v>
      </c>
      <c r="AI637" s="17">
        <f t="shared" si="356"/>
        <v>0</v>
      </c>
      <c r="AJ637" s="17">
        <f t="shared" si="356"/>
        <v>0</v>
      </c>
      <c r="AK637" s="17">
        <f t="shared" si="356"/>
        <v>0</v>
      </c>
      <c r="AL637" s="17">
        <f t="shared" si="356"/>
        <v>0</v>
      </c>
      <c r="AM637" s="17">
        <f t="shared" ref="AM637:BD637" si="357">AM210 + AM236 + AM240 + AM244 + AM311 + AM313 + AM319 + AM512 + AM519 + AM595 + AM604 + AM610</f>
        <v>0</v>
      </c>
      <c r="AN637" s="17">
        <f t="shared" si="357"/>
        <v>0</v>
      </c>
      <c r="AO637" s="17">
        <f t="shared" si="357"/>
        <v>0</v>
      </c>
      <c r="AP637" s="17">
        <f t="shared" si="357"/>
        <v>0</v>
      </c>
      <c r="AQ637" s="17">
        <f t="shared" si="357"/>
        <v>0</v>
      </c>
      <c r="AR637" s="17">
        <f t="shared" si="357"/>
        <v>0</v>
      </c>
      <c r="AS637" s="17">
        <f t="shared" si="357"/>
        <v>0</v>
      </c>
      <c r="AT637" s="17">
        <f t="shared" si="357"/>
        <v>0</v>
      </c>
      <c r="AU637" s="17">
        <f t="shared" si="357"/>
        <v>0</v>
      </c>
      <c r="AV637" s="17">
        <f t="shared" si="357"/>
        <v>0</v>
      </c>
      <c r="AW637" s="17">
        <f t="shared" si="357"/>
        <v>0</v>
      </c>
      <c r="AX637" s="17">
        <f t="shared" si="357"/>
        <v>0</v>
      </c>
      <c r="AY637" s="17">
        <f t="shared" si="357"/>
        <v>0</v>
      </c>
      <c r="AZ637" s="17">
        <f t="shared" si="357"/>
        <v>0</v>
      </c>
      <c r="BA637" s="17">
        <f t="shared" si="357"/>
        <v>0</v>
      </c>
      <c r="BB637" s="17">
        <f t="shared" si="357"/>
        <v>0</v>
      </c>
      <c r="BC637" s="17">
        <f t="shared" si="357"/>
        <v>0</v>
      </c>
      <c r="BD637" s="17">
        <f t="shared" si="357"/>
        <v>0</v>
      </c>
    </row>
    <row r="638" spans="1:56" ht="15" customHeight="1">
      <c r="C638" s="21"/>
      <c r="D638" s="22" t="s">
        <v>616</v>
      </c>
      <c r="E638" s="18" t="s">
        <v>30</v>
      </c>
      <c r="G638" s="6" t="str">
        <f t="shared" ref="G638:AL638" si="358">IFERROR(G637 / G634, "-")</f>
        <v>-</v>
      </c>
      <c r="H638" s="6" t="str">
        <f t="shared" si="358"/>
        <v>-</v>
      </c>
      <c r="I638" s="6">
        <f t="shared" si="358"/>
        <v>1</v>
      </c>
      <c r="J638" s="6">
        <f t="shared" si="358"/>
        <v>1</v>
      </c>
      <c r="K638" s="6">
        <f t="shared" si="358"/>
        <v>1</v>
      </c>
      <c r="L638" s="6">
        <f t="shared" si="358"/>
        <v>1</v>
      </c>
      <c r="M638" s="6">
        <f t="shared" si="358"/>
        <v>0.83049042290429465</v>
      </c>
      <c r="N638" s="6">
        <f t="shared" si="358"/>
        <v>0.55376986336544076</v>
      </c>
      <c r="O638" s="6">
        <f t="shared" si="358"/>
        <v>0.54553355904067624</v>
      </c>
      <c r="P638" s="6">
        <f t="shared" si="358"/>
        <v>0.56631333837972386</v>
      </c>
      <c r="Q638" s="6">
        <f t="shared" si="358"/>
        <v>0.56631333837972386</v>
      </c>
      <c r="R638" s="6">
        <f t="shared" si="358"/>
        <v>0.56631333837972386</v>
      </c>
      <c r="S638" s="6">
        <f t="shared" si="358"/>
        <v>0.56631333837972386</v>
      </c>
      <c r="T638" s="6">
        <f t="shared" si="358"/>
        <v>0.56631333837972397</v>
      </c>
      <c r="U638" s="6">
        <f t="shared" si="358"/>
        <v>0.56631333837972386</v>
      </c>
      <c r="V638" s="6">
        <f t="shared" si="358"/>
        <v>0.56631333837972397</v>
      </c>
      <c r="W638" s="6">
        <f t="shared" si="358"/>
        <v>0.56631333837972386</v>
      </c>
      <c r="X638" s="6">
        <f t="shared" si="358"/>
        <v>0.56631333837972386</v>
      </c>
      <c r="Y638" s="6">
        <f t="shared" si="358"/>
        <v>0.56687125270461081</v>
      </c>
      <c r="Z638" s="6">
        <f t="shared" si="358"/>
        <v>0.56687255821007876</v>
      </c>
      <c r="AA638" s="6">
        <f t="shared" si="358"/>
        <v>0.56687549523480329</v>
      </c>
      <c r="AB638" s="6">
        <f t="shared" si="358"/>
        <v>0.56688054768187268</v>
      </c>
      <c r="AC638" s="6">
        <f t="shared" si="358"/>
        <v>0.56688847539868426</v>
      </c>
      <c r="AD638" s="6">
        <f t="shared" si="358"/>
        <v>0.56777315276105977</v>
      </c>
      <c r="AE638" s="6">
        <f t="shared" si="358"/>
        <v>0.56779219023131622</v>
      </c>
      <c r="AF638" s="6">
        <f t="shared" si="358"/>
        <v>0.56782356798052946</v>
      </c>
      <c r="AG638" s="6">
        <f t="shared" si="358"/>
        <v>0.54727320925106016</v>
      </c>
      <c r="AH638" s="6">
        <f t="shared" si="358"/>
        <v>0.44692058410763291</v>
      </c>
      <c r="AI638" s="6" t="str">
        <f t="shared" si="358"/>
        <v>-</v>
      </c>
      <c r="AJ638" s="6" t="str">
        <f t="shared" si="358"/>
        <v>-</v>
      </c>
      <c r="AK638" s="6" t="str">
        <f t="shared" si="358"/>
        <v>-</v>
      </c>
      <c r="AL638" s="6" t="str">
        <f t="shared" si="358"/>
        <v>-</v>
      </c>
      <c r="AM638" s="6" t="str">
        <f t="shared" ref="AM638:BD638" si="359">IFERROR(AM637 / AM634, "-")</f>
        <v>-</v>
      </c>
      <c r="AN638" s="6" t="str">
        <f t="shared" si="359"/>
        <v>-</v>
      </c>
      <c r="AO638" s="6" t="str">
        <f t="shared" si="359"/>
        <v>-</v>
      </c>
      <c r="AP638" s="6" t="str">
        <f t="shared" si="359"/>
        <v>-</v>
      </c>
      <c r="AQ638" s="6" t="str">
        <f t="shared" si="359"/>
        <v>-</v>
      </c>
      <c r="AR638" s="6" t="str">
        <f t="shared" si="359"/>
        <v>-</v>
      </c>
      <c r="AS638" s="6" t="str">
        <f t="shared" si="359"/>
        <v>-</v>
      </c>
      <c r="AT638" s="6" t="str">
        <f t="shared" si="359"/>
        <v>-</v>
      </c>
      <c r="AU638" s="6" t="str">
        <f t="shared" si="359"/>
        <v>-</v>
      </c>
      <c r="AV638" s="6" t="str">
        <f t="shared" si="359"/>
        <v>-</v>
      </c>
      <c r="AW638" s="6" t="str">
        <f t="shared" si="359"/>
        <v>-</v>
      </c>
      <c r="AX638" s="6" t="str">
        <f t="shared" si="359"/>
        <v>-</v>
      </c>
      <c r="AY638" s="6" t="str">
        <f t="shared" si="359"/>
        <v>-</v>
      </c>
      <c r="AZ638" s="6" t="str">
        <f t="shared" si="359"/>
        <v>-</v>
      </c>
      <c r="BA638" s="6" t="str">
        <f t="shared" si="359"/>
        <v>-</v>
      </c>
      <c r="BB638" s="6" t="str">
        <f t="shared" si="359"/>
        <v>-</v>
      </c>
      <c r="BC638" s="6" t="str">
        <f t="shared" si="359"/>
        <v>-</v>
      </c>
      <c r="BD638" s="6" t="str">
        <f t="shared" si="359"/>
        <v>-</v>
      </c>
    </row>
    <row r="639" spans="1:56" ht="15" customHeight="1">
      <c r="A639" s="417" t="str">
        <f>IF(Inputs!E85 = 1, ROUND((C637 + C639) - C634, 5) = 0, "-")</f>
        <v>-</v>
      </c>
      <c r="C639" s="21">
        <f t="shared" si="355"/>
        <v>3436.9546602788419</v>
      </c>
      <c r="D639" s="22" t="s">
        <v>617</v>
      </c>
      <c r="E639" s="18" t="s">
        <v>333</v>
      </c>
      <c r="G639" s="17">
        <f>(G594 - G604) + IF($E$622 = 2, G96 * Inputs!$E$196, 0)</f>
        <v>0</v>
      </c>
      <c r="H639" s="17">
        <f>(H594 - H604) + IF($E$622 = 2, H96 * Inputs!$E$196, 0)</f>
        <v>0</v>
      </c>
      <c r="I639" s="17">
        <f>(I594 - I604) + IF($E$622 = 2, I96 * Inputs!$E$196, 0)</f>
        <v>0</v>
      </c>
      <c r="J639" s="17">
        <f>(J594 - J604) + IF($E$622 = 2, J96 * Inputs!$E$196, 0)</f>
        <v>0</v>
      </c>
      <c r="K639" s="17">
        <f>(K594 - K604) + IF($E$622 = 2, K96 * Inputs!$E$196, 0)</f>
        <v>0</v>
      </c>
      <c r="L639" s="17">
        <f>(L594 - L604) + IF($E$622 = 2, L96 * Inputs!$E$196, 0)</f>
        <v>0</v>
      </c>
      <c r="M639" s="17">
        <f>(M594 - M604) + IF($E$622 = 2, M96 * Inputs!$E$196, 0)</f>
        <v>23.709300084908186</v>
      </c>
      <c r="N639" s="17">
        <f>(N594 - N604) + IF($E$622 = 2, N96 * Inputs!$E$196, 0)</f>
        <v>119.04463358685241</v>
      </c>
      <c r="O639" s="17">
        <f>(O594 - O604) + IF($E$622 = 2, O96 * Inputs!$E$196, 0)</f>
        <v>125.47233938469844</v>
      </c>
      <c r="P639" s="17">
        <f>(P594 - P604) + IF($E$622 = 2, P96 * Inputs!$E$196, 0)</f>
        <v>141.98710877184433</v>
      </c>
      <c r="Q639" s="17">
        <f>(Q594 - Q604) + IF($E$622 = 2, Q96 * Inputs!$E$196, 0)</f>
        <v>144.82685094728126</v>
      </c>
      <c r="R639" s="17">
        <f>(R594 - R604) + IF($E$622 = 2, R96 * Inputs!$E$196, 0)</f>
        <v>147.72338796622674</v>
      </c>
      <c r="S639" s="17">
        <f>(S594 - S604) + IF($E$622 = 2, S96 * Inputs!$E$196, 0)</f>
        <v>150.67785572555138</v>
      </c>
      <c r="T639" s="17">
        <f>(T594 - T604) + IF($E$622 = 2, T96 * Inputs!$E$196, 0)</f>
        <v>153.69141284006238</v>
      </c>
      <c r="U639" s="17">
        <f>(U594 - U604) + IF($E$622 = 2, U96 * Inputs!$E$196, 0)</f>
        <v>156.76524109686363</v>
      </c>
      <c r="V639" s="17">
        <f>(V594 - V604) + IF($E$622 = 2, V96 * Inputs!$E$196, 0)</f>
        <v>159.90054591880084</v>
      </c>
      <c r="W639" s="17">
        <f>(W594 - W604) + IF($E$622 = 2, W96 * Inputs!$E$196, 0)</f>
        <v>163.09855683717694</v>
      </c>
      <c r="X639" s="17">
        <f>(X594 - X604) + IF($E$622 = 2, X96 * Inputs!$E$196, 0)</f>
        <v>166.36052797392051</v>
      </c>
      <c r="Y639" s="17">
        <f>(Y594 - Y604) + IF($E$622 = 2, Y96 * Inputs!$E$196, 0)</f>
        <v>168.48528503350764</v>
      </c>
      <c r="Z639" s="17">
        <f>(Z594 - Z604) + IF($E$622 = 2, Z96 * Inputs!$E$196, 0)</f>
        <v>171.85213745468644</v>
      </c>
      <c r="AA639" s="17">
        <f>(AA594 - AA604) + IF($E$622 = 2, AA96 * Inputs!$E$196, 0)</f>
        <v>175.28263302476293</v>
      </c>
      <c r="AB639" s="17">
        <f>(AB594 - AB604) + IF($E$622 = 2, AB96 * Inputs!$E$196, 0)</f>
        <v>178.77679853127481</v>
      </c>
      <c r="AC639" s="17">
        <f>(AC594 - AC604) + IF($E$622 = 2, AC96 * Inputs!$E$196, 0)</f>
        <v>182.33395218285906</v>
      </c>
      <c r="AD639" s="17">
        <f>(AD594 - AD604) + IF($E$622 = 2, AD96 * Inputs!$E$196, 0)</f>
        <v>183.9075266427007</v>
      </c>
      <c r="AE639" s="17">
        <f>(AE594 - AE604) + IF($E$622 = 2, AE96 * Inputs!$E$196, 0)</f>
        <v>187.54059755589535</v>
      </c>
      <c r="AF639" s="17">
        <f>(AF594 - AF604) + IF($E$622 = 2, AF96 * Inputs!$E$196, 0)</f>
        <v>191.21566219277398</v>
      </c>
      <c r="AG639" s="17">
        <f>(AG594 - AG604) + IF($E$622 = 2, AG96 * Inputs!$E$196, 0)</f>
        <v>219.33729023133662</v>
      </c>
      <c r="AH639" s="17">
        <f>(AH594 - AH604) + IF($E$622 = 2, AH96 * Inputs!$E$196, 0)</f>
        <v>124.96501629485783</v>
      </c>
      <c r="AI639" s="17">
        <f>(AI594 - AI604) + IF($E$622 = 2, AI96 * Inputs!$E$196, 0)</f>
        <v>0</v>
      </c>
      <c r="AJ639" s="17">
        <f>(AJ594 - AJ604) + IF($E$622 = 2, AJ96 * Inputs!$E$196, 0)</f>
        <v>0</v>
      </c>
      <c r="AK639" s="17">
        <f>(AK594 - AK604) + IF($E$622 = 2, AK96 * Inputs!$E$196, 0)</f>
        <v>0</v>
      </c>
      <c r="AL639" s="17">
        <f>(AL594 - AL604) + IF($E$622 = 2, AL96 * Inputs!$E$196, 0)</f>
        <v>0</v>
      </c>
      <c r="AM639" s="17">
        <f>(AM594 - AM604) + IF($E$622 = 2, AM96 * Inputs!$E$196, 0)</f>
        <v>0</v>
      </c>
      <c r="AN639" s="17">
        <f>(AN594 - AN604) + IF($E$622 = 2, AN96 * Inputs!$E$196, 0)</f>
        <v>0</v>
      </c>
      <c r="AO639" s="17">
        <f>(AO594 - AO604) + IF($E$622 = 2, AO96 * Inputs!$E$196, 0)</f>
        <v>0</v>
      </c>
      <c r="AP639" s="17">
        <f>(AP594 - AP604) + IF($E$622 = 2, AP96 * Inputs!$E$196, 0)</f>
        <v>0</v>
      </c>
      <c r="AQ639" s="17">
        <f>(AQ594 - AQ604) + IF($E$622 = 2, AQ96 * Inputs!$E$196, 0)</f>
        <v>0</v>
      </c>
      <c r="AR639" s="17">
        <f>(AR594 - AR604) + IF($E$622 = 2, AR96 * Inputs!$E$196, 0)</f>
        <v>0</v>
      </c>
      <c r="AS639" s="17">
        <f>(AS594 - AS604) + IF($E$622 = 2, AS96 * Inputs!$E$196, 0)</f>
        <v>0</v>
      </c>
      <c r="AT639" s="17">
        <f>(AT594 - AT604) + IF($E$622 = 2, AT96 * Inputs!$E$196, 0)</f>
        <v>0</v>
      </c>
      <c r="AU639" s="17">
        <f>(AU594 - AU604) + IF($E$622 = 2, AU96 * Inputs!$E$196, 0)</f>
        <v>0</v>
      </c>
      <c r="AV639" s="17">
        <f>(AV594 - AV604) + IF($E$622 = 2, AV96 * Inputs!$E$196, 0)</f>
        <v>0</v>
      </c>
      <c r="AW639" s="17">
        <f>(AW594 - AW604) + IF($E$622 = 2, AW96 * Inputs!$E$196, 0)</f>
        <v>0</v>
      </c>
      <c r="AX639" s="17">
        <f>(AX594 - AX604) + IF($E$622 = 2, AX96 * Inputs!$E$196, 0)</f>
        <v>0</v>
      </c>
      <c r="AY639" s="17">
        <f>(AY594 - AY604) + IF($E$622 = 2, AY96 * Inputs!$E$196, 0)</f>
        <v>0</v>
      </c>
      <c r="AZ639" s="17">
        <f>(AZ594 - AZ604) + IF($E$622 = 2, AZ96 * Inputs!$E$196, 0)</f>
        <v>0</v>
      </c>
      <c r="BA639" s="17">
        <f>(BA594 - BA604) + IF($E$622 = 2, BA96 * Inputs!$E$196, 0)</f>
        <v>0</v>
      </c>
      <c r="BB639" s="17">
        <f>(BB594 - BB604) + IF($E$622 = 2, BB96 * Inputs!$E$196, 0)</f>
        <v>0</v>
      </c>
      <c r="BC639" s="17">
        <f>(BC594 - BC604) + IF($E$622 = 2, BC96 * Inputs!$E$196, 0)</f>
        <v>0</v>
      </c>
      <c r="BD639" s="17">
        <f>(BD594 - BD604) + IF($E$622 = 2, BD96 * Inputs!$E$196, 0)</f>
        <v>0</v>
      </c>
    </row>
    <row r="640" spans="1:56" ht="15" customHeight="1">
      <c r="C640" s="21"/>
      <c r="D640" s="22" t="s">
        <v>618</v>
      </c>
      <c r="E640" s="18" t="s">
        <v>30</v>
      </c>
      <c r="G640" s="6" t="str">
        <f t="shared" ref="G640:AL640" si="360">IFERROR(G639 / G634, "-")</f>
        <v>-</v>
      </c>
      <c r="H640" s="6" t="str">
        <f t="shared" si="360"/>
        <v>-</v>
      </c>
      <c r="I640" s="6">
        <f t="shared" si="360"/>
        <v>0</v>
      </c>
      <c r="J640" s="6">
        <f t="shared" si="360"/>
        <v>0</v>
      </c>
      <c r="K640" s="6">
        <f t="shared" si="360"/>
        <v>0</v>
      </c>
      <c r="L640" s="6">
        <f t="shared" si="360"/>
        <v>0</v>
      </c>
      <c r="M640" s="6">
        <f t="shared" si="360"/>
        <v>0.1695095770957053</v>
      </c>
      <c r="N640" s="6">
        <f t="shared" si="360"/>
        <v>0.44623013663455907</v>
      </c>
      <c r="O640" s="6">
        <f t="shared" si="360"/>
        <v>0.4544664409593237</v>
      </c>
      <c r="P640" s="6">
        <f t="shared" si="360"/>
        <v>0.43368666162027614</v>
      </c>
      <c r="Q640" s="6">
        <f t="shared" si="360"/>
        <v>0.43368666162027619</v>
      </c>
      <c r="R640" s="6">
        <f t="shared" si="360"/>
        <v>0.43368666162027597</v>
      </c>
      <c r="S640" s="6">
        <f t="shared" si="360"/>
        <v>0.43368666162027614</v>
      </c>
      <c r="T640" s="6">
        <f t="shared" si="360"/>
        <v>0.43368666162027614</v>
      </c>
      <c r="U640" s="6">
        <f t="shared" si="360"/>
        <v>0.43368666162027614</v>
      </c>
      <c r="V640" s="6">
        <f t="shared" si="360"/>
        <v>0.43368666162027608</v>
      </c>
      <c r="W640" s="6">
        <f t="shared" si="360"/>
        <v>0.43368666162027608</v>
      </c>
      <c r="X640" s="6">
        <f t="shared" si="360"/>
        <v>0.43368666162027614</v>
      </c>
      <c r="Y640" s="6">
        <f t="shared" si="360"/>
        <v>0.43312874729538914</v>
      </c>
      <c r="Z640" s="6">
        <f t="shared" si="360"/>
        <v>0.4331274417899213</v>
      </c>
      <c r="AA640" s="6">
        <f t="shared" si="360"/>
        <v>0.43312450476519682</v>
      </c>
      <c r="AB640" s="6">
        <f t="shared" si="360"/>
        <v>0.43311945231812737</v>
      </c>
      <c r="AC640" s="6">
        <f t="shared" si="360"/>
        <v>0.43311152460131574</v>
      </c>
      <c r="AD640" s="6">
        <f t="shared" si="360"/>
        <v>0.43222684723894028</v>
      </c>
      <c r="AE640" s="6">
        <f t="shared" si="360"/>
        <v>0.43220780976868378</v>
      </c>
      <c r="AF640" s="6">
        <f t="shared" si="360"/>
        <v>0.43217643201947048</v>
      </c>
      <c r="AG640" s="6">
        <f t="shared" si="360"/>
        <v>0.45272679074893984</v>
      </c>
      <c r="AH640" s="6">
        <f t="shared" si="360"/>
        <v>0.55307941589236709</v>
      </c>
      <c r="AI640" s="6" t="str">
        <f t="shared" si="360"/>
        <v>-</v>
      </c>
      <c r="AJ640" s="6" t="str">
        <f t="shared" si="360"/>
        <v>-</v>
      </c>
      <c r="AK640" s="6" t="str">
        <f t="shared" si="360"/>
        <v>-</v>
      </c>
      <c r="AL640" s="6" t="str">
        <f t="shared" si="360"/>
        <v>-</v>
      </c>
      <c r="AM640" s="6" t="str">
        <f t="shared" ref="AM640:BD640" si="361">IFERROR(AM639 / AM634, "-")</f>
        <v>-</v>
      </c>
      <c r="AN640" s="6" t="str">
        <f t="shared" si="361"/>
        <v>-</v>
      </c>
      <c r="AO640" s="6" t="str">
        <f t="shared" si="361"/>
        <v>-</v>
      </c>
      <c r="AP640" s="6" t="str">
        <f t="shared" si="361"/>
        <v>-</v>
      </c>
      <c r="AQ640" s="6" t="str">
        <f t="shared" si="361"/>
        <v>-</v>
      </c>
      <c r="AR640" s="6" t="str">
        <f t="shared" si="361"/>
        <v>-</v>
      </c>
      <c r="AS640" s="6" t="str">
        <f t="shared" si="361"/>
        <v>-</v>
      </c>
      <c r="AT640" s="6" t="str">
        <f t="shared" si="361"/>
        <v>-</v>
      </c>
      <c r="AU640" s="6" t="str">
        <f t="shared" si="361"/>
        <v>-</v>
      </c>
      <c r="AV640" s="6" t="str">
        <f t="shared" si="361"/>
        <v>-</v>
      </c>
      <c r="AW640" s="6" t="str">
        <f t="shared" si="361"/>
        <v>-</v>
      </c>
      <c r="AX640" s="6" t="str">
        <f t="shared" si="361"/>
        <v>-</v>
      </c>
      <c r="AY640" s="6" t="str">
        <f t="shared" si="361"/>
        <v>-</v>
      </c>
      <c r="AZ640" s="6" t="str">
        <f t="shared" si="361"/>
        <v>-</v>
      </c>
      <c r="BA640" s="6" t="str">
        <f t="shared" si="361"/>
        <v>-</v>
      </c>
      <c r="BB640" s="6" t="str">
        <f t="shared" si="361"/>
        <v>-</v>
      </c>
      <c r="BC640" s="6" t="str">
        <f t="shared" si="361"/>
        <v>-</v>
      </c>
      <c r="BD640" s="6" t="str">
        <f t="shared" si="361"/>
        <v>-</v>
      </c>
    </row>
    <row r="641" spans="1:56" ht="15" customHeight="1">
      <c r="C641" s="21"/>
      <c r="D641" s="22" t="s">
        <v>619</v>
      </c>
      <c r="E641" s="18" t="s">
        <v>333</v>
      </c>
      <c r="G641" s="17">
        <f>SUM($G$637:G637)</f>
        <v>0</v>
      </c>
      <c r="H641" s="17">
        <f>SUM($G$637:H637)</f>
        <v>0</v>
      </c>
      <c r="I641" s="17">
        <f>SUM($G$637:I637)</f>
        <v>2.9261250000000003</v>
      </c>
      <c r="J641" s="17">
        <f>SUM($G$637:J637)</f>
        <v>14.864715</v>
      </c>
      <c r="K641" s="17">
        <f>SUM($G$637:K637)</f>
        <v>41.5195039404</v>
      </c>
      <c r="L641" s="17">
        <f>SUM($G$637:L637)</f>
        <v>135.16658206487045</v>
      </c>
      <c r="M641" s="17">
        <f>SUM($G$637:M637)</f>
        <v>251.32725564830483</v>
      </c>
      <c r="N641" s="17">
        <f>SUM($G$637:N637)</f>
        <v>399.06118274917264</v>
      </c>
      <c r="O641" s="17">
        <f>SUM($G$637:O637)</f>
        <v>549.67598220764489</v>
      </c>
      <c r="P641" s="17">
        <f>SUM($G$637:P637)</f>
        <v>735.08448260988268</v>
      </c>
      <c r="Q641" s="17">
        <f>SUM($G$637:Q637)</f>
        <v>924.20115302016529</v>
      </c>
      <c r="R641" s="17">
        <f>SUM($G$637:R637)</f>
        <v>1117.1001568386534</v>
      </c>
      <c r="S641" s="17">
        <f>SUM($G$637:S637)</f>
        <v>1313.8571407335114</v>
      </c>
      <c r="T641" s="17">
        <f>SUM($G$637:T637)</f>
        <v>1514.5492643062667</v>
      </c>
      <c r="U641" s="17">
        <f>SUM($G$637:U637)</f>
        <v>1719.2552303504769</v>
      </c>
      <c r="V641" s="17">
        <f>SUM($G$637:V637)</f>
        <v>1928.0553157155714</v>
      </c>
      <c r="W641" s="17">
        <f>SUM($G$637:W637)</f>
        <v>2141.0314027879676</v>
      </c>
      <c r="X641" s="17">
        <f>SUM($G$637:X637)</f>
        <v>2358.2670116018121</v>
      </c>
      <c r="Y641" s="17">
        <f>SUM($G$637:Y637)</f>
        <v>2578.7775761524986</v>
      </c>
      <c r="Z641" s="17">
        <f>SUM($G$637:Z637)</f>
        <v>2803.6958135890882</v>
      </c>
      <c r="AA641" s="17">
        <f>SUM($G$637:AA637)</f>
        <v>3033.1065911109908</v>
      </c>
      <c r="AB641" s="17">
        <f>SUM($G$637:AB637)</f>
        <v>3267.0953646971348</v>
      </c>
      <c r="AC641" s="17">
        <f>SUM($G$637:AC637)</f>
        <v>3505.7475600214325</v>
      </c>
      <c r="AD641" s="17">
        <f>SUM($G$637:AD637)</f>
        <v>3747.3284726496831</v>
      </c>
      <c r="AE641" s="17">
        <f>SUM($G$637:AE637)</f>
        <v>3993.7008986836818</v>
      </c>
      <c r="AF641" s="17">
        <f>SUM($G$637:AF637)</f>
        <v>4244.9333850381645</v>
      </c>
      <c r="AG641" s="17">
        <f>SUM($G$637:AG637)</f>
        <v>4510.0765689322707</v>
      </c>
      <c r="AH641" s="17">
        <f>SUM($G$637:AH637)</f>
        <v>4611.0556263166563</v>
      </c>
      <c r="AI641" s="17">
        <f>SUM($G$637:AI637)</f>
        <v>4611.0556263166563</v>
      </c>
      <c r="AJ641" s="17">
        <f>SUM($G$637:AJ637)</f>
        <v>4611.0556263166563</v>
      </c>
      <c r="AK641" s="17">
        <f>SUM($G$637:AK637)</f>
        <v>4611.0556263166563</v>
      </c>
      <c r="AL641" s="17">
        <f>SUM($G$637:AL637)</f>
        <v>4611.0556263166563</v>
      </c>
      <c r="AM641" s="17">
        <f>SUM($G$637:AM637)</f>
        <v>4611.0556263166563</v>
      </c>
      <c r="AN641" s="17">
        <f>SUM($G$637:AN637)</f>
        <v>4611.0556263166563</v>
      </c>
      <c r="AO641" s="17">
        <f>SUM($G$637:AO637)</f>
        <v>4611.0556263166563</v>
      </c>
      <c r="AP641" s="17">
        <f>SUM($G$637:AP637)</f>
        <v>4611.0556263166563</v>
      </c>
      <c r="AQ641" s="17">
        <f>SUM($G$637:AQ637)</f>
        <v>4611.0556263166563</v>
      </c>
      <c r="AR641" s="17">
        <f>SUM($G$637:AR637)</f>
        <v>4611.0556263166563</v>
      </c>
      <c r="AS641" s="17">
        <f>SUM($G$637:AS637)</f>
        <v>4611.0556263166563</v>
      </c>
      <c r="AT641" s="17">
        <f>SUM($G$637:AT637)</f>
        <v>4611.0556263166563</v>
      </c>
      <c r="AU641" s="17">
        <f>SUM($G$637:AU637)</f>
        <v>4611.0556263166563</v>
      </c>
      <c r="AV641" s="17">
        <f>SUM($G$637:AV637)</f>
        <v>4611.0556263166563</v>
      </c>
      <c r="AW641" s="17">
        <f>SUM($G$637:AW637)</f>
        <v>4611.0556263166563</v>
      </c>
      <c r="AX641" s="17">
        <f>SUM($G$637:AX637)</f>
        <v>4611.0556263166563</v>
      </c>
      <c r="AY641" s="17">
        <f>SUM($G$637:AY637)</f>
        <v>4611.0556263166563</v>
      </c>
      <c r="AZ641" s="17">
        <f>SUM($G$637:AZ637)</f>
        <v>4611.0556263166563</v>
      </c>
      <c r="BA641" s="17">
        <f>SUM($G$637:BA637)</f>
        <v>4611.0556263166563</v>
      </c>
      <c r="BB641" s="17">
        <f>SUM($G$637:BB637)</f>
        <v>4611.0556263166563</v>
      </c>
      <c r="BC641" s="17">
        <f>SUM($G$637:BC637)</f>
        <v>4611.0556263166563</v>
      </c>
      <c r="BD641" s="17">
        <f>SUM($G$637:BD637)</f>
        <v>4611.0556263166563</v>
      </c>
    </row>
    <row r="642" spans="1:56" ht="15" customHeight="1">
      <c r="C642" s="21"/>
      <c r="D642" s="22" t="s">
        <v>620</v>
      </c>
      <c r="E642" s="18" t="s">
        <v>30</v>
      </c>
      <c r="G642" s="415" t="str">
        <f>IFERROR(G641 / G635, "-")</f>
        <v>-</v>
      </c>
      <c r="H642" s="415" t="str">
        <f t="shared" ref="H642:BD642" si="362">IFERROR(H641 / H635, "-")</f>
        <v>-</v>
      </c>
      <c r="I642" s="415">
        <f t="shared" si="362"/>
        <v>1</v>
      </c>
      <c r="J642" s="415">
        <f t="shared" si="362"/>
        <v>1</v>
      </c>
      <c r="K642" s="415">
        <f t="shared" si="362"/>
        <v>1</v>
      </c>
      <c r="L642" s="415">
        <f t="shared" si="362"/>
        <v>1</v>
      </c>
      <c r="M642" s="415">
        <f t="shared" si="362"/>
        <v>0.91379582244366686</v>
      </c>
      <c r="N642" s="415">
        <f t="shared" si="362"/>
        <v>0.73652648413586186</v>
      </c>
      <c r="O642" s="415">
        <f t="shared" si="362"/>
        <v>0.67205583389686618</v>
      </c>
      <c r="P642" s="415">
        <f t="shared" si="362"/>
        <v>0.64182821380748034</v>
      </c>
      <c r="Q642" s="415">
        <f t="shared" si="362"/>
        <v>0.62478048673779918</v>
      </c>
      <c r="R642" s="415">
        <f t="shared" si="362"/>
        <v>0.61383723913877464</v>
      </c>
      <c r="S642" s="415">
        <f t="shared" si="362"/>
        <v>0.60621878789845496</v>
      </c>
      <c r="T642" s="415">
        <f t="shared" si="362"/>
        <v>0.60061069240460963</v>
      </c>
      <c r="U642" s="415">
        <f t="shared" si="362"/>
        <v>0.5963107109572563</v>
      </c>
      <c r="V642" s="415">
        <f t="shared" si="362"/>
        <v>0.59290955880427765</v>
      </c>
      <c r="W642" s="415">
        <f t="shared" si="362"/>
        <v>0.59015256848578146</v>
      </c>
      <c r="X642" s="415">
        <f t="shared" si="362"/>
        <v>0.58787297728524113</v>
      </c>
      <c r="Y642" s="415">
        <f t="shared" si="362"/>
        <v>0.58601647338555751</v>
      </c>
      <c r="Z642" s="415">
        <f t="shared" si="362"/>
        <v>0.58443313428741306</v>
      </c>
      <c r="AA642" s="415">
        <f t="shared" si="362"/>
        <v>0.58306722076818929</v>
      </c>
      <c r="AB642" s="415">
        <f t="shared" si="362"/>
        <v>0.58187726548948626</v>
      </c>
      <c r="AC642" s="415">
        <f t="shared" si="362"/>
        <v>0.58083181339168943</v>
      </c>
      <c r="AD642" s="415">
        <f t="shared" si="362"/>
        <v>0.57997186663184885</v>
      </c>
      <c r="AE642" s="415">
        <f t="shared" si="362"/>
        <v>0.57920539603657317</v>
      </c>
      <c r="AF642" s="415">
        <f t="shared" si="362"/>
        <v>0.57851908463528268</v>
      </c>
      <c r="AG642" s="415">
        <f t="shared" si="362"/>
        <v>0.57658378824318413</v>
      </c>
      <c r="AH642" s="415">
        <f t="shared" si="362"/>
        <v>0.57294355525323815</v>
      </c>
      <c r="AI642" s="415">
        <f t="shared" si="362"/>
        <v>0.57294355525323815</v>
      </c>
      <c r="AJ642" s="415">
        <f t="shared" si="362"/>
        <v>0.57294355525323815</v>
      </c>
      <c r="AK642" s="415">
        <f t="shared" si="362"/>
        <v>0.57294355525323815</v>
      </c>
      <c r="AL642" s="415">
        <f t="shared" si="362"/>
        <v>0.57294355525323815</v>
      </c>
      <c r="AM642" s="415">
        <f t="shared" si="362"/>
        <v>0.57294355525323815</v>
      </c>
      <c r="AN642" s="415">
        <f t="shared" si="362"/>
        <v>0.57294355525323815</v>
      </c>
      <c r="AO642" s="415">
        <f t="shared" si="362"/>
        <v>0.57294355525323815</v>
      </c>
      <c r="AP642" s="415">
        <f t="shared" si="362"/>
        <v>0.57294355525323815</v>
      </c>
      <c r="AQ642" s="415">
        <f t="shared" si="362"/>
        <v>0.57294355525323815</v>
      </c>
      <c r="AR642" s="415">
        <f t="shared" si="362"/>
        <v>0.57294355525323815</v>
      </c>
      <c r="AS642" s="415">
        <f t="shared" si="362"/>
        <v>0.57294355525323815</v>
      </c>
      <c r="AT642" s="415">
        <f t="shared" si="362"/>
        <v>0.57294355525323815</v>
      </c>
      <c r="AU642" s="415">
        <f t="shared" si="362"/>
        <v>0.57294355525323815</v>
      </c>
      <c r="AV642" s="415">
        <f t="shared" si="362"/>
        <v>0.57294355525323815</v>
      </c>
      <c r="AW642" s="415">
        <f t="shared" si="362"/>
        <v>0.57294355525323815</v>
      </c>
      <c r="AX642" s="415">
        <f t="shared" si="362"/>
        <v>0.57294355525323815</v>
      </c>
      <c r="AY642" s="415">
        <f t="shared" si="362"/>
        <v>0.57294355525323815</v>
      </c>
      <c r="AZ642" s="415">
        <f t="shared" si="362"/>
        <v>0.57294355525323815</v>
      </c>
      <c r="BA642" s="415">
        <f t="shared" si="362"/>
        <v>0.57294355525323815</v>
      </c>
      <c r="BB642" s="415">
        <f t="shared" si="362"/>
        <v>0.57294355525323815</v>
      </c>
      <c r="BC642" s="415">
        <f t="shared" si="362"/>
        <v>0.57294355525323815</v>
      </c>
      <c r="BD642" s="415">
        <f t="shared" si="362"/>
        <v>0.57294355525323815</v>
      </c>
    </row>
    <row r="643" spans="1:56" ht="15" customHeight="1">
      <c r="C643" s="21"/>
      <c r="D643" s="22" t="s">
        <v>621</v>
      </c>
      <c r="E643" s="18" t="s">
        <v>333</v>
      </c>
      <c r="G643" s="17">
        <f>SUM($G$639:G639)</f>
        <v>0</v>
      </c>
      <c r="H643" s="17">
        <f>SUM($G$639:H639)</f>
        <v>0</v>
      </c>
      <c r="I643" s="17">
        <f>SUM($G$639:I639)</f>
        <v>0</v>
      </c>
      <c r="J643" s="17">
        <f>SUM($G$639:J639)</f>
        <v>0</v>
      </c>
      <c r="K643" s="17">
        <f>SUM($G$639:K639)</f>
        <v>0</v>
      </c>
      <c r="L643" s="17">
        <f>SUM($G$639:L639)</f>
        <v>0</v>
      </c>
      <c r="M643" s="17">
        <f>SUM($G$639:M639)</f>
        <v>23.709300084908186</v>
      </c>
      <c r="N643" s="17">
        <f>SUM($G$639:N639)</f>
        <v>142.75393367176059</v>
      </c>
      <c r="O643" s="17">
        <f>SUM($G$639:O639)</f>
        <v>268.22627305645904</v>
      </c>
      <c r="P643" s="17">
        <f>SUM($G$639:P639)</f>
        <v>410.21338182830334</v>
      </c>
      <c r="Q643" s="17">
        <f>SUM($G$639:Q639)</f>
        <v>555.04023277558463</v>
      </c>
      <c r="R643" s="17">
        <f>SUM($G$639:R639)</f>
        <v>702.76362074181134</v>
      </c>
      <c r="S643" s="17">
        <f>SUM($G$639:S639)</f>
        <v>853.44147646736269</v>
      </c>
      <c r="T643" s="17">
        <f>SUM($G$639:T639)</f>
        <v>1007.1328893074251</v>
      </c>
      <c r="U643" s="17">
        <f>SUM($G$639:U639)</f>
        <v>1163.8981304042886</v>
      </c>
      <c r="V643" s="17">
        <f>SUM($G$639:V639)</f>
        <v>1323.7986763230895</v>
      </c>
      <c r="W643" s="17">
        <f>SUM($G$639:W639)</f>
        <v>1486.8972331602663</v>
      </c>
      <c r="X643" s="17">
        <f>SUM($G$639:X639)</f>
        <v>1653.2577611341867</v>
      </c>
      <c r="Y643" s="17">
        <f>SUM($G$639:Y639)</f>
        <v>1821.7430461676943</v>
      </c>
      <c r="Z643" s="17">
        <f>SUM($G$639:Z639)</f>
        <v>1993.5951836223808</v>
      </c>
      <c r="AA643" s="17">
        <f>SUM($G$639:AA639)</f>
        <v>2168.8778166471438</v>
      </c>
      <c r="AB643" s="17">
        <f>SUM($G$639:AB639)</f>
        <v>2347.6546151784187</v>
      </c>
      <c r="AC643" s="17">
        <f>SUM($G$639:AC639)</f>
        <v>2529.9885673612775</v>
      </c>
      <c r="AD643" s="17">
        <f>SUM($G$639:AD639)</f>
        <v>2713.8960940039783</v>
      </c>
      <c r="AE643" s="17">
        <f>SUM($G$639:AE639)</f>
        <v>2901.4366915598735</v>
      </c>
      <c r="AF643" s="17">
        <f>SUM($G$639:AF639)</f>
        <v>3092.6523537526473</v>
      </c>
      <c r="AG643" s="17">
        <f>SUM($G$639:AG639)</f>
        <v>3311.989643983984</v>
      </c>
      <c r="AH643" s="17">
        <f>SUM($G$639:AH639)</f>
        <v>3436.9546602788419</v>
      </c>
      <c r="AI643" s="17">
        <f>SUM($G$639:AI639)</f>
        <v>3436.9546602788419</v>
      </c>
      <c r="AJ643" s="17">
        <f>SUM($G$639:AJ639)</f>
        <v>3436.9546602788419</v>
      </c>
      <c r="AK643" s="17">
        <f>SUM($G$639:AK639)</f>
        <v>3436.9546602788419</v>
      </c>
      <c r="AL643" s="17">
        <f>SUM($G$639:AL639)</f>
        <v>3436.9546602788419</v>
      </c>
      <c r="AM643" s="17">
        <f>SUM($G$639:AM639)</f>
        <v>3436.9546602788419</v>
      </c>
      <c r="AN643" s="17">
        <f>SUM($G$639:AN639)</f>
        <v>3436.9546602788419</v>
      </c>
      <c r="AO643" s="17">
        <f>SUM($G$639:AO639)</f>
        <v>3436.9546602788419</v>
      </c>
      <c r="AP643" s="17">
        <f>SUM($G$639:AP639)</f>
        <v>3436.9546602788419</v>
      </c>
      <c r="AQ643" s="17">
        <f>SUM($G$639:AQ639)</f>
        <v>3436.9546602788419</v>
      </c>
      <c r="AR643" s="17">
        <f>SUM($G$639:AR639)</f>
        <v>3436.9546602788419</v>
      </c>
      <c r="AS643" s="17">
        <f>SUM($G$639:AS639)</f>
        <v>3436.9546602788419</v>
      </c>
      <c r="AT643" s="17">
        <f>SUM($G$639:AT639)</f>
        <v>3436.9546602788419</v>
      </c>
      <c r="AU643" s="17">
        <f>SUM($G$639:AU639)</f>
        <v>3436.9546602788419</v>
      </c>
      <c r="AV643" s="17">
        <f>SUM($G$639:AV639)</f>
        <v>3436.9546602788419</v>
      </c>
      <c r="AW643" s="17">
        <f>SUM($G$639:AW639)</f>
        <v>3436.9546602788419</v>
      </c>
      <c r="AX643" s="17">
        <f>SUM($G$639:AX639)</f>
        <v>3436.9546602788419</v>
      </c>
      <c r="AY643" s="17">
        <f>SUM($G$639:AY639)</f>
        <v>3436.9546602788419</v>
      </c>
      <c r="AZ643" s="17">
        <f>SUM($G$639:AZ639)</f>
        <v>3436.9546602788419</v>
      </c>
      <c r="BA643" s="17">
        <f>SUM($G$639:BA639)</f>
        <v>3436.9546602788419</v>
      </c>
      <c r="BB643" s="17">
        <f>SUM($G$639:BB639)</f>
        <v>3436.9546602788419</v>
      </c>
      <c r="BC643" s="17">
        <f>SUM($G$639:BC639)</f>
        <v>3436.9546602788419</v>
      </c>
      <c r="BD643" s="17">
        <f>SUM($G$639:BD639)</f>
        <v>3436.9546602788419</v>
      </c>
    </row>
    <row r="644" spans="1:56" ht="15" customHeight="1">
      <c r="C644" s="21"/>
      <c r="D644" s="22" t="s">
        <v>622</v>
      </c>
      <c r="E644" s="18" t="s">
        <v>30</v>
      </c>
      <c r="G644" s="415" t="str">
        <f>IFERROR(G643 / G635, "-")</f>
        <v>-</v>
      </c>
      <c r="H644" s="415" t="str">
        <f t="shared" ref="H644:BD644" si="363">IFERROR(H643 / H635, "-")</f>
        <v>-</v>
      </c>
      <c r="I644" s="415">
        <f t="shared" si="363"/>
        <v>0</v>
      </c>
      <c r="J644" s="415">
        <f t="shared" si="363"/>
        <v>0</v>
      </c>
      <c r="K644" s="415">
        <f t="shared" si="363"/>
        <v>0</v>
      </c>
      <c r="L644" s="415">
        <f t="shared" si="363"/>
        <v>0</v>
      </c>
      <c r="M644" s="415">
        <f t="shared" si="363"/>
        <v>8.6204177556333042E-2</v>
      </c>
      <c r="N644" s="415">
        <f t="shared" si="363"/>
        <v>0.26347351586413809</v>
      </c>
      <c r="O644" s="415">
        <f t="shared" si="363"/>
        <v>0.32794416610313382</v>
      </c>
      <c r="P644" s="415">
        <f t="shared" si="363"/>
        <v>0.35817178619251966</v>
      </c>
      <c r="Q644" s="415">
        <f t="shared" si="363"/>
        <v>0.37521951326220077</v>
      </c>
      <c r="R644" s="415">
        <f t="shared" si="363"/>
        <v>0.38616276086122542</v>
      </c>
      <c r="S644" s="415">
        <f t="shared" si="363"/>
        <v>0.39378121210154504</v>
      </c>
      <c r="T644" s="415">
        <f t="shared" si="363"/>
        <v>0.39938930759539032</v>
      </c>
      <c r="U644" s="415">
        <f t="shared" si="363"/>
        <v>0.40368928904274382</v>
      </c>
      <c r="V644" s="415">
        <f t="shared" si="363"/>
        <v>0.40709044119572241</v>
      </c>
      <c r="W644" s="415">
        <f t="shared" si="363"/>
        <v>0.4098474315142186</v>
      </c>
      <c r="X644" s="415">
        <f t="shared" si="363"/>
        <v>0.41212702271475882</v>
      </c>
      <c r="Y644" s="415">
        <f t="shared" si="363"/>
        <v>0.41398352661444238</v>
      </c>
      <c r="Z644" s="415">
        <f t="shared" si="363"/>
        <v>0.41556686571258689</v>
      </c>
      <c r="AA644" s="415">
        <f t="shared" si="363"/>
        <v>0.41693277923181071</v>
      </c>
      <c r="AB644" s="415">
        <f t="shared" si="363"/>
        <v>0.41812273451051379</v>
      </c>
      <c r="AC644" s="415">
        <f t="shared" si="363"/>
        <v>0.41916818660831057</v>
      </c>
      <c r="AD644" s="415">
        <f t="shared" si="363"/>
        <v>0.42002813336815104</v>
      </c>
      <c r="AE644" s="415">
        <f t="shared" si="363"/>
        <v>0.42079460396342672</v>
      </c>
      <c r="AF644" s="415">
        <f t="shared" si="363"/>
        <v>0.42148091536471738</v>
      </c>
      <c r="AG644" s="415">
        <f t="shared" si="363"/>
        <v>0.42341621175681593</v>
      </c>
      <c r="AH644" s="415">
        <f t="shared" si="363"/>
        <v>0.42705644474676191</v>
      </c>
      <c r="AI644" s="415">
        <f t="shared" si="363"/>
        <v>0.42705644474676191</v>
      </c>
      <c r="AJ644" s="415">
        <f t="shared" si="363"/>
        <v>0.42705644474676191</v>
      </c>
      <c r="AK644" s="415">
        <f t="shared" si="363"/>
        <v>0.42705644474676191</v>
      </c>
      <c r="AL644" s="415">
        <f t="shared" si="363"/>
        <v>0.42705644474676191</v>
      </c>
      <c r="AM644" s="415">
        <f t="shared" si="363"/>
        <v>0.42705644474676191</v>
      </c>
      <c r="AN644" s="415">
        <f t="shared" si="363"/>
        <v>0.42705644474676191</v>
      </c>
      <c r="AO644" s="415">
        <f t="shared" si="363"/>
        <v>0.42705644474676191</v>
      </c>
      <c r="AP644" s="415">
        <f t="shared" si="363"/>
        <v>0.42705644474676191</v>
      </c>
      <c r="AQ644" s="415">
        <f t="shared" si="363"/>
        <v>0.42705644474676191</v>
      </c>
      <c r="AR644" s="415">
        <f t="shared" si="363"/>
        <v>0.42705644474676191</v>
      </c>
      <c r="AS644" s="415">
        <f t="shared" si="363"/>
        <v>0.42705644474676191</v>
      </c>
      <c r="AT644" s="415">
        <f t="shared" si="363"/>
        <v>0.42705644474676191</v>
      </c>
      <c r="AU644" s="415">
        <f t="shared" si="363"/>
        <v>0.42705644474676191</v>
      </c>
      <c r="AV644" s="415">
        <f t="shared" si="363"/>
        <v>0.42705644474676191</v>
      </c>
      <c r="AW644" s="415">
        <f t="shared" si="363"/>
        <v>0.42705644474676191</v>
      </c>
      <c r="AX644" s="415">
        <f t="shared" si="363"/>
        <v>0.42705644474676191</v>
      </c>
      <c r="AY644" s="415">
        <f t="shared" si="363"/>
        <v>0.42705644474676191</v>
      </c>
      <c r="AZ644" s="415">
        <f t="shared" si="363"/>
        <v>0.42705644474676191</v>
      </c>
      <c r="BA644" s="415">
        <f t="shared" si="363"/>
        <v>0.42705644474676191</v>
      </c>
      <c r="BB644" s="415">
        <f t="shared" si="363"/>
        <v>0.42705644474676191</v>
      </c>
      <c r="BC644" s="415">
        <f t="shared" si="363"/>
        <v>0.42705644474676191</v>
      </c>
      <c r="BD644" s="415">
        <f t="shared" si="363"/>
        <v>0.42705644474676191</v>
      </c>
    </row>
    <row r="645" spans="1:56" ht="15" customHeight="1">
      <c r="C645" s="21"/>
      <c r="D645" s="22"/>
      <c r="E645" s="18"/>
      <c r="G645" s="415"/>
      <c r="H645" s="415"/>
      <c r="I645" s="415"/>
      <c r="J645" s="415"/>
      <c r="K645" s="415"/>
      <c r="L645" s="415"/>
      <c r="M645" s="415"/>
      <c r="N645" s="415"/>
      <c r="O645" s="415"/>
      <c r="P645" s="415"/>
      <c r="Q645" s="415"/>
      <c r="R645" s="415"/>
      <c r="S645" s="415"/>
      <c r="T645" s="415"/>
      <c r="U645" s="415"/>
      <c r="V645" s="415"/>
      <c r="W645" s="415"/>
      <c r="X645" s="415"/>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5"/>
      <c r="BB645" s="415"/>
      <c r="BC645" s="415"/>
      <c r="BD645" s="415"/>
    </row>
    <row r="646" spans="1:56" ht="15" customHeight="1">
      <c r="C646" s="21"/>
      <c r="D646" s="401" t="s">
        <v>623</v>
      </c>
      <c r="E646" s="18"/>
      <c r="G646" s="17"/>
      <c r="H646" s="17"/>
      <c r="I646" s="17"/>
      <c r="J646" s="17"/>
      <c r="K646" s="17"/>
      <c r="L646" s="17"/>
      <c r="M646" s="17"/>
      <c r="N646" s="17"/>
      <c r="O646" s="17"/>
      <c r="P646" s="17"/>
      <c r="Q646" s="17"/>
      <c r="R646" s="17"/>
      <c r="S646" s="17"/>
      <c r="T646" s="17"/>
      <c r="U646" s="17"/>
      <c r="V646" s="17"/>
      <c r="W646" s="17"/>
      <c r="X646" s="17"/>
      <c r="Y646" s="17"/>
      <c r="Z646" s="17"/>
      <c r="AA646" s="17"/>
      <c r="AB646" s="17"/>
      <c r="AC646" s="17"/>
      <c r="AD646" s="17"/>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row>
    <row r="647" spans="1:56" ht="15" customHeight="1">
      <c r="C647" s="21">
        <f>SUM(G647:BD647)</f>
        <v>7912.8437045306273</v>
      </c>
      <c r="D647" s="11" t="s">
        <v>624</v>
      </c>
      <c r="E647" s="18" t="s">
        <v>333</v>
      </c>
      <c r="F647" s="400"/>
      <c r="G647" s="17">
        <f t="shared" ref="G647:AL647" si="364">G634 * G631</f>
        <v>0</v>
      </c>
      <c r="H647" s="17">
        <f t="shared" si="364"/>
        <v>0</v>
      </c>
      <c r="I647" s="17">
        <f t="shared" si="364"/>
        <v>0</v>
      </c>
      <c r="J647" s="17">
        <f t="shared" si="364"/>
        <v>0</v>
      </c>
      <c r="K647" s="17">
        <f t="shared" si="364"/>
        <v>0</v>
      </c>
      <c r="L647" s="17">
        <f t="shared" si="364"/>
        <v>0</v>
      </c>
      <c r="M647" s="17">
        <f t="shared" si="364"/>
        <v>139.86997366834257</v>
      </c>
      <c r="N647" s="17">
        <f t="shared" si="364"/>
        <v>266.77856068772024</v>
      </c>
      <c r="O647" s="17">
        <f t="shared" si="364"/>
        <v>276.08713884317069</v>
      </c>
      <c r="P647" s="17">
        <f t="shared" si="364"/>
        <v>327.39560917408215</v>
      </c>
      <c r="Q647" s="17">
        <f t="shared" si="364"/>
        <v>333.94352135756384</v>
      </c>
      <c r="R647" s="17">
        <f t="shared" si="364"/>
        <v>340.62239178471492</v>
      </c>
      <c r="S647" s="17">
        <f t="shared" si="364"/>
        <v>347.43483962040938</v>
      </c>
      <c r="T647" s="17">
        <f t="shared" si="364"/>
        <v>354.38353641281748</v>
      </c>
      <c r="U647" s="17">
        <f t="shared" si="364"/>
        <v>361.47120714107382</v>
      </c>
      <c r="V647" s="17">
        <f t="shared" si="364"/>
        <v>368.70063128389523</v>
      </c>
      <c r="W647" s="17">
        <f t="shared" si="364"/>
        <v>376.0746439095733</v>
      </c>
      <c r="X647" s="17">
        <f t="shared" si="364"/>
        <v>383.59613678776481</v>
      </c>
      <c r="Y647" s="17">
        <f t="shared" si="364"/>
        <v>388.99584958419416</v>
      </c>
      <c r="Z647" s="17">
        <f t="shared" si="364"/>
        <v>396.77037489127611</v>
      </c>
      <c r="AA647" s="17">
        <f t="shared" si="364"/>
        <v>404.6934105466654</v>
      </c>
      <c r="AB647" s="17">
        <f t="shared" si="364"/>
        <v>412.76557211741851</v>
      </c>
      <c r="AC647" s="17">
        <f t="shared" si="364"/>
        <v>420.98614750715677</v>
      </c>
      <c r="AD647" s="17">
        <f t="shared" si="364"/>
        <v>425.48843927095157</v>
      </c>
      <c r="AE647" s="17">
        <f t="shared" si="364"/>
        <v>433.91302358989412</v>
      </c>
      <c r="AF647" s="17">
        <f t="shared" si="364"/>
        <v>442.44814854725649</v>
      </c>
      <c r="AG647" s="17">
        <f t="shared" si="364"/>
        <v>484.48047412544304</v>
      </c>
      <c r="AH647" s="17">
        <f t="shared" si="364"/>
        <v>225.9440736792433</v>
      </c>
      <c r="AI647" s="17">
        <f t="shared" si="364"/>
        <v>0</v>
      </c>
      <c r="AJ647" s="17">
        <f t="shared" si="364"/>
        <v>0</v>
      </c>
      <c r="AK647" s="17">
        <f t="shared" si="364"/>
        <v>0</v>
      </c>
      <c r="AL647" s="17">
        <f t="shared" si="364"/>
        <v>0</v>
      </c>
      <c r="AM647" s="17">
        <f t="shared" ref="AM647:BD647" si="365">AM634 * AM631</f>
        <v>0</v>
      </c>
      <c r="AN647" s="17">
        <f t="shared" si="365"/>
        <v>0</v>
      </c>
      <c r="AO647" s="17">
        <f t="shared" si="365"/>
        <v>0</v>
      </c>
      <c r="AP647" s="17">
        <f t="shared" si="365"/>
        <v>0</v>
      </c>
      <c r="AQ647" s="17">
        <f t="shared" si="365"/>
        <v>0</v>
      </c>
      <c r="AR647" s="17">
        <f t="shared" si="365"/>
        <v>0</v>
      </c>
      <c r="AS647" s="17">
        <f t="shared" si="365"/>
        <v>0</v>
      </c>
      <c r="AT647" s="17">
        <f t="shared" si="365"/>
        <v>0</v>
      </c>
      <c r="AU647" s="17">
        <f t="shared" si="365"/>
        <v>0</v>
      </c>
      <c r="AV647" s="17">
        <f t="shared" si="365"/>
        <v>0</v>
      </c>
      <c r="AW647" s="17">
        <f t="shared" si="365"/>
        <v>0</v>
      </c>
      <c r="AX647" s="17">
        <f t="shared" si="365"/>
        <v>0</v>
      </c>
      <c r="AY647" s="17">
        <f t="shared" si="365"/>
        <v>0</v>
      </c>
      <c r="AZ647" s="17">
        <f t="shared" si="365"/>
        <v>0</v>
      </c>
      <c r="BA647" s="17">
        <f t="shared" si="365"/>
        <v>0</v>
      </c>
      <c r="BB647" s="17">
        <f t="shared" si="365"/>
        <v>0</v>
      </c>
      <c r="BC647" s="17">
        <f t="shared" si="365"/>
        <v>0</v>
      </c>
      <c r="BD647" s="17">
        <f t="shared" si="365"/>
        <v>0</v>
      </c>
    </row>
    <row r="648" spans="1:56" ht="15" customHeight="1">
      <c r="C648" s="21">
        <f>SUM(G648:BD648)</f>
        <v>258265.80171151922</v>
      </c>
      <c r="D648" s="22" t="s">
        <v>625</v>
      </c>
      <c r="E648" s="18" t="s">
        <v>333</v>
      </c>
      <c r="G648" s="17">
        <f>SUM($G$647:G647)</f>
        <v>0</v>
      </c>
      <c r="H648" s="17">
        <f>SUM($G$647:H647)</f>
        <v>0</v>
      </c>
      <c r="I648" s="17">
        <f>SUM($G$647:I647)</f>
        <v>0</v>
      </c>
      <c r="J648" s="17">
        <f>SUM($G$647:J647)</f>
        <v>0</v>
      </c>
      <c r="K648" s="17">
        <f>SUM($G$647:K647)</f>
        <v>0</v>
      </c>
      <c r="L648" s="17">
        <f>SUM($G$647:L647)</f>
        <v>0</v>
      </c>
      <c r="M648" s="17">
        <f>SUM($G$647:M647)</f>
        <v>139.86997366834257</v>
      </c>
      <c r="N648" s="17">
        <f>SUM($G$647:N647)</f>
        <v>406.64853435606278</v>
      </c>
      <c r="O648" s="17">
        <f>SUM($G$647:O647)</f>
        <v>682.73567319923347</v>
      </c>
      <c r="P648" s="17">
        <f>SUM($G$647:P647)</f>
        <v>1010.1312823733156</v>
      </c>
      <c r="Q648" s="17">
        <f>SUM($G$647:Q647)</f>
        <v>1344.0748037308795</v>
      </c>
      <c r="R648" s="17">
        <f>SUM($G$647:R647)</f>
        <v>1684.6971955155943</v>
      </c>
      <c r="S648" s="17">
        <f>SUM($G$647:S647)</f>
        <v>2032.1320351360037</v>
      </c>
      <c r="T648" s="17">
        <f>SUM($G$647:T647)</f>
        <v>2386.5155715488213</v>
      </c>
      <c r="U648" s="17">
        <f>SUM($G$647:U647)</f>
        <v>2747.9867786898949</v>
      </c>
      <c r="V648" s="17">
        <f>SUM($G$647:V647)</f>
        <v>3116.6874099737902</v>
      </c>
      <c r="W648" s="17">
        <f>SUM($G$647:W647)</f>
        <v>3492.7620538833635</v>
      </c>
      <c r="X648" s="17">
        <f>SUM($G$647:X647)</f>
        <v>3876.3581906711283</v>
      </c>
      <c r="Y648" s="17">
        <f>SUM($G$647:Y647)</f>
        <v>4265.3540402553226</v>
      </c>
      <c r="Z648" s="17">
        <f>SUM($G$647:Z647)</f>
        <v>4662.1244151465989</v>
      </c>
      <c r="AA648" s="17">
        <f>SUM($G$647:AA647)</f>
        <v>5066.8178256932642</v>
      </c>
      <c r="AB648" s="17">
        <f>SUM($G$647:AB647)</f>
        <v>5479.583397810683</v>
      </c>
      <c r="AC648" s="17">
        <f>SUM($G$647:AC647)</f>
        <v>5900.5695453178396</v>
      </c>
      <c r="AD648" s="17">
        <f>SUM($G$647:AD647)</f>
        <v>6326.0579845887914</v>
      </c>
      <c r="AE648" s="17">
        <f>SUM($G$647:AE647)</f>
        <v>6759.9710081786852</v>
      </c>
      <c r="AF648" s="17">
        <f>SUM($G$647:AF647)</f>
        <v>7202.4191567259413</v>
      </c>
      <c r="AG648" s="17">
        <f>SUM($G$647:AG647)</f>
        <v>7686.8996308513842</v>
      </c>
      <c r="AH648" s="17">
        <f>SUM($G$647:AH647)</f>
        <v>7912.8437045306273</v>
      </c>
      <c r="AI648" s="17">
        <f>SUM($G$647:AI647)</f>
        <v>7912.8437045306273</v>
      </c>
      <c r="AJ648" s="17">
        <f>SUM($G$647:AJ647)</f>
        <v>7912.8437045306273</v>
      </c>
      <c r="AK648" s="17">
        <f>SUM($G$647:AK647)</f>
        <v>7912.8437045306273</v>
      </c>
      <c r="AL648" s="17">
        <f>SUM($G$647:AL647)</f>
        <v>7912.8437045306273</v>
      </c>
      <c r="AM648" s="17">
        <f>SUM($G$647:AM647)</f>
        <v>7912.8437045306273</v>
      </c>
      <c r="AN648" s="17">
        <f>SUM($G$647:AN647)</f>
        <v>7912.8437045306273</v>
      </c>
      <c r="AO648" s="17">
        <f>SUM($G$647:AO647)</f>
        <v>7912.8437045306273</v>
      </c>
      <c r="AP648" s="17">
        <f>SUM($G$647:AP647)</f>
        <v>7912.8437045306273</v>
      </c>
      <c r="AQ648" s="17">
        <f>SUM($G$647:AQ647)</f>
        <v>7912.8437045306273</v>
      </c>
      <c r="AR648" s="17">
        <f>SUM($G$647:AR647)</f>
        <v>7912.8437045306273</v>
      </c>
      <c r="AS648" s="17">
        <f>SUM($G$647:AS647)</f>
        <v>7912.8437045306273</v>
      </c>
      <c r="AT648" s="17">
        <f>SUM($G$647:AT647)</f>
        <v>7912.8437045306273</v>
      </c>
      <c r="AU648" s="17">
        <f>SUM($G$647:AU647)</f>
        <v>7912.8437045306273</v>
      </c>
      <c r="AV648" s="17">
        <f>SUM($G$647:AV647)</f>
        <v>7912.8437045306273</v>
      </c>
      <c r="AW648" s="17">
        <f>SUM($G$647:AW647)</f>
        <v>7912.8437045306273</v>
      </c>
      <c r="AX648" s="17">
        <f>SUM($G$647:AX647)</f>
        <v>7912.8437045306273</v>
      </c>
      <c r="AY648" s="17">
        <f>SUM($G$647:AY647)</f>
        <v>7912.8437045306273</v>
      </c>
      <c r="AZ648" s="17">
        <f>SUM($G$647:AZ647)</f>
        <v>7912.8437045306273</v>
      </c>
      <c r="BA648" s="17">
        <f>SUM($G$647:BA647)</f>
        <v>7912.8437045306273</v>
      </c>
      <c r="BB648" s="17">
        <f>SUM($G$647:BB647)</f>
        <v>7912.8437045306273</v>
      </c>
      <c r="BC648" s="17">
        <f>SUM($G$647:BC647)</f>
        <v>7912.8437045306273</v>
      </c>
      <c r="BD648" s="17">
        <f>SUM($G$647:BD647)</f>
        <v>7912.8437045306273</v>
      </c>
    </row>
    <row r="649" spans="1:56" ht="15" customHeight="1">
      <c r="C649" s="21"/>
      <c r="D649" s="22"/>
      <c r="E649" s="18"/>
      <c r="G649" s="17"/>
      <c r="H649" s="17"/>
      <c r="I649" s="17"/>
      <c r="J649" s="17"/>
      <c r="K649" s="17"/>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row>
    <row r="650" spans="1:56" ht="15" customHeight="1">
      <c r="C650" s="21">
        <f t="shared" ref="C650" si="366">SUM(G650:BD650)</f>
        <v>4475.8890442517859</v>
      </c>
      <c r="D650" s="22" t="s">
        <v>626</v>
      </c>
      <c r="E650" s="18" t="s">
        <v>333</v>
      </c>
      <c r="G650" s="17">
        <f>G637 * G$631</f>
        <v>0</v>
      </c>
      <c r="H650" s="17">
        <f t="shared" ref="H650:BD650" si="367">H637 * H$631</f>
        <v>0</v>
      </c>
      <c r="I650" s="17">
        <f t="shared" si="367"/>
        <v>0</v>
      </c>
      <c r="J650" s="17">
        <f t="shared" si="367"/>
        <v>0</v>
      </c>
      <c r="K650" s="17">
        <f t="shared" si="367"/>
        <v>0</v>
      </c>
      <c r="L650" s="17">
        <f t="shared" si="367"/>
        <v>0</v>
      </c>
      <c r="M650" s="17">
        <f t="shared" si="367"/>
        <v>116.16067358343437</v>
      </c>
      <c r="N650" s="17">
        <f t="shared" si="367"/>
        <v>147.73392710086779</v>
      </c>
      <c r="O650" s="17">
        <f t="shared" si="367"/>
        <v>150.61479945847225</v>
      </c>
      <c r="P650" s="17">
        <f t="shared" si="367"/>
        <v>185.40850040223782</v>
      </c>
      <c r="Q650" s="17">
        <f t="shared" si="367"/>
        <v>189.11667041028258</v>
      </c>
      <c r="R650" s="17">
        <f t="shared" si="367"/>
        <v>192.89900381848813</v>
      </c>
      <c r="S650" s="17">
        <f t="shared" si="367"/>
        <v>196.756983894858</v>
      </c>
      <c r="T650" s="17">
        <f t="shared" si="367"/>
        <v>200.69212357275512</v>
      </c>
      <c r="U650" s="17">
        <f t="shared" si="367"/>
        <v>204.70596604421021</v>
      </c>
      <c r="V650" s="17">
        <f t="shared" si="367"/>
        <v>208.80008536509439</v>
      </c>
      <c r="W650" s="17">
        <f t="shared" si="367"/>
        <v>212.97608707239635</v>
      </c>
      <c r="X650" s="17">
        <f t="shared" si="367"/>
        <v>217.23560881384429</v>
      </c>
      <c r="Y650" s="17">
        <f t="shared" si="367"/>
        <v>220.51056455068652</v>
      </c>
      <c r="Z650" s="17">
        <f t="shared" si="367"/>
        <v>224.91823743658969</v>
      </c>
      <c r="AA650" s="17">
        <f t="shared" si="367"/>
        <v>229.4107775219025</v>
      </c>
      <c r="AB650" s="17">
        <f t="shared" si="367"/>
        <v>233.98877358614371</v>
      </c>
      <c r="AC650" s="17">
        <f t="shared" si="367"/>
        <v>238.65219532429771</v>
      </c>
      <c r="AD650" s="17">
        <f t="shared" si="367"/>
        <v>241.58091262825087</v>
      </c>
      <c r="AE650" s="17">
        <f t="shared" si="367"/>
        <v>246.37242603399878</v>
      </c>
      <c r="AF650" s="17">
        <f t="shared" si="367"/>
        <v>251.23248635448252</v>
      </c>
      <c r="AG650" s="17">
        <f t="shared" si="367"/>
        <v>265.14318389410641</v>
      </c>
      <c r="AH650" s="17">
        <f t="shared" si="367"/>
        <v>100.97905738438547</v>
      </c>
      <c r="AI650" s="17">
        <f t="shared" si="367"/>
        <v>0</v>
      </c>
      <c r="AJ650" s="17">
        <f t="shared" si="367"/>
        <v>0</v>
      </c>
      <c r="AK650" s="17">
        <f t="shared" si="367"/>
        <v>0</v>
      </c>
      <c r="AL650" s="17">
        <f t="shared" si="367"/>
        <v>0</v>
      </c>
      <c r="AM650" s="17">
        <f t="shared" si="367"/>
        <v>0</v>
      </c>
      <c r="AN650" s="17">
        <f t="shared" si="367"/>
        <v>0</v>
      </c>
      <c r="AO650" s="17">
        <f t="shared" si="367"/>
        <v>0</v>
      </c>
      <c r="AP650" s="17">
        <f t="shared" si="367"/>
        <v>0</v>
      </c>
      <c r="AQ650" s="17">
        <f t="shared" si="367"/>
        <v>0</v>
      </c>
      <c r="AR650" s="17">
        <f t="shared" si="367"/>
        <v>0</v>
      </c>
      <c r="AS650" s="17">
        <f t="shared" si="367"/>
        <v>0</v>
      </c>
      <c r="AT650" s="17">
        <f t="shared" si="367"/>
        <v>0</v>
      </c>
      <c r="AU650" s="17">
        <f t="shared" si="367"/>
        <v>0</v>
      </c>
      <c r="AV650" s="17">
        <f t="shared" si="367"/>
        <v>0</v>
      </c>
      <c r="AW650" s="17">
        <f t="shared" si="367"/>
        <v>0</v>
      </c>
      <c r="AX650" s="17">
        <f t="shared" si="367"/>
        <v>0</v>
      </c>
      <c r="AY650" s="17">
        <f t="shared" si="367"/>
        <v>0</v>
      </c>
      <c r="AZ650" s="17">
        <f t="shared" si="367"/>
        <v>0</v>
      </c>
      <c r="BA650" s="17">
        <f t="shared" si="367"/>
        <v>0</v>
      </c>
      <c r="BB650" s="17">
        <f t="shared" si="367"/>
        <v>0</v>
      </c>
      <c r="BC650" s="17">
        <f t="shared" si="367"/>
        <v>0</v>
      </c>
      <c r="BD650" s="17">
        <f t="shared" si="367"/>
        <v>0</v>
      </c>
    </row>
    <row r="651" spans="1:56" ht="15" customHeight="1">
      <c r="C651" s="21"/>
      <c r="D651" s="22" t="s">
        <v>627</v>
      </c>
      <c r="E651" s="18" t="s">
        <v>30</v>
      </c>
      <c r="G651" s="6" t="str">
        <f>IFERROR(G650 / G647, "-")</f>
        <v>-</v>
      </c>
      <c r="H651" s="6" t="str">
        <f t="shared" ref="H651:BD651" si="368">IFERROR(H650 / H647, "-")</f>
        <v>-</v>
      </c>
      <c r="I651" s="6" t="str">
        <f t="shared" si="368"/>
        <v>-</v>
      </c>
      <c r="J651" s="6" t="str">
        <f t="shared" si="368"/>
        <v>-</v>
      </c>
      <c r="K651" s="6" t="str">
        <f t="shared" si="368"/>
        <v>-</v>
      </c>
      <c r="L651" s="6" t="str">
        <f t="shared" si="368"/>
        <v>-</v>
      </c>
      <c r="M651" s="6">
        <f t="shared" si="368"/>
        <v>0.83049042290429465</v>
      </c>
      <c r="N651" s="6">
        <f t="shared" si="368"/>
        <v>0.55376986336544076</v>
      </c>
      <c r="O651" s="6">
        <f t="shared" si="368"/>
        <v>0.54553355904067624</v>
      </c>
      <c r="P651" s="6">
        <f t="shared" si="368"/>
        <v>0.56631333837972386</v>
      </c>
      <c r="Q651" s="6">
        <f t="shared" si="368"/>
        <v>0.56631333837972386</v>
      </c>
      <c r="R651" s="6">
        <f t="shared" si="368"/>
        <v>0.56631333837972386</v>
      </c>
      <c r="S651" s="6">
        <f t="shared" si="368"/>
        <v>0.56631333837972386</v>
      </c>
      <c r="T651" s="6">
        <f t="shared" si="368"/>
        <v>0.56631333837972397</v>
      </c>
      <c r="U651" s="6">
        <f t="shared" si="368"/>
        <v>0.56631333837972386</v>
      </c>
      <c r="V651" s="6">
        <f t="shared" si="368"/>
        <v>0.56631333837972397</v>
      </c>
      <c r="W651" s="6">
        <f t="shared" si="368"/>
        <v>0.56631333837972386</v>
      </c>
      <c r="X651" s="6">
        <f t="shared" si="368"/>
        <v>0.56631333837972386</v>
      </c>
      <c r="Y651" s="6">
        <f t="shared" si="368"/>
        <v>0.56687125270461081</v>
      </c>
      <c r="Z651" s="6">
        <f t="shared" si="368"/>
        <v>0.56687255821007876</v>
      </c>
      <c r="AA651" s="6">
        <f t="shared" si="368"/>
        <v>0.56687549523480329</v>
      </c>
      <c r="AB651" s="6">
        <f t="shared" si="368"/>
        <v>0.56688054768187268</v>
      </c>
      <c r="AC651" s="6">
        <f t="shared" si="368"/>
        <v>0.56688847539868426</v>
      </c>
      <c r="AD651" s="6">
        <f t="shared" si="368"/>
        <v>0.56777315276105977</v>
      </c>
      <c r="AE651" s="6">
        <f t="shared" si="368"/>
        <v>0.56779219023131622</v>
      </c>
      <c r="AF651" s="6">
        <f t="shared" si="368"/>
        <v>0.56782356798052946</v>
      </c>
      <c r="AG651" s="6">
        <f t="shared" si="368"/>
        <v>0.54727320925106016</v>
      </c>
      <c r="AH651" s="6">
        <f t="shared" si="368"/>
        <v>0.44692058410763291</v>
      </c>
      <c r="AI651" s="6" t="str">
        <f t="shared" si="368"/>
        <v>-</v>
      </c>
      <c r="AJ651" s="6" t="str">
        <f t="shared" si="368"/>
        <v>-</v>
      </c>
      <c r="AK651" s="6" t="str">
        <f t="shared" si="368"/>
        <v>-</v>
      </c>
      <c r="AL651" s="6" t="str">
        <f t="shared" si="368"/>
        <v>-</v>
      </c>
      <c r="AM651" s="6" t="str">
        <f t="shared" si="368"/>
        <v>-</v>
      </c>
      <c r="AN651" s="6" t="str">
        <f t="shared" si="368"/>
        <v>-</v>
      </c>
      <c r="AO651" s="6" t="str">
        <f t="shared" si="368"/>
        <v>-</v>
      </c>
      <c r="AP651" s="6" t="str">
        <f t="shared" si="368"/>
        <v>-</v>
      </c>
      <c r="AQ651" s="6" t="str">
        <f t="shared" si="368"/>
        <v>-</v>
      </c>
      <c r="AR651" s="6" t="str">
        <f t="shared" si="368"/>
        <v>-</v>
      </c>
      <c r="AS651" s="6" t="str">
        <f t="shared" si="368"/>
        <v>-</v>
      </c>
      <c r="AT651" s="6" t="str">
        <f t="shared" si="368"/>
        <v>-</v>
      </c>
      <c r="AU651" s="6" t="str">
        <f t="shared" si="368"/>
        <v>-</v>
      </c>
      <c r="AV651" s="6" t="str">
        <f t="shared" si="368"/>
        <v>-</v>
      </c>
      <c r="AW651" s="6" t="str">
        <f t="shared" si="368"/>
        <v>-</v>
      </c>
      <c r="AX651" s="6" t="str">
        <f t="shared" si="368"/>
        <v>-</v>
      </c>
      <c r="AY651" s="6" t="str">
        <f t="shared" si="368"/>
        <v>-</v>
      </c>
      <c r="AZ651" s="6" t="str">
        <f t="shared" si="368"/>
        <v>-</v>
      </c>
      <c r="BA651" s="6" t="str">
        <f t="shared" si="368"/>
        <v>-</v>
      </c>
      <c r="BB651" s="6" t="str">
        <f t="shared" si="368"/>
        <v>-</v>
      </c>
      <c r="BC651" s="6" t="str">
        <f t="shared" si="368"/>
        <v>-</v>
      </c>
      <c r="BD651" s="6" t="str">
        <f t="shared" si="368"/>
        <v>-</v>
      </c>
    </row>
    <row r="652" spans="1:56" ht="15" customHeight="1">
      <c r="A652" s="417" t="str">
        <f>IF(Inputs!E98 = 1, ROUND((C650 + C652) - C642, 5) = 0, "-")</f>
        <v>-</v>
      </c>
      <c r="C652" s="21">
        <f t="shared" ref="C652" si="369">SUM(G652:BD652)</f>
        <v>3436.9546602788419</v>
      </c>
      <c r="D652" s="22" t="s">
        <v>628</v>
      </c>
      <c r="E652" s="18" t="s">
        <v>333</v>
      </c>
      <c r="G652" s="17">
        <f>G639 * G$631</f>
        <v>0</v>
      </c>
      <c r="H652" s="17">
        <f t="shared" ref="H652:BD652" si="370">H639 * H$631</f>
        <v>0</v>
      </c>
      <c r="I652" s="17">
        <f t="shared" si="370"/>
        <v>0</v>
      </c>
      <c r="J652" s="17">
        <f t="shared" si="370"/>
        <v>0</v>
      </c>
      <c r="K652" s="17">
        <f t="shared" si="370"/>
        <v>0</v>
      </c>
      <c r="L652" s="17">
        <f t="shared" si="370"/>
        <v>0</v>
      </c>
      <c r="M652" s="17">
        <f t="shared" si="370"/>
        <v>23.709300084908186</v>
      </c>
      <c r="N652" s="17">
        <f t="shared" si="370"/>
        <v>119.04463358685241</v>
      </c>
      <c r="O652" s="17">
        <f t="shared" si="370"/>
        <v>125.47233938469844</v>
      </c>
      <c r="P652" s="17">
        <f t="shared" si="370"/>
        <v>141.98710877184433</v>
      </c>
      <c r="Q652" s="17">
        <f t="shared" si="370"/>
        <v>144.82685094728126</v>
      </c>
      <c r="R652" s="17">
        <f t="shared" si="370"/>
        <v>147.72338796622674</v>
      </c>
      <c r="S652" s="17">
        <f t="shared" si="370"/>
        <v>150.67785572555138</v>
      </c>
      <c r="T652" s="17">
        <f t="shared" si="370"/>
        <v>153.69141284006238</v>
      </c>
      <c r="U652" s="17">
        <f t="shared" si="370"/>
        <v>156.76524109686363</v>
      </c>
      <c r="V652" s="17">
        <f t="shared" si="370"/>
        <v>159.90054591880084</v>
      </c>
      <c r="W652" s="17">
        <f t="shared" si="370"/>
        <v>163.09855683717694</v>
      </c>
      <c r="X652" s="17">
        <f t="shared" si="370"/>
        <v>166.36052797392051</v>
      </c>
      <c r="Y652" s="17">
        <f t="shared" si="370"/>
        <v>168.48528503350764</v>
      </c>
      <c r="Z652" s="17">
        <f t="shared" si="370"/>
        <v>171.85213745468644</v>
      </c>
      <c r="AA652" s="17">
        <f t="shared" si="370"/>
        <v>175.28263302476293</v>
      </c>
      <c r="AB652" s="17">
        <f t="shared" si="370"/>
        <v>178.77679853127481</v>
      </c>
      <c r="AC652" s="17">
        <f t="shared" si="370"/>
        <v>182.33395218285906</v>
      </c>
      <c r="AD652" s="17">
        <f t="shared" si="370"/>
        <v>183.9075266427007</v>
      </c>
      <c r="AE652" s="17">
        <f t="shared" si="370"/>
        <v>187.54059755589535</v>
      </c>
      <c r="AF652" s="17">
        <f t="shared" si="370"/>
        <v>191.21566219277398</v>
      </c>
      <c r="AG652" s="17">
        <f t="shared" si="370"/>
        <v>219.33729023133662</v>
      </c>
      <c r="AH652" s="17">
        <f t="shared" si="370"/>
        <v>124.96501629485783</v>
      </c>
      <c r="AI652" s="17">
        <f t="shared" si="370"/>
        <v>0</v>
      </c>
      <c r="AJ652" s="17">
        <f t="shared" si="370"/>
        <v>0</v>
      </c>
      <c r="AK652" s="17">
        <f t="shared" si="370"/>
        <v>0</v>
      </c>
      <c r="AL652" s="17">
        <f t="shared" si="370"/>
        <v>0</v>
      </c>
      <c r="AM652" s="17">
        <f t="shared" si="370"/>
        <v>0</v>
      </c>
      <c r="AN652" s="17">
        <f t="shared" si="370"/>
        <v>0</v>
      </c>
      <c r="AO652" s="17">
        <f t="shared" si="370"/>
        <v>0</v>
      </c>
      <c r="AP652" s="17">
        <f t="shared" si="370"/>
        <v>0</v>
      </c>
      <c r="AQ652" s="17">
        <f t="shared" si="370"/>
        <v>0</v>
      </c>
      <c r="AR652" s="17">
        <f t="shared" si="370"/>
        <v>0</v>
      </c>
      <c r="AS652" s="17">
        <f t="shared" si="370"/>
        <v>0</v>
      </c>
      <c r="AT652" s="17">
        <f t="shared" si="370"/>
        <v>0</v>
      </c>
      <c r="AU652" s="17">
        <f t="shared" si="370"/>
        <v>0</v>
      </c>
      <c r="AV652" s="17">
        <f t="shared" si="370"/>
        <v>0</v>
      </c>
      <c r="AW652" s="17">
        <f t="shared" si="370"/>
        <v>0</v>
      </c>
      <c r="AX652" s="17">
        <f t="shared" si="370"/>
        <v>0</v>
      </c>
      <c r="AY652" s="17">
        <f t="shared" si="370"/>
        <v>0</v>
      </c>
      <c r="AZ652" s="17">
        <f t="shared" si="370"/>
        <v>0</v>
      </c>
      <c r="BA652" s="17">
        <f t="shared" si="370"/>
        <v>0</v>
      </c>
      <c r="BB652" s="17">
        <f t="shared" si="370"/>
        <v>0</v>
      </c>
      <c r="BC652" s="17">
        <f t="shared" si="370"/>
        <v>0</v>
      </c>
      <c r="BD652" s="17">
        <f t="shared" si="370"/>
        <v>0</v>
      </c>
    </row>
    <row r="653" spans="1:56" ht="15" customHeight="1">
      <c r="C653" s="21"/>
      <c r="D653" s="22" t="s">
        <v>629</v>
      </c>
      <c r="E653" s="18" t="s">
        <v>30</v>
      </c>
      <c r="G653" s="6" t="str">
        <f>IFERROR(G652 / G647, "-")</f>
        <v>-</v>
      </c>
      <c r="H653" s="6" t="str">
        <f t="shared" ref="H653:BD653" si="371">IFERROR(H652 / H647, "-")</f>
        <v>-</v>
      </c>
      <c r="I653" s="6" t="str">
        <f t="shared" si="371"/>
        <v>-</v>
      </c>
      <c r="J653" s="6" t="str">
        <f t="shared" si="371"/>
        <v>-</v>
      </c>
      <c r="K653" s="6" t="str">
        <f t="shared" si="371"/>
        <v>-</v>
      </c>
      <c r="L653" s="6" t="str">
        <f t="shared" si="371"/>
        <v>-</v>
      </c>
      <c r="M653" s="6">
        <f t="shared" si="371"/>
        <v>0.1695095770957053</v>
      </c>
      <c r="N653" s="6">
        <f t="shared" si="371"/>
        <v>0.44623013663455907</v>
      </c>
      <c r="O653" s="6">
        <f t="shared" si="371"/>
        <v>0.4544664409593237</v>
      </c>
      <c r="P653" s="6">
        <f t="shared" si="371"/>
        <v>0.43368666162027614</v>
      </c>
      <c r="Q653" s="6">
        <f t="shared" si="371"/>
        <v>0.43368666162027619</v>
      </c>
      <c r="R653" s="6">
        <f t="shared" si="371"/>
        <v>0.43368666162027597</v>
      </c>
      <c r="S653" s="6">
        <f t="shared" si="371"/>
        <v>0.43368666162027614</v>
      </c>
      <c r="T653" s="6">
        <f t="shared" si="371"/>
        <v>0.43368666162027614</v>
      </c>
      <c r="U653" s="6">
        <f t="shared" si="371"/>
        <v>0.43368666162027614</v>
      </c>
      <c r="V653" s="6">
        <f t="shared" si="371"/>
        <v>0.43368666162027608</v>
      </c>
      <c r="W653" s="6">
        <f t="shared" si="371"/>
        <v>0.43368666162027608</v>
      </c>
      <c r="X653" s="6">
        <f t="shared" si="371"/>
        <v>0.43368666162027614</v>
      </c>
      <c r="Y653" s="6">
        <f t="shared" si="371"/>
        <v>0.43312874729538914</v>
      </c>
      <c r="Z653" s="6">
        <f t="shared" si="371"/>
        <v>0.4331274417899213</v>
      </c>
      <c r="AA653" s="6">
        <f t="shared" si="371"/>
        <v>0.43312450476519682</v>
      </c>
      <c r="AB653" s="6">
        <f t="shared" si="371"/>
        <v>0.43311945231812737</v>
      </c>
      <c r="AC653" s="6">
        <f t="shared" si="371"/>
        <v>0.43311152460131574</v>
      </c>
      <c r="AD653" s="6">
        <f t="shared" si="371"/>
        <v>0.43222684723894028</v>
      </c>
      <c r="AE653" s="6">
        <f t="shared" si="371"/>
        <v>0.43220780976868378</v>
      </c>
      <c r="AF653" s="6">
        <f t="shared" si="371"/>
        <v>0.43217643201947048</v>
      </c>
      <c r="AG653" s="6">
        <f t="shared" si="371"/>
        <v>0.45272679074893984</v>
      </c>
      <c r="AH653" s="6">
        <f t="shared" si="371"/>
        <v>0.55307941589236709</v>
      </c>
      <c r="AI653" s="6" t="str">
        <f t="shared" si="371"/>
        <v>-</v>
      </c>
      <c r="AJ653" s="6" t="str">
        <f t="shared" si="371"/>
        <v>-</v>
      </c>
      <c r="AK653" s="6" t="str">
        <f t="shared" si="371"/>
        <v>-</v>
      </c>
      <c r="AL653" s="6" t="str">
        <f t="shared" si="371"/>
        <v>-</v>
      </c>
      <c r="AM653" s="6" t="str">
        <f t="shared" si="371"/>
        <v>-</v>
      </c>
      <c r="AN653" s="6" t="str">
        <f t="shared" si="371"/>
        <v>-</v>
      </c>
      <c r="AO653" s="6" t="str">
        <f t="shared" si="371"/>
        <v>-</v>
      </c>
      <c r="AP653" s="6" t="str">
        <f t="shared" si="371"/>
        <v>-</v>
      </c>
      <c r="AQ653" s="6" t="str">
        <f t="shared" si="371"/>
        <v>-</v>
      </c>
      <c r="AR653" s="6" t="str">
        <f t="shared" si="371"/>
        <v>-</v>
      </c>
      <c r="AS653" s="6" t="str">
        <f t="shared" si="371"/>
        <v>-</v>
      </c>
      <c r="AT653" s="6" t="str">
        <f t="shared" si="371"/>
        <v>-</v>
      </c>
      <c r="AU653" s="6" t="str">
        <f t="shared" si="371"/>
        <v>-</v>
      </c>
      <c r="AV653" s="6" t="str">
        <f t="shared" si="371"/>
        <v>-</v>
      </c>
      <c r="AW653" s="6" t="str">
        <f t="shared" si="371"/>
        <v>-</v>
      </c>
      <c r="AX653" s="6" t="str">
        <f t="shared" si="371"/>
        <v>-</v>
      </c>
      <c r="AY653" s="6" t="str">
        <f t="shared" si="371"/>
        <v>-</v>
      </c>
      <c r="AZ653" s="6" t="str">
        <f t="shared" si="371"/>
        <v>-</v>
      </c>
      <c r="BA653" s="6" t="str">
        <f t="shared" si="371"/>
        <v>-</v>
      </c>
      <c r="BB653" s="6" t="str">
        <f t="shared" si="371"/>
        <v>-</v>
      </c>
      <c r="BC653" s="6" t="str">
        <f t="shared" si="371"/>
        <v>-</v>
      </c>
      <c r="BD653" s="6" t="str">
        <f t="shared" si="371"/>
        <v>-</v>
      </c>
    </row>
    <row r="654" spans="1:56" ht="15" customHeight="1">
      <c r="C654" s="21"/>
      <c r="D654" s="22" t="s">
        <v>630</v>
      </c>
      <c r="E654" s="18" t="s">
        <v>333</v>
      </c>
      <c r="G654" s="17">
        <f>SUM($G$650:G650)</f>
        <v>0</v>
      </c>
      <c r="H654" s="17">
        <f>SUM($G$650:H650)</f>
        <v>0</v>
      </c>
      <c r="I654" s="17">
        <f>SUM($G$650:I650)</f>
        <v>0</v>
      </c>
      <c r="J654" s="17">
        <f>SUM($G$650:J650)</f>
        <v>0</v>
      </c>
      <c r="K654" s="17">
        <f>SUM($G$650:K650)</f>
        <v>0</v>
      </c>
      <c r="L654" s="17">
        <f>SUM($G$650:L650)</f>
        <v>0</v>
      </c>
      <c r="M654" s="17">
        <f>SUM($G$650:M650)</f>
        <v>116.16067358343437</v>
      </c>
      <c r="N654" s="17">
        <f>SUM($G$650:N650)</f>
        <v>263.89460068430219</v>
      </c>
      <c r="O654" s="17">
        <f>SUM($G$650:O650)</f>
        <v>414.50940014277444</v>
      </c>
      <c r="P654" s="17">
        <f>SUM($G$650:P650)</f>
        <v>599.91790054501223</v>
      </c>
      <c r="Q654" s="17">
        <f>SUM($G$650:Q650)</f>
        <v>789.03457095529484</v>
      </c>
      <c r="R654" s="17">
        <f>SUM($G$650:R650)</f>
        <v>981.93357477378299</v>
      </c>
      <c r="S654" s="17">
        <f>SUM($G$650:S650)</f>
        <v>1178.690558668641</v>
      </c>
      <c r="T654" s="17">
        <f>SUM($G$650:T650)</f>
        <v>1379.3826822413962</v>
      </c>
      <c r="U654" s="17">
        <f>SUM($G$650:U650)</f>
        <v>1584.0886482856065</v>
      </c>
      <c r="V654" s="17">
        <f>SUM($G$650:V650)</f>
        <v>1792.8887336507009</v>
      </c>
      <c r="W654" s="17">
        <f>SUM($G$650:W650)</f>
        <v>2005.8648207230972</v>
      </c>
      <c r="X654" s="17">
        <f>SUM($G$650:X650)</f>
        <v>2223.1004295369416</v>
      </c>
      <c r="Y654" s="17">
        <f>SUM($G$650:Y650)</f>
        <v>2443.6109940876281</v>
      </c>
      <c r="Z654" s="17">
        <f>SUM($G$650:Z650)</f>
        <v>2668.5292315242177</v>
      </c>
      <c r="AA654" s="17">
        <f>SUM($G$650:AA650)</f>
        <v>2897.9400090461204</v>
      </c>
      <c r="AB654" s="17">
        <f>SUM($G$650:AB650)</f>
        <v>3131.9287826322643</v>
      </c>
      <c r="AC654" s="17">
        <f>SUM($G$650:AC650)</f>
        <v>3370.580977956562</v>
      </c>
      <c r="AD654" s="17">
        <f>SUM($G$650:AD650)</f>
        <v>3612.1618905848127</v>
      </c>
      <c r="AE654" s="17">
        <f>SUM($G$650:AE650)</f>
        <v>3858.5343166188113</v>
      </c>
      <c r="AF654" s="17">
        <f>SUM($G$650:AF650)</f>
        <v>4109.766802973294</v>
      </c>
      <c r="AG654" s="17">
        <f>SUM($G$650:AG650)</f>
        <v>4374.9099868674002</v>
      </c>
      <c r="AH654" s="17">
        <f>SUM($G$650:AH650)</f>
        <v>4475.8890442517859</v>
      </c>
      <c r="AI654" s="17">
        <f>SUM($G$650:AI650)</f>
        <v>4475.8890442517859</v>
      </c>
      <c r="AJ654" s="17">
        <f>SUM($G$650:AJ650)</f>
        <v>4475.8890442517859</v>
      </c>
      <c r="AK654" s="17">
        <f>SUM($G$650:AK650)</f>
        <v>4475.8890442517859</v>
      </c>
      <c r="AL654" s="17">
        <f>SUM($G$650:AL650)</f>
        <v>4475.8890442517859</v>
      </c>
      <c r="AM654" s="17">
        <f>SUM($G$650:AM650)</f>
        <v>4475.8890442517859</v>
      </c>
      <c r="AN654" s="17">
        <f>SUM($G$650:AN650)</f>
        <v>4475.8890442517859</v>
      </c>
      <c r="AO654" s="17">
        <f>SUM($G$650:AO650)</f>
        <v>4475.8890442517859</v>
      </c>
      <c r="AP654" s="17">
        <f>SUM($G$650:AP650)</f>
        <v>4475.8890442517859</v>
      </c>
      <c r="AQ654" s="17">
        <f>SUM($G$650:AQ650)</f>
        <v>4475.8890442517859</v>
      </c>
      <c r="AR654" s="17">
        <f>SUM($G$650:AR650)</f>
        <v>4475.8890442517859</v>
      </c>
      <c r="AS654" s="17">
        <f>SUM($G$650:AS650)</f>
        <v>4475.8890442517859</v>
      </c>
      <c r="AT654" s="17">
        <f>SUM($G$650:AT650)</f>
        <v>4475.8890442517859</v>
      </c>
      <c r="AU654" s="17">
        <f>SUM($G$650:AU650)</f>
        <v>4475.8890442517859</v>
      </c>
      <c r="AV654" s="17">
        <f>SUM($G$650:AV650)</f>
        <v>4475.8890442517859</v>
      </c>
      <c r="AW654" s="17">
        <f>SUM($G$650:AW650)</f>
        <v>4475.8890442517859</v>
      </c>
      <c r="AX654" s="17">
        <f>SUM($G$650:AX650)</f>
        <v>4475.8890442517859</v>
      </c>
      <c r="AY654" s="17">
        <f>SUM($G$650:AY650)</f>
        <v>4475.8890442517859</v>
      </c>
      <c r="AZ654" s="17">
        <f>SUM($G$650:AZ650)</f>
        <v>4475.8890442517859</v>
      </c>
      <c r="BA654" s="17">
        <f>SUM($G$650:BA650)</f>
        <v>4475.8890442517859</v>
      </c>
      <c r="BB654" s="17">
        <f>SUM($G$650:BB650)</f>
        <v>4475.8890442517859</v>
      </c>
      <c r="BC654" s="17">
        <f>SUM($G$650:BC650)</f>
        <v>4475.8890442517859</v>
      </c>
      <c r="BD654" s="17">
        <f>SUM($G$650:BD650)</f>
        <v>4475.8890442517859</v>
      </c>
    </row>
    <row r="655" spans="1:56" ht="15" customHeight="1">
      <c r="C655" s="21"/>
      <c r="D655" s="22" t="s">
        <v>631</v>
      </c>
      <c r="E655" s="18" t="s">
        <v>30</v>
      </c>
      <c r="G655" s="415" t="str">
        <f>IFERROR(G654 / G648, "-")</f>
        <v>-</v>
      </c>
      <c r="H655" s="415" t="str">
        <f t="shared" ref="H655:BD655" si="372">IFERROR(H654 / H648, "-")</f>
        <v>-</v>
      </c>
      <c r="I655" s="415" t="str">
        <f t="shared" si="372"/>
        <v>-</v>
      </c>
      <c r="J655" s="415" t="str">
        <f t="shared" si="372"/>
        <v>-</v>
      </c>
      <c r="K655" s="415" t="str">
        <f t="shared" si="372"/>
        <v>-</v>
      </c>
      <c r="L655" s="415" t="str">
        <f t="shared" si="372"/>
        <v>-</v>
      </c>
      <c r="M655" s="415">
        <f t="shared" si="372"/>
        <v>0.83049042290429465</v>
      </c>
      <c r="N655" s="415">
        <f t="shared" si="372"/>
        <v>0.64895008438229174</v>
      </c>
      <c r="O655" s="415">
        <f t="shared" si="372"/>
        <v>0.607130133101766</v>
      </c>
      <c r="P655" s="415">
        <f t="shared" si="372"/>
        <v>0.59390092259641536</v>
      </c>
      <c r="Q655" s="415">
        <f t="shared" si="372"/>
        <v>0.58704662029605392</v>
      </c>
      <c r="R655" s="415">
        <f t="shared" si="372"/>
        <v>0.58285463844039131</v>
      </c>
      <c r="S655" s="415">
        <f t="shared" si="372"/>
        <v>0.58002656239300676</v>
      </c>
      <c r="T655" s="415">
        <f t="shared" si="372"/>
        <v>0.5779902292220086</v>
      </c>
      <c r="U655" s="415">
        <f t="shared" si="372"/>
        <v>0.57645424663972444</v>
      </c>
      <c r="V655" s="415">
        <f t="shared" si="372"/>
        <v>0.57525458854591327</v>
      </c>
      <c r="W655" s="415">
        <f t="shared" si="372"/>
        <v>0.57429186121995146</v>
      </c>
      <c r="X655" s="415">
        <f t="shared" si="372"/>
        <v>0.57350232362093656</v>
      </c>
      <c r="Y655" s="415">
        <f t="shared" si="372"/>
        <v>0.57289757685421916</v>
      </c>
      <c r="Z655" s="415">
        <f t="shared" si="372"/>
        <v>0.57238481728512747</v>
      </c>
      <c r="AA655" s="415">
        <f t="shared" si="372"/>
        <v>0.57194478047957276</v>
      </c>
      <c r="AB655" s="415">
        <f t="shared" si="372"/>
        <v>0.57156330240061637</v>
      </c>
      <c r="AC655" s="415">
        <f t="shared" si="372"/>
        <v>0.57122976893495836</v>
      </c>
      <c r="AD655" s="415">
        <f t="shared" si="372"/>
        <v>0.57099727814455237</v>
      </c>
      <c r="AE655" s="415">
        <f t="shared" si="372"/>
        <v>0.57079154806292609</v>
      </c>
      <c r="AF655" s="415">
        <f t="shared" si="372"/>
        <v>0.57060922358780108</v>
      </c>
      <c r="AG655" s="415">
        <f t="shared" si="372"/>
        <v>0.56913842992156316</v>
      </c>
      <c r="AH655" s="415">
        <f t="shared" si="372"/>
        <v>0.56564861020685175</v>
      </c>
      <c r="AI655" s="415">
        <f t="shared" si="372"/>
        <v>0.56564861020685175</v>
      </c>
      <c r="AJ655" s="415">
        <f t="shared" si="372"/>
        <v>0.56564861020685175</v>
      </c>
      <c r="AK655" s="415">
        <f t="shared" si="372"/>
        <v>0.56564861020685175</v>
      </c>
      <c r="AL655" s="415">
        <f t="shared" si="372"/>
        <v>0.56564861020685175</v>
      </c>
      <c r="AM655" s="415">
        <f t="shared" si="372"/>
        <v>0.56564861020685175</v>
      </c>
      <c r="AN655" s="415">
        <f t="shared" si="372"/>
        <v>0.56564861020685175</v>
      </c>
      <c r="AO655" s="415">
        <f t="shared" si="372"/>
        <v>0.56564861020685175</v>
      </c>
      <c r="AP655" s="415">
        <f t="shared" si="372"/>
        <v>0.56564861020685175</v>
      </c>
      <c r="AQ655" s="415">
        <f t="shared" si="372"/>
        <v>0.56564861020685175</v>
      </c>
      <c r="AR655" s="415">
        <f t="shared" si="372"/>
        <v>0.56564861020685175</v>
      </c>
      <c r="AS655" s="415">
        <f t="shared" si="372"/>
        <v>0.56564861020685175</v>
      </c>
      <c r="AT655" s="415">
        <f t="shared" si="372"/>
        <v>0.56564861020685175</v>
      </c>
      <c r="AU655" s="415">
        <f t="shared" si="372"/>
        <v>0.56564861020685175</v>
      </c>
      <c r="AV655" s="415">
        <f t="shared" si="372"/>
        <v>0.56564861020685175</v>
      </c>
      <c r="AW655" s="415">
        <f t="shared" si="372"/>
        <v>0.56564861020685175</v>
      </c>
      <c r="AX655" s="415">
        <f t="shared" si="372"/>
        <v>0.56564861020685175</v>
      </c>
      <c r="AY655" s="415">
        <f t="shared" si="372"/>
        <v>0.56564861020685175</v>
      </c>
      <c r="AZ655" s="415">
        <f t="shared" si="372"/>
        <v>0.56564861020685175</v>
      </c>
      <c r="BA655" s="415">
        <f t="shared" si="372"/>
        <v>0.56564861020685175</v>
      </c>
      <c r="BB655" s="415">
        <f t="shared" si="372"/>
        <v>0.56564861020685175</v>
      </c>
      <c r="BC655" s="415">
        <f t="shared" si="372"/>
        <v>0.56564861020685175</v>
      </c>
      <c r="BD655" s="415">
        <f t="shared" si="372"/>
        <v>0.56564861020685175</v>
      </c>
    </row>
    <row r="656" spans="1:56" ht="15" customHeight="1">
      <c r="C656" s="21"/>
      <c r="D656" s="22" t="s">
        <v>632</v>
      </c>
      <c r="E656" s="18" t="s">
        <v>333</v>
      </c>
      <c r="G656" s="17">
        <f>SUM($G$652:G652)</f>
        <v>0</v>
      </c>
      <c r="H656" s="17">
        <f>SUM($G$652:H652)</f>
        <v>0</v>
      </c>
      <c r="I656" s="17">
        <f>SUM($G$652:I652)</f>
        <v>0</v>
      </c>
      <c r="J656" s="17">
        <f>SUM($G$652:J652)</f>
        <v>0</v>
      </c>
      <c r="K656" s="17">
        <f>SUM($G$652:K652)</f>
        <v>0</v>
      </c>
      <c r="L656" s="17">
        <f>SUM($G$652:L652)</f>
        <v>0</v>
      </c>
      <c r="M656" s="17">
        <f>SUM($G$652:M652)</f>
        <v>23.709300084908186</v>
      </c>
      <c r="N656" s="17">
        <f>SUM($G$652:N652)</f>
        <v>142.75393367176059</v>
      </c>
      <c r="O656" s="17">
        <f>SUM($G$652:O652)</f>
        <v>268.22627305645904</v>
      </c>
      <c r="P656" s="17">
        <f>SUM($G$652:P652)</f>
        <v>410.21338182830334</v>
      </c>
      <c r="Q656" s="17">
        <f>SUM($G$652:Q652)</f>
        <v>555.04023277558463</v>
      </c>
      <c r="R656" s="17">
        <f>SUM($G$652:R652)</f>
        <v>702.76362074181134</v>
      </c>
      <c r="S656" s="17">
        <f>SUM($G$652:S652)</f>
        <v>853.44147646736269</v>
      </c>
      <c r="T656" s="17">
        <f>SUM($G$652:T652)</f>
        <v>1007.1328893074251</v>
      </c>
      <c r="U656" s="17">
        <f>SUM($G$652:U652)</f>
        <v>1163.8981304042886</v>
      </c>
      <c r="V656" s="17">
        <f>SUM($G$652:V652)</f>
        <v>1323.7986763230895</v>
      </c>
      <c r="W656" s="17">
        <f>SUM($G$652:W652)</f>
        <v>1486.8972331602663</v>
      </c>
      <c r="X656" s="17">
        <f>SUM($G$652:X652)</f>
        <v>1653.2577611341867</v>
      </c>
      <c r="Y656" s="17">
        <f>SUM($G$652:Y652)</f>
        <v>1821.7430461676943</v>
      </c>
      <c r="Z656" s="17">
        <f>SUM($G$652:Z652)</f>
        <v>1993.5951836223808</v>
      </c>
      <c r="AA656" s="17">
        <f>SUM($G$652:AA652)</f>
        <v>2168.8778166471438</v>
      </c>
      <c r="AB656" s="17">
        <f>SUM($G$652:AB652)</f>
        <v>2347.6546151784187</v>
      </c>
      <c r="AC656" s="17">
        <f>SUM($G$652:AC652)</f>
        <v>2529.9885673612775</v>
      </c>
      <c r="AD656" s="17">
        <f>SUM($G$652:AD652)</f>
        <v>2713.8960940039783</v>
      </c>
      <c r="AE656" s="17">
        <f>SUM($G$652:AE652)</f>
        <v>2901.4366915598735</v>
      </c>
      <c r="AF656" s="17">
        <f>SUM($G$652:AF652)</f>
        <v>3092.6523537526473</v>
      </c>
      <c r="AG656" s="17">
        <f>SUM($G$652:AG652)</f>
        <v>3311.989643983984</v>
      </c>
      <c r="AH656" s="17">
        <f>SUM($G$652:AH652)</f>
        <v>3436.9546602788419</v>
      </c>
      <c r="AI656" s="17">
        <f>SUM($G$652:AI652)</f>
        <v>3436.9546602788419</v>
      </c>
      <c r="AJ656" s="17">
        <f>SUM($G$652:AJ652)</f>
        <v>3436.9546602788419</v>
      </c>
      <c r="AK656" s="17">
        <f>SUM($G$652:AK652)</f>
        <v>3436.9546602788419</v>
      </c>
      <c r="AL656" s="17">
        <f>SUM($G$652:AL652)</f>
        <v>3436.9546602788419</v>
      </c>
      <c r="AM656" s="17">
        <f>SUM($G$652:AM652)</f>
        <v>3436.9546602788419</v>
      </c>
      <c r="AN656" s="17">
        <f>SUM($G$652:AN652)</f>
        <v>3436.9546602788419</v>
      </c>
      <c r="AO656" s="17">
        <f>SUM($G$652:AO652)</f>
        <v>3436.9546602788419</v>
      </c>
      <c r="AP656" s="17">
        <f>SUM($G$652:AP652)</f>
        <v>3436.9546602788419</v>
      </c>
      <c r="AQ656" s="17">
        <f>SUM($G$652:AQ652)</f>
        <v>3436.9546602788419</v>
      </c>
      <c r="AR656" s="17">
        <f>SUM($G$652:AR652)</f>
        <v>3436.9546602788419</v>
      </c>
      <c r="AS656" s="17">
        <f>SUM($G$652:AS652)</f>
        <v>3436.9546602788419</v>
      </c>
      <c r="AT656" s="17">
        <f>SUM($G$652:AT652)</f>
        <v>3436.9546602788419</v>
      </c>
      <c r="AU656" s="17">
        <f>SUM($G$652:AU652)</f>
        <v>3436.9546602788419</v>
      </c>
      <c r="AV656" s="17">
        <f>SUM($G$652:AV652)</f>
        <v>3436.9546602788419</v>
      </c>
      <c r="AW656" s="17">
        <f>SUM($G$652:AW652)</f>
        <v>3436.9546602788419</v>
      </c>
      <c r="AX656" s="17">
        <f>SUM($G$652:AX652)</f>
        <v>3436.9546602788419</v>
      </c>
      <c r="AY656" s="17">
        <f>SUM($G$652:AY652)</f>
        <v>3436.9546602788419</v>
      </c>
      <c r="AZ656" s="17">
        <f>SUM($G$652:AZ652)</f>
        <v>3436.9546602788419</v>
      </c>
      <c r="BA656" s="17">
        <f>SUM($G$652:BA652)</f>
        <v>3436.9546602788419</v>
      </c>
      <c r="BB656" s="17">
        <f>SUM($G$652:BB652)</f>
        <v>3436.9546602788419</v>
      </c>
      <c r="BC656" s="17">
        <f>SUM($G$652:BC652)</f>
        <v>3436.9546602788419</v>
      </c>
      <c r="BD656" s="17">
        <f>SUM($G$652:BD652)</f>
        <v>3436.9546602788419</v>
      </c>
    </row>
    <row r="657" spans="1:56" ht="15" customHeight="1">
      <c r="C657" s="21"/>
      <c r="D657" s="22" t="s">
        <v>633</v>
      </c>
      <c r="E657" s="18" t="s">
        <v>30</v>
      </c>
      <c r="G657" s="415" t="str">
        <f>IFERROR(G656 / G648, "-")</f>
        <v>-</v>
      </c>
      <c r="H657" s="415" t="str">
        <f t="shared" ref="H657:BD657" si="373">IFERROR(H656 / H648, "-")</f>
        <v>-</v>
      </c>
      <c r="I657" s="415" t="str">
        <f t="shared" si="373"/>
        <v>-</v>
      </c>
      <c r="J657" s="415" t="str">
        <f t="shared" si="373"/>
        <v>-</v>
      </c>
      <c r="K657" s="415" t="str">
        <f t="shared" si="373"/>
        <v>-</v>
      </c>
      <c r="L657" s="415" t="str">
        <f t="shared" si="373"/>
        <v>-</v>
      </c>
      <c r="M657" s="415">
        <f t="shared" si="373"/>
        <v>0.1695095770957053</v>
      </c>
      <c r="N657" s="415">
        <f t="shared" si="373"/>
        <v>0.35104991561770832</v>
      </c>
      <c r="O657" s="415">
        <f t="shared" si="373"/>
        <v>0.392869866898234</v>
      </c>
      <c r="P657" s="415">
        <f t="shared" si="373"/>
        <v>0.4060990774035847</v>
      </c>
      <c r="Q657" s="415">
        <f t="shared" si="373"/>
        <v>0.41295337970394602</v>
      </c>
      <c r="R657" s="415">
        <f t="shared" si="373"/>
        <v>0.41714536155960869</v>
      </c>
      <c r="S657" s="415">
        <f t="shared" si="373"/>
        <v>0.41997343760699329</v>
      </c>
      <c r="T657" s="415">
        <f t="shared" si="373"/>
        <v>0.42200977077799134</v>
      </c>
      <c r="U657" s="415">
        <f t="shared" si="373"/>
        <v>0.42354575336027567</v>
      </c>
      <c r="V657" s="415">
        <f t="shared" si="373"/>
        <v>0.42474541145408673</v>
      </c>
      <c r="W657" s="415">
        <f t="shared" si="373"/>
        <v>0.42570813878004854</v>
      </c>
      <c r="X657" s="415">
        <f t="shared" si="373"/>
        <v>0.42649767637906344</v>
      </c>
      <c r="Y657" s="415">
        <f t="shared" si="373"/>
        <v>0.42710242314578073</v>
      </c>
      <c r="Z657" s="415">
        <f t="shared" si="373"/>
        <v>0.42761518271487248</v>
      </c>
      <c r="AA657" s="415">
        <f t="shared" si="373"/>
        <v>0.42805521952042719</v>
      </c>
      <c r="AB657" s="415">
        <f t="shared" si="373"/>
        <v>0.42843669759938363</v>
      </c>
      <c r="AC657" s="415">
        <f t="shared" si="373"/>
        <v>0.42877023106504158</v>
      </c>
      <c r="AD657" s="415">
        <f t="shared" si="373"/>
        <v>0.42900272185544752</v>
      </c>
      <c r="AE657" s="415">
        <f t="shared" si="373"/>
        <v>0.4292084519370738</v>
      </c>
      <c r="AF657" s="415">
        <f t="shared" si="373"/>
        <v>0.42939077641219897</v>
      </c>
      <c r="AG657" s="415">
        <f t="shared" si="373"/>
        <v>0.43086157007843684</v>
      </c>
      <c r="AH657" s="415">
        <f t="shared" si="373"/>
        <v>0.43435138979314825</v>
      </c>
      <c r="AI657" s="415">
        <f t="shared" si="373"/>
        <v>0.43435138979314825</v>
      </c>
      <c r="AJ657" s="415">
        <f t="shared" si="373"/>
        <v>0.43435138979314825</v>
      </c>
      <c r="AK657" s="415">
        <f t="shared" si="373"/>
        <v>0.43435138979314825</v>
      </c>
      <c r="AL657" s="415">
        <f t="shared" si="373"/>
        <v>0.43435138979314825</v>
      </c>
      <c r="AM657" s="415">
        <f t="shared" si="373"/>
        <v>0.43435138979314825</v>
      </c>
      <c r="AN657" s="415">
        <f t="shared" si="373"/>
        <v>0.43435138979314825</v>
      </c>
      <c r="AO657" s="415">
        <f t="shared" si="373"/>
        <v>0.43435138979314825</v>
      </c>
      <c r="AP657" s="415">
        <f t="shared" si="373"/>
        <v>0.43435138979314825</v>
      </c>
      <c r="AQ657" s="415">
        <f t="shared" si="373"/>
        <v>0.43435138979314825</v>
      </c>
      <c r="AR657" s="415">
        <f t="shared" si="373"/>
        <v>0.43435138979314825</v>
      </c>
      <c r="AS657" s="415">
        <f t="shared" si="373"/>
        <v>0.43435138979314825</v>
      </c>
      <c r="AT657" s="415">
        <f t="shared" si="373"/>
        <v>0.43435138979314825</v>
      </c>
      <c r="AU657" s="415">
        <f t="shared" si="373"/>
        <v>0.43435138979314825</v>
      </c>
      <c r="AV657" s="415">
        <f t="shared" si="373"/>
        <v>0.43435138979314825</v>
      </c>
      <c r="AW657" s="415">
        <f t="shared" si="373"/>
        <v>0.43435138979314825</v>
      </c>
      <c r="AX657" s="415">
        <f t="shared" si="373"/>
        <v>0.43435138979314825</v>
      </c>
      <c r="AY657" s="415">
        <f t="shared" si="373"/>
        <v>0.43435138979314825</v>
      </c>
      <c r="AZ657" s="415">
        <f t="shared" si="373"/>
        <v>0.43435138979314825</v>
      </c>
      <c r="BA657" s="415">
        <f t="shared" si="373"/>
        <v>0.43435138979314825</v>
      </c>
      <c r="BB657" s="415">
        <f t="shared" si="373"/>
        <v>0.43435138979314825</v>
      </c>
      <c r="BC657" s="415">
        <f t="shared" si="373"/>
        <v>0.43435138979314825</v>
      </c>
      <c r="BD657" s="415">
        <f t="shared" si="373"/>
        <v>0.43435138979314825</v>
      </c>
    </row>
    <row r="658" spans="1:56" ht="15" customHeight="1">
      <c r="C658" s="21"/>
      <c r="D658" s="22"/>
      <c r="E658" s="18"/>
      <c r="G658" s="415"/>
      <c r="H658" s="415"/>
      <c r="I658" s="415"/>
      <c r="J658" s="415"/>
      <c r="K658" s="415"/>
      <c r="L658" s="415"/>
      <c r="M658" s="415"/>
      <c r="N658" s="415"/>
      <c r="O658" s="415"/>
      <c r="P658" s="415"/>
      <c r="Q658" s="415"/>
      <c r="R658" s="415"/>
      <c r="S658" s="415"/>
      <c r="T658" s="415"/>
      <c r="U658" s="415"/>
      <c r="V658" s="415"/>
      <c r="W658" s="415"/>
      <c r="X658" s="415"/>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5"/>
      <c r="BB658" s="415"/>
      <c r="BC658" s="415"/>
      <c r="BD658" s="415"/>
    </row>
    <row r="659" spans="1:56" ht="15" customHeight="1">
      <c r="B659" s="94"/>
      <c r="C659" s="21"/>
      <c r="D659" s="22" t="s">
        <v>634</v>
      </c>
      <c r="E659" s="18" t="s">
        <v>30</v>
      </c>
      <c r="G659" s="6" t="str">
        <f>IF(G31 = $E$629, Inputs!$E$86 - G655, "-")</f>
        <v>-</v>
      </c>
      <c r="H659" s="6" t="str">
        <f>IF(H31 = $E$629, Inputs!$E$86 - H655, "-")</f>
        <v>-</v>
      </c>
      <c r="I659" s="6" t="str">
        <f>IF(I31 = $E$629, Inputs!$E$86 - I655, "-")</f>
        <v>-</v>
      </c>
      <c r="J659" s="6" t="str">
        <f>IF(J31 = $E$629, Inputs!$E$86 - J655, "-")</f>
        <v>-</v>
      </c>
      <c r="K659" s="6" t="str">
        <f>IF(K31 = $E$629, Inputs!$E$86 - K655, "-")</f>
        <v>-</v>
      </c>
      <c r="L659" s="6" t="str">
        <f>IF(L31 = $E$629, Inputs!$E$86 - L655, "-")</f>
        <v>-</v>
      </c>
      <c r="M659" s="6">
        <f>IF(M31 = $E$629, Inputs!$E$86 - M655, "-")</f>
        <v>-0.83049042290429465</v>
      </c>
      <c r="N659" s="6" t="str">
        <f>IF(N31 = $E$629, Inputs!$E$86 - N655, "-")</f>
        <v>-</v>
      </c>
      <c r="O659" s="6" t="str">
        <f>IF(O31 = $E$629, Inputs!$E$86 - O655, "-")</f>
        <v>-</v>
      </c>
      <c r="P659" s="6" t="str">
        <f>IF(P31 = $E$629, Inputs!$E$86 - P655, "-")</f>
        <v>-</v>
      </c>
      <c r="Q659" s="6" t="str">
        <f>IF(Q31 = $E$629, Inputs!$E$86 - Q655, "-")</f>
        <v>-</v>
      </c>
      <c r="R659" s="6" t="str">
        <f>IF(R31 = $E$629, Inputs!$E$86 - R655, "-")</f>
        <v>-</v>
      </c>
      <c r="S659" s="6" t="str">
        <f>IF(S31 = $E$629, Inputs!$E$86 - S655, "-")</f>
        <v>-</v>
      </c>
      <c r="T659" s="6" t="str">
        <f>IF(T31 = $E$629, Inputs!$E$86 - T655, "-")</f>
        <v>-</v>
      </c>
      <c r="U659" s="6" t="str">
        <f>IF(U31 = $E$629, Inputs!$E$86 - U655, "-")</f>
        <v>-</v>
      </c>
      <c r="V659" s="6" t="str">
        <f>IF(V31 = $E$629, Inputs!$E$86 - V655, "-")</f>
        <v>-</v>
      </c>
      <c r="W659" s="6" t="str">
        <f>IF(W31 = $E$629, Inputs!$E$86 - W655, "-")</f>
        <v>-</v>
      </c>
      <c r="X659" s="6" t="str">
        <f>IF(X31 = $E$629, Inputs!$E$86 - X655, "-")</f>
        <v>-</v>
      </c>
      <c r="Y659" s="6" t="str">
        <f>IF(Y31 = $E$629, Inputs!$E$86 - Y655, "-")</f>
        <v>-</v>
      </c>
      <c r="Z659" s="6" t="str">
        <f>IF(Z31 = $E$629, Inputs!$E$86 - Z655, "-")</f>
        <v>-</v>
      </c>
      <c r="AA659" s="6" t="str">
        <f>IF(AA31 = $E$629, Inputs!$E$86 - AA655, "-")</f>
        <v>-</v>
      </c>
      <c r="AB659" s="6" t="str">
        <f>IF(AB31 = $E$629, Inputs!$E$86 - AB655, "-")</f>
        <v>-</v>
      </c>
      <c r="AC659" s="6" t="str">
        <f>IF(AC31 = $E$629, Inputs!$E$86 - AC655, "-")</f>
        <v>-</v>
      </c>
      <c r="AD659" s="6" t="str">
        <f>IF(AD31 = $E$629, Inputs!$E$86 - AD655, "-")</f>
        <v>-</v>
      </c>
      <c r="AE659" s="6" t="str">
        <f>IF(AE31 = $E$629, Inputs!$E$86 - AE655, "-")</f>
        <v>-</v>
      </c>
      <c r="AF659" s="6" t="str">
        <f>IF(AF31 = $E$629, Inputs!$E$86 - AF655, "-")</f>
        <v>-</v>
      </c>
      <c r="AG659" s="6" t="str">
        <f>IF(AG31 = $E$629, Inputs!$E$86 - AG655, "-")</f>
        <v>-</v>
      </c>
      <c r="AH659" s="6" t="str">
        <f>IF(AH31 = $E$629, Inputs!$E$86 - AH655, "-")</f>
        <v>-</v>
      </c>
      <c r="AI659" s="6" t="str">
        <f>IF(AI31 = $E$629, Inputs!$E$86 - AI655, "-")</f>
        <v>-</v>
      </c>
      <c r="AJ659" s="6" t="str">
        <f>IF(AJ31 = $E$629, Inputs!$E$86 - AJ655, "-")</f>
        <v>-</v>
      </c>
      <c r="AK659" s="6" t="str">
        <f>IF(AK31 = $E$629, Inputs!$E$86 - AK655, "-")</f>
        <v>-</v>
      </c>
      <c r="AL659" s="6" t="str">
        <f>IF(AL31 = $E$629, Inputs!$E$86 - AL655, "-")</f>
        <v>-</v>
      </c>
      <c r="AM659" s="6" t="str">
        <f>IF(AM31 = $E$629, Inputs!$E$86 - AM655, "-")</f>
        <v>-</v>
      </c>
      <c r="AN659" s="6" t="str">
        <f>IF(AN31 = $E$629, Inputs!$E$86 - AN655, "-")</f>
        <v>-</v>
      </c>
      <c r="AO659" s="6" t="str">
        <f>IF(AO31 = $E$629, Inputs!$E$86 - AO655, "-")</f>
        <v>-</v>
      </c>
      <c r="AP659" s="6" t="str">
        <f>IF(AP31 = $E$629, Inputs!$E$86 - AP655, "-")</f>
        <v>-</v>
      </c>
      <c r="AQ659" s="6" t="str">
        <f>IF(AQ31 = $E$629, Inputs!$E$86 - AQ655, "-")</f>
        <v>-</v>
      </c>
      <c r="AR659" s="6" t="str">
        <f>IF(AR31 = $E$629, Inputs!$E$86 - AR655, "-")</f>
        <v>-</v>
      </c>
      <c r="AS659" s="6" t="str">
        <f>IF(AS31 = $E$629, Inputs!$E$86 - AS655, "-")</f>
        <v>-</v>
      </c>
      <c r="AT659" s="6" t="str">
        <f>IF(AT31 = $E$629, Inputs!$E$86 - AT655, "-")</f>
        <v>-</v>
      </c>
      <c r="AU659" s="6" t="str">
        <f>IF(AU31 = $E$629, Inputs!$E$86 - AU655, "-")</f>
        <v>-</v>
      </c>
      <c r="AV659" s="6" t="str">
        <f>IF(AV31 = $E$629, Inputs!$E$86 - AV655, "-")</f>
        <v>-</v>
      </c>
      <c r="AW659" s="6" t="str">
        <f>IF(AW31 = $E$629, Inputs!$E$86 - AW655, "-")</f>
        <v>-</v>
      </c>
      <c r="AX659" s="6" t="str">
        <f>IF(AX31 = $E$629, Inputs!$E$86 - AX655, "-")</f>
        <v>-</v>
      </c>
      <c r="AY659" s="6" t="str">
        <f>IF(AY31 = $E$629, Inputs!$E$86 - AY655, "-")</f>
        <v>-</v>
      </c>
      <c r="AZ659" s="6" t="str">
        <f>IF(AZ31 = $E$629, Inputs!$E$86 - AZ655, "-")</f>
        <v>-</v>
      </c>
      <c r="BA659" s="6" t="str">
        <f>IF(BA31 = $E$629, Inputs!$E$86 - BA655, "-")</f>
        <v>-</v>
      </c>
      <c r="BB659" s="6" t="str">
        <f>IF(BB31 = $E$629, Inputs!$E$86 - BB655, "-")</f>
        <v>-</v>
      </c>
      <c r="BC659" s="6" t="str">
        <f>IF(BC31 = $E$629, Inputs!$E$86 - BC655, "-")</f>
        <v>-</v>
      </c>
      <c r="BD659" s="6" t="str">
        <f>IF(BD31 = $E$629, Inputs!$E$86 - BD655, "-")</f>
        <v>-</v>
      </c>
    </row>
    <row r="660" spans="1:56" ht="15" customHeight="1">
      <c r="B660" s="94"/>
      <c r="C660" s="21"/>
      <c r="D660" s="22" t="s">
        <v>635</v>
      </c>
      <c r="E660" s="18" t="s">
        <v>30</v>
      </c>
      <c r="G660" s="6" t="str">
        <f>IFERROR(IF(G31 &gt; $E$629, Inputs!$E$86 - G651, "-"), "-")</f>
        <v>-</v>
      </c>
      <c r="H660" s="6" t="str">
        <f>IFERROR(IF(H31 &gt; $E$629, Inputs!$E$86 - H651, "-"), "-")</f>
        <v>-</v>
      </c>
      <c r="I660" s="6" t="str">
        <f>IFERROR(IF(I31 &gt; $E$629, Inputs!$E$86 - I651, "-"), "-")</f>
        <v>-</v>
      </c>
      <c r="J660" s="6" t="str">
        <f>IFERROR(IF(J31 &gt; $E$629, Inputs!$E$86 - J651, "-"), "-")</f>
        <v>-</v>
      </c>
      <c r="K660" s="6" t="str">
        <f>IFERROR(IF(K31 &gt; $E$629, Inputs!$E$86 - K651, "-"), "-")</f>
        <v>-</v>
      </c>
      <c r="L660" s="6" t="str">
        <f>IFERROR(IF(L31 &gt; $E$629, Inputs!$E$86 - L651, "-"), "-")</f>
        <v>-</v>
      </c>
      <c r="M660" s="6" t="str">
        <f>IFERROR(IF(M31 &gt; $E$629, Inputs!$E$86 - M651, "-"), "-")</f>
        <v>-</v>
      </c>
      <c r="N660" s="6">
        <f>IFERROR(IF(N31 &gt; $E$629, Inputs!$E$86 - N651, "-"), "-")</f>
        <v>-0.55376986336544076</v>
      </c>
      <c r="O660" s="6">
        <f>IFERROR(IF(O31 &gt; $E$629, Inputs!$E$86 - O651, "-"), "-")</f>
        <v>-0.54553355904067624</v>
      </c>
      <c r="P660" s="6">
        <f>IFERROR(IF(P31 &gt; $E$629, Inputs!$E$86 - P651, "-"), "-")</f>
        <v>-0.56631333837972386</v>
      </c>
      <c r="Q660" s="6">
        <f>IFERROR(IF(Q31 &gt; $E$629, Inputs!$E$86 - Q651, "-"), "-")</f>
        <v>-0.56631333837972386</v>
      </c>
      <c r="R660" s="6">
        <f>IFERROR(IF(R31 &gt; $E$629, Inputs!$E$86 - R651, "-"), "-")</f>
        <v>-0.56631333837972386</v>
      </c>
      <c r="S660" s="6">
        <f>IFERROR(IF(S31 &gt; $E$629, Inputs!$E$86 - S651, "-"), "-")</f>
        <v>-0.56631333837972386</v>
      </c>
      <c r="T660" s="6">
        <f>IFERROR(IF(T31 &gt; $E$629, Inputs!$E$86 - T651, "-"), "-")</f>
        <v>-0.56631333837972397</v>
      </c>
      <c r="U660" s="6">
        <f>IFERROR(IF(U31 &gt; $E$629, Inputs!$E$86 - U651, "-"), "-")</f>
        <v>-0.56631333837972386</v>
      </c>
      <c r="V660" s="6">
        <f>IFERROR(IF(V31 &gt; $E$629, Inputs!$E$86 - V651, "-"), "-")</f>
        <v>-0.56631333837972397</v>
      </c>
      <c r="W660" s="6">
        <f>IFERROR(IF(W31 &gt; $E$629, Inputs!$E$86 - W651, "-"), "-")</f>
        <v>-0.56631333837972386</v>
      </c>
      <c r="X660" s="6">
        <f>IFERROR(IF(X31 &gt; $E$629, Inputs!$E$86 - X651, "-"), "-")</f>
        <v>-0.56631333837972386</v>
      </c>
      <c r="Y660" s="6">
        <f>IFERROR(IF(Y31 &gt; $E$629, Inputs!$E$86 - Y651, "-"), "-")</f>
        <v>-0.56687125270461081</v>
      </c>
      <c r="Z660" s="6">
        <f>IFERROR(IF(Z31 &gt; $E$629, Inputs!$E$86 - Z651, "-"), "-")</f>
        <v>-0.56687255821007876</v>
      </c>
      <c r="AA660" s="6">
        <f>IFERROR(IF(AA31 &gt; $E$629, Inputs!$E$86 - AA651, "-"), "-")</f>
        <v>-0.56687549523480329</v>
      </c>
      <c r="AB660" s="6">
        <f>IFERROR(IF(AB31 &gt; $E$629, Inputs!$E$86 - AB651, "-"), "-")</f>
        <v>-0.56688054768187268</v>
      </c>
      <c r="AC660" s="6">
        <f>IFERROR(IF(AC31 &gt; $E$629, Inputs!$E$86 - AC651, "-"), "-")</f>
        <v>-0.56688847539868426</v>
      </c>
      <c r="AD660" s="6">
        <f>IFERROR(IF(AD31 &gt; $E$629, Inputs!$E$86 - AD651, "-"), "-")</f>
        <v>-0.56777315276105977</v>
      </c>
      <c r="AE660" s="6">
        <f>IFERROR(IF(AE31 &gt; $E$629, Inputs!$E$86 - AE651, "-"), "-")</f>
        <v>-0.56779219023131622</v>
      </c>
      <c r="AF660" s="6">
        <f>IFERROR(IF(AF31 &gt; $E$629, Inputs!$E$86 - AF651, "-"), "-")</f>
        <v>-0.56782356798052946</v>
      </c>
      <c r="AG660" s="6">
        <f>IFERROR(IF(AG31 &gt; $E$629, Inputs!$E$86 - AG651, "-"), "-")</f>
        <v>-0.54727320925106016</v>
      </c>
      <c r="AH660" s="6">
        <f>IFERROR(IF(AH31 &gt; $E$629, Inputs!$E$86 - AH651, "-"), "-")</f>
        <v>-0.44692058410763291</v>
      </c>
      <c r="AI660" s="6" t="str">
        <f>IFERROR(IF(AI31 &gt; $E$629, Inputs!$E$86 - AI651, "-"), "-")</f>
        <v>-</v>
      </c>
      <c r="AJ660" s="6" t="str">
        <f>IFERROR(IF(AJ31 &gt; $E$629, Inputs!$E$86 - AJ651, "-"), "-")</f>
        <v>-</v>
      </c>
      <c r="AK660" s="6" t="str">
        <f>IFERROR(IF(AK31 &gt; $E$629, Inputs!$E$86 - AK651, "-"), "-")</f>
        <v>-</v>
      </c>
      <c r="AL660" s="6" t="str">
        <f>IFERROR(IF(AL31 &gt; $E$629, Inputs!$E$86 - AL651, "-"), "-")</f>
        <v>-</v>
      </c>
      <c r="AM660" s="6" t="str">
        <f>IFERROR(IF(AM31 &gt; $E$629, Inputs!$E$86 - AM651, "-"), "-")</f>
        <v>-</v>
      </c>
      <c r="AN660" s="6" t="str">
        <f>IFERROR(IF(AN31 &gt; $E$629, Inputs!$E$86 - AN651, "-"), "-")</f>
        <v>-</v>
      </c>
      <c r="AO660" s="6" t="str">
        <f>IFERROR(IF(AO31 &gt; $E$629, Inputs!$E$86 - AO651, "-"), "-")</f>
        <v>-</v>
      </c>
      <c r="AP660" s="6" t="str">
        <f>IFERROR(IF(AP31 &gt; $E$629, Inputs!$E$86 - AP651, "-"), "-")</f>
        <v>-</v>
      </c>
      <c r="AQ660" s="6" t="str">
        <f>IFERROR(IF(AQ31 &gt; $E$629, Inputs!$E$86 - AQ651, "-"), "-")</f>
        <v>-</v>
      </c>
      <c r="AR660" s="6" t="str">
        <f>IFERROR(IF(AR31 &gt; $E$629, Inputs!$E$86 - AR651, "-"), "-")</f>
        <v>-</v>
      </c>
      <c r="AS660" s="6" t="str">
        <f>IFERROR(IF(AS31 &gt; $E$629, Inputs!$E$86 - AS651, "-"), "-")</f>
        <v>-</v>
      </c>
      <c r="AT660" s="6" t="str">
        <f>IFERROR(IF(AT31 &gt; $E$629, Inputs!$E$86 - AT651, "-"), "-")</f>
        <v>-</v>
      </c>
      <c r="AU660" s="6" t="str">
        <f>IFERROR(IF(AU31 &gt; $E$629, Inputs!$E$86 - AU651, "-"), "-")</f>
        <v>-</v>
      </c>
      <c r="AV660" s="6" t="str">
        <f>IFERROR(IF(AV31 &gt; $E$629, Inputs!$E$86 - AV651, "-"), "-")</f>
        <v>-</v>
      </c>
      <c r="AW660" s="6" t="str">
        <f>IFERROR(IF(AW31 &gt; $E$629, Inputs!$E$86 - AW651, "-"), "-")</f>
        <v>-</v>
      </c>
      <c r="AX660" s="6" t="str">
        <f>IFERROR(IF(AX31 &gt; $E$629, Inputs!$E$86 - AX651, "-"), "-")</f>
        <v>-</v>
      </c>
      <c r="AY660" s="6" t="str">
        <f>IFERROR(IF(AY31 &gt; $E$629, Inputs!$E$86 - AY651, "-"), "-")</f>
        <v>-</v>
      </c>
      <c r="AZ660" s="6" t="str">
        <f>IFERROR(IF(AZ31 &gt; $E$629, Inputs!$E$86 - AZ651, "-"), "-")</f>
        <v>-</v>
      </c>
      <c r="BA660" s="6" t="str">
        <f>IFERROR(IF(BA31 &gt; $E$629, Inputs!$E$86 - BA651, "-"), "-")</f>
        <v>-</v>
      </c>
      <c r="BB660" s="6" t="str">
        <f>IFERROR(IF(BB31 &gt; $E$629, Inputs!$E$86 - BB651, "-"), "-")</f>
        <v>-</v>
      </c>
      <c r="BC660" s="6" t="str">
        <f>IFERROR(IF(BC31 &gt; $E$629, Inputs!$E$86 - BC651, "-"), "-")</f>
        <v>-</v>
      </c>
      <c r="BD660" s="6" t="str">
        <f>IFERROR(IF(BD31 &gt; $E$629, Inputs!$E$86 - BD651, "-"), "-")</f>
        <v>-</v>
      </c>
    </row>
    <row r="661" spans="1:56" ht="15" customHeight="1">
      <c r="B661" s="94"/>
      <c r="C661" s="21">
        <f t="shared" ref="C661:C665" si="374">SUM(G661:BD661)</f>
        <v>-4475.8890442517859</v>
      </c>
      <c r="D661" s="22" t="s">
        <v>636</v>
      </c>
      <c r="E661" s="18" t="s">
        <v>333</v>
      </c>
      <c r="G661" s="20" t="str">
        <f t="shared" ref="G661:AL661" si="375">IFERROR(IF(G31 &lt; $E$629, "-", IF(G31 = $E$629, G659 * G648, G660 * G647)), "-")</f>
        <v>-</v>
      </c>
      <c r="H661" s="20" t="str">
        <f t="shared" si="375"/>
        <v>-</v>
      </c>
      <c r="I661" s="20" t="str">
        <f t="shared" si="375"/>
        <v>-</v>
      </c>
      <c r="J661" s="20" t="str">
        <f t="shared" si="375"/>
        <v>-</v>
      </c>
      <c r="K661" s="20" t="str">
        <f t="shared" si="375"/>
        <v>-</v>
      </c>
      <c r="L661" s="20" t="str">
        <f t="shared" si="375"/>
        <v>-</v>
      </c>
      <c r="M661" s="20">
        <f t="shared" si="375"/>
        <v>-116.16067358343437</v>
      </c>
      <c r="N661" s="20">
        <f t="shared" si="375"/>
        <v>-147.73392710086779</v>
      </c>
      <c r="O661" s="20">
        <f t="shared" si="375"/>
        <v>-150.61479945847225</v>
      </c>
      <c r="P661" s="20">
        <f t="shared" si="375"/>
        <v>-185.40850040223782</v>
      </c>
      <c r="Q661" s="20">
        <f t="shared" si="375"/>
        <v>-189.11667041028258</v>
      </c>
      <c r="R661" s="20">
        <f t="shared" si="375"/>
        <v>-192.89900381848813</v>
      </c>
      <c r="S661" s="20">
        <f t="shared" si="375"/>
        <v>-196.756983894858</v>
      </c>
      <c r="T661" s="20">
        <f t="shared" si="375"/>
        <v>-200.69212357275515</v>
      </c>
      <c r="U661" s="20">
        <f t="shared" si="375"/>
        <v>-204.70596604421019</v>
      </c>
      <c r="V661" s="20">
        <f t="shared" si="375"/>
        <v>-208.80008536509442</v>
      </c>
      <c r="W661" s="20">
        <f t="shared" si="375"/>
        <v>-212.97608707239635</v>
      </c>
      <c r="X661" s="20">
        <f t="shared" si="375"/>
        <v>-217.23560881384429</v>
      </c>
      <c r="Y661" s="20">
        <f t="shared" si="375"/>
        <v>-220.5105645506865</v>
      </c>
      <c r="Z661" s="20">
        <f t="shared" si="375"/>
        <v>-224.91823743658969</v>
      </c>
      <c r="AA661" s="20">
        <f t="shared" si="375"/>
        <v>-229.41077752190253</v>
      </c>
      <c r="AB661" s="20">
        <f t="shared" si="375"/>
        <v>-233.98877358614374</v>
      </c>
      <c r="AC661" s="20">
        <f t="shared" si="375"/>
        <v>-238.65219532429771</v>
      </c>
      <c r="AD661" s="20">
        <f t="shared" si="375"/>
        <v>-241.5809126282509</v>
      </c>
      <c r="AE661" s="20">
        <f t="shared" si="375"/>
        <v>-246.37242603399878</v>
      </c>
      <c r="AF661" s="20">
        <f t="shared" si="375"/>
        <v>-251.23248635448249</v>
      </c>
      <c r="AG661" s="20">
        <f t="shared" si="375"/>
        <v>-265.14318389410641</v>
      </c>
      <c r="AH661" s="20">
        <f t="shared" si="375"/>
        <v>-100.97905738438547</v>
      </c>
      <c r="AI661" s="20" t="str">
        <f t="shared" si="375"/>
        <v>-</v>
      </c>
      <c r="AJ661" s="20" t="str">
        <f t="shared" si="375"/>
        <v>-</v>
      </c>
      <c r="AK661" s="20" t="str">
        <f t="shared" si="375"/>
        <v>-</v>
      </c>
      <c r="AL661" s="20" t="str">
        <f t="shared" si="375"/>
        <v>-</v>
      </c>
      <c r="AM661" s="20" t="str">
        <f t="shared" ref="AM661:BD661" si="376">IFERROR(IF(AM31 &lt; $E$629, "-", IF(AM31 = $E$629, AM659 * AM648, AM660 * AM647)), "-")</f>
        <v>-</v>
      </c>
      <c r="AN661" s="20" t="str">
        <f t="shared" si="376"/>
        <v>-</v>
      </c>
      <c r="AO661" s="20" t="str">
        <f t="shared" si="376"/>
        <v>-</v>
      </c>
      <c r="AP661" s="20" t="str">
        <f t="shared" si="376"/>
        <v>-</v>
      </c>
      <c r="AQ661" s="20" t="str">
        <f t="shared" si="376"/>
        <v>-</v>
      </c>
      <c r="AR661" s="20" t="str">
        <f t="shared" si="376"/>
        <v>-</v>
      </c>
      <c r="AS661" s="20" t="str">
        <f t="shared" si="376"/>
        <v>-</v>
      </c>
      <c r="AT661" s="20" t="str">
        <f t="shared" si="376"/>
        <v>-</v>
      </c>
      <c r="AU661" s="20" t="str">
        <f t="shared" si="376"/>
        <v>-</v>
      </c>
      <c r="AV661" s="20" t="str">
        <f t="shared" si="376"/>
        <v>-</v>
      </c>
      <c r="AW661" s="20" t="str">
        <f t="shared" si="376"/>
        <v>-</v>
      </c>
      <c r="AX661" s="20" t="str">
        <f t="shared" si="376"/>
        <v>-</v>
      </c>
      <c r="AY661" s="20" t="str">
        <f t="shared" si="376"/>
        <v>-</v>
      </c>
      <c r="AZ661" s="20" t="str">
        <f t="shared" si="376"/>
        <v>-</v>
      </c>
      <c r="BA661" s="20" t="str">
        <f t="shared" si="376"/>
        <v>-</v>
      </c>
      <c r="BB661" s="20" t="str">
        <f t="shared" si="376"/>
        <v>-</v>
      </c>
      <c r="BC661" s="20" t="str">
        <f t="shared" si="376"/>
        <v>-</v>
      </c>
      <c r="BD661" s="20" t="str">
        <f t="shared" si="376"/>
        <v>-</v>
      </c>
    </row>
    <row r="662" spans="1:56" ht="15" customHeight="1">
      <c r="B662" s="94"/>
      <c r="C662" s="21"/>
      <c r="D662" s="22"/>
      <c r="E662" s="18"/>
      <c r="G662" s="6"/>
      <c r="H662" s="6"/>
      <c r="I662" s="6"/>
      <c r="J662" s="6"/>
      <c r="K662" s="6"/>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c r="AV662" s="6"/>
      <c r="AW662" s="6"/>
      <c r="AX662" s="6"/>
      <c r="AY662" s="6"/>
      <c r="AZ662" s="6"/>
      <c r="BA662" s="6"/>
      <c r="BB662" s="6"/>
      <c r="BC662" s="6"/>
      <c r="BD662" s="6"/>
    </row>
    <row r="663" spans="1:56" ht="15" customHeight="1">
      <c r="B663" s="94"/>
      <c r="C663" s="21"/>
      <c r="D663" s="401" t="s">
        <v>637</v>
      </c>
      <c r="E663" s="18"/>
      <c r="G663" s="17"/>
      <c r="H663" s="6"/>
      <c r="I663" s="6"/>
      <c r="J663" s="6"/>
      <c r="K663" s="6"/>
      <c r="L663" s="6"/>
      <c r="M663" s="6"/>
      <c r="N663" s="6"/>
      <c r="O663" s="6"/>
      <c r="P663" s="6"/>
      <c r="Q663" s="6"/>
      <c r="R663" s="6"/>
      <c r="S663" s="6"/>
      <c r="T663" s="6"/>
      <c r="U663" s="6"/>
      <c r="V663" s="6"/>
      <c r="W663" s="6"/>
      <c r="X663" s="6"/>
      <c r="Y663" s="6"/>
      <c r="Z663" s="6"/>
      <c r="AA663" s="6"/>
      <c r="AB663" s="6"/>
      <c r="AC663" s="6"/>
      <c r="AD663" s="6"/>
      <c r="AE663" s="6"/>
      <c r="AF663" s="6"/>
      <c r="AG663" s="6"/>
      <c r="AH663" s="6"/>
      <c r="AI663" s="6"/>
      <c r="AJ663" s="6"/>
      <c r="AK663" s="6"/>
      <c r="AL663" s="6"/>
      <c r="AM663" s="6"/>
      <c r="AN663" s="6"/>
      <c r="AO663" s="6"/>
      <c r="AP663" s="6"/>
      <c r="AQ663" s="6"/>
      <c r="AR663" s="6"/>
      <c r="AS663" s="6"/>
      <c r="AT663" s="6"/>
      <c r="AU663" s="6"/>
      <c r="AV663" s="6"/>
      <c r="AW663" s="6"/>
      <c r="AX663" s="6"/>
      <c r="AY663" s="6"/>
      <c r="AZ663" s="6"/>
      <c r="BA663" s="6"/>
      <c r="BB663" s="6"/>
      <c r="BC663" s="6"/>
      <c r="BD663" s="6"/>
    </row>
    <row r="664" spans="1:56" ht="15" customHeight="1">
      <c r="B664" s="94"/>
      <c r="C664" s="21">
        <f t="shared" si="374"/>
        <v>4475.8890442517859</v>
      </c>
      <c r="D664" s="22" t="s">
        <v>638</v>
      </c>
      <c r="E664" s="18" t="s">
        <v>333</v>
      </c>
      <c r="G664" s="113">
        <f>G650</f>
        <v>0</v>
      </c>
      <c r="H664" s="113">
        <f t="shared" ref="H664:BD664" si="377">H650</f>
        <v>0</v>
      </c>
      <c r="I664" s="113">
        <f t="shared" si="377"/>
        <v>0</v>
      </c>
      <c r="J664" s="113">
        <f t="shared" si="377"/>
        <v>0</v>
      </c>
      <c r="K664" s="113">
        <f t="shared" si="377"/>
        <v>0</v>
      </c>
      <c r="L664" s="113">
        <f t="shared" si="377"/>
        <v>0</v>
      </c>
      <c r="M664" s="113">
        <f t="shared" si="377"/>
        <v>116.16067358343437</v>
      </c>
      <c r="N664" s="113">
        <f t="shared" si="377"/>
        <v>147.73392710086779</v>
      </c>
      <c r="O664" s="113">
        <f t="shared" si="377"/>
        <v>150.61479945847225</v>
      </c>
      <c r="P664" s="113">
        <f t="shared" si="377"/>
        <v>185.40850040223782</v>
      </c>
      <c r="Q664" s="113">
        <f t="shared" si="377"/>
        <v>189.11667041028258</v>
      </c>
      <c r="R664" s="113">
        <f t="shared" si="377"/>
        <v>192.89900381848813</v>
      </c>
      <c r="S664" s="113">
        <f t="shared" si="377"/>
        <v>196.756983894858</v>
      </c>
      <c r="T664" s="113">
        <f t="shared" si="377"/>
        <v>200.69212357275512</v>
      </c>
      <c r="U664" s="113">
        <f t="shared" si="377"/>
        <v>204.70596604421021</v>
      </c>
      <c r="V664" s="113">
        <f t="shared" si="377"/>
        <v>208.80008536509439</v>
      </c>
      <c r="W664" s="113">
        <f t="shared" si="377"/>
        <v>212.97608707239635</v>
      </c>
      <c r="X664" s="113">
        <f t="shared" si="377"/>
        <v>217.23560881384429</v>
      </c>
      <c r="Y664" s="113">
        <f t="shared" si="377"/>
        <v>220.51056455068652</v>
      </c>
      <c r="Z664" s="113">
        <f t="shared" si="377"/>
        <v>224.91823743658969</v>
      </c>
      <c r="AA664" s="113">
        <f t="shared" si="377"/>
        <v>229.4107775219025</v>
      </c>
      <c r="AB664" s="113">
        <f t="shared" si="377"/>
        <v>233.98877358614371</v>
      </c>
      <c r="AC664" s="113">
        <f t="shared" si="377"/>
        <v>238.65219532429771</v>
      </c>
      <c r="AD664" s="113">
        <f t="shared" si="377"/>
        <v>241.58091262825087</v>
      </c>
      <c r="AE664" s="113">
        <f t="shared" si="377"/>
        <v>246.37242603399878</v>
      </c>
      <c r="AF664" s="113">
        <f t="shared" si="377"/>
        <v>251.23248635448252</v>
      </c>
      <c r="AG664" s="113">
        <f t="shared" si="377"/>
        <v>265.14318389410641</v>
      </c>
      <c r="AH664" s="113">
        <f t="shared" si="377"/>
        <v>100.97905738438547</v>
      </c>
      <c r="AI664" s="113">
        <f t="shared" si="377"/>
        <v>0</v>
      </c>
      <c r="AJ664" s="113">
        <f t="shared" si="377"/>
        <v>0</v>
      </c>
      <c r="AK664" s="113">
        <f t="shared" si="377"/>
        <v>0</v>
      </c>
      <c r="AL664" s="113">
        <f t="shared" si="377"/>
        <v>0</v>
      </c>
      <c r="AM664" s="113">
        <f t="shared" si="377"/>
        <v>0</v>
      </c>
      <c r="AN664" s="113">
        <f t="shared" si="377"/>
        <v>0</v>
      </c>
      <c r="AO664" s="113">
        <f t="shared" si="377"/>
        <v>0</v>
      </c>
      <c r="AP664" s="113">
        <f t="shared" si="377"/>
        <v>0</v>
      </c>
      <c r="AQ664" s="113">
        <f t="shared" si="377"/>
        <v>0</v>
      </c>
      <c r="AR664" s="113">
        <f t="shared" si="377"/>
        <v>0</v>
      </c>
      <c r="AS664" s="113">
        <f t="shared" si="377"/>
        <v>0</v>
      </c>
      <c r="AT664" s="113">
        <f t="shared" si="377"/>
        <v>0</v>
      </c>
      <c r="AU664" s="113">
        <f t="shared" si="377"/>
        <v>0</v>
      </c>
      <c r="AV664" s="113">
        <f t="shared" si="377"/>
        <v>0</v>
      </c>
      <c r="AW664" s="113">
        <f t="shared" si="377"/>
        <v>0</v>
      </c>
      <c r="AX664" s="113">
        <f t="shared" si="377"/>
        <v>0</v>
      </c>
      <c r="AY664" s="113">
        <f t="shared" si="377"/>
        <v>0</v>
      </c>
      <c r="AZ664" s="113">
        <f t="shared" si="377"/>
        <v>0</v>
      </c>
      <c r="BA664" s="113">
        <f t="shared" si="377"/>
        <v>0</v>
      </c>
      <c r="BB664" s="113">
        <f t="shared" si="377"/>
        <v>0</v>
      </c>
      <c r="BC664" s="113">
        <f t="shared" si="377"/>
        <v>0</v>
      </c>
      <c r="BD664" s="113">
        <f t="shared" si="377"/>
        <v>0</v>
      </c>
    </row>
    <row r="665" spans="1:56" ht="15" customHeight="1">
      <c r="A665" s="417" t="str">
        <f>IF(Inputs!E85 = 1, ROUND(SUM(C664:C665) - C647, 5) = 0, "-")</f>
        <v>-</v>
      </c>
      <c r="B665" s="94"/>
      <c r="C665" s="21">
        <f t="shared" si="374"/>
        <v>3436.9546602788419</v>
      </c>
      <c r="D665" s="22" t="s">
        <v>639</v>
      </c>
      <c r="E665" s="18" t="s">
        <v>333</v>
      </c>
      <c r="G665" s="113">
        <f>G652</f>
        <v>0</v>
      </c>
      <c r="H665" s="113">
        <f t="shared" ref="H665:BD665" si="378">H652</f>
        <v>0</v>
      </c>
      <c r="I665" s="113">
        <f t="shared" si="378"/>
        <v>0</v>
      </c>
      <c r="J665" s="113">
        <f t="shared" si="378"/>
        <v>0</v>
      </c>
      <c r="K665" s="113">
        <f t="shared" si="378"/>
        <v>0</v>
      </c>
      <c r="L665" s="113">
        <f t="shared" si="378"/>
        <v>0</v>
      </c>
      <c r="M665" s="113">
        <f t="shared" si="378"/>
        <v>23.709300084908186</v>
      </c>
      <c r="N665" s="113">
        <f t="shared" si="378"/>
        <v>119.04463358685241</v>
      </c>
      <c r="O665" s="113">
        <f t="shared" si="378"/>
        <v>125.47233938469844</v>
      </c>
      <c r="P665" s="113">
        <f t="shared" si="378"/>
        <v>141.98710877184433</v>
      </c>
      <c r="Q665" s="113">
        <f t="shared" si="378"/>
        <v>144.82685094728126</v>
      </c>
      <c r="R665" s="113">
        <f t="shared" si="378"/>
        <v>147.72338796622674</v>
      </c>
      <c r="S665" s="113">
        <f t="shared" si="378"/>
        <v>150.67785572555138</v>
      </c>
      <c r="T665" s="113">
        <f t="shared" si="378"/>
        <v>153.69141284006238</v>
      </c>
      <c r="U665" s="113">
        <f t="shared" si="378"/>
        <v>156.76524109686363</v>
      </c>
      <c r="V665" s="113">
        <f t="shared" si="378"/>
        <v>159.90054591880084</v>
      </c>
      <c r="W665" s="113">
        <f t="shared" si="378"/>
        <v>163.09855683717694</v>
      </c>
      <c r="X665" s="113">
        <f t="shared" si="378"/>
        <v>166.36052797392051</v>
      </c>
      <c r="Y665" s="113">
        <f t="shared" si="378"/>
        <v>168.48528503350764</v>
      </c>
      <c r="Z665" s="113">
        <f t="shared" si="378"/>
        <v>171.85213745468644</v>
      </c>
      <c r="AA665" s="113">
        <f t="shared" si="378"/>
        <v>175.28263302476293</v>
      </c>
      <c r="AB665" s="113">
        <f t="shared" si="378"/>
        <v>178.77679853127481</v>
      </c>
      <c r="AC665" s="113">
        <f t="shared" si="378"/>
        <v>182.33395218285906</v>
      </c>
      <c r="AD665" s="113">
        <f t="shared" si="378"/>
        <v>183.9075266427007</v>
      </c>
      <c r="AE665" s="113">
        <f t="shared" si="378"/>
        <v>187.54059755589535</v>
      </c>
      <c r="AF665" s="113">
        <f t="shared" si="378"/>
        <v>191.21566219277398</v>
      </c>
      <c r="AG665" s="113">
        <f t="shared" si="378"/>
        <v>219.33729023133662</v>
      </c>
      <c r="AH665" s="113">
        <f t="shared" si="378"/>
        <v>124.96501629485783</v>
      </c>
      <c r="AI665" s="113">
        <f t="shared" si="378"/>
        <v>0</v>
      </c>
      <c r="AJ665" s="113">
        <f t="shared" si="378"/>
        <v>0</v>
      </c>
      <c r="AK665" s="113">
        <f t="shared" si="378"/>
        <v>0</v>
      </c>
      <c r="AL665" s="113">
        <f t="shared" si="378"/>
        <v>0</v>
      </c>
      <c r="AM665" s="113">
        <f t="shared" si="378"/>
        <v>0</v>
      </c>
      <c r="AN665" s="113">
        <f t="shared" si="378"/>
        <v>0</v>
      </c>
      <c r="AO665" s="113">
        <f t="shared" si="378"/>
        <v>0</v>
      </c>
      <c r="AP665" s="113">
        <f t="shared" si="378"/>
        <v>0</v>
      </c>
      <c r="AQ665" s="113">
        <f t="shared" si="378"/>
        <v>0</v>
      </c>
      <c r="AR665" s="113">
        <f t="shared" si="378"/>
        <v>0</v>
      </c>
      <c r="AS665" s="113">
        <f t="shared" si="378"/>
        <v>0</v>
      </c>
      <c r="AT665" s="113">
        <f t="shared" si="378"/>
        <v>0</v>
      </c>
      <c r="AU665" s="113">
        <f t="shared" si="378"/>
        <v>0</v>
      </c>
      <c r="AV665" s="113">
        <f t="shared" si="378"/>
        <v>0</v>
      </c>
      <c r="AW665" s="113">
        <f t="shared" si="378"/>
        <v>0</v>
      </c>
      <c r="AX665" s="113">
        <f t="shared" si="378"/>
        <v>0</v>
      </c>
      <c r="AY665" s="113">
        <f t="shared" si="378"/>
        <v>0</v>
      </c>
      <c r="AZ665" s="113">
        <f t="shared" si="378"/>
        <v>0</v>
      </c>
      <c r="BA665" s="113">
        <f t="shared" si="378"/>
        <v>0</v>
      </c>
      <c r="BB665" s="113">
        <f t="shared" si="378"/>
        <v>0</v>
      </c>
      <c r="BC665" s="113">
        <f t="shared" si="378"/>
        <v>0</v>
      </c>
      <c r="BD665" s="113">
        <f t="shared" si="378"/>
        <v>0</v>
      </c>
    </row>
    <row r="666" spans="1:56" ht="15" customHeight="1">
      <c r="B666" s="94"/>
      <c r="C666" s="21"/>
      <c r="D666" s="22"/>
      <c r="E666" s="18"/>
      <c r="G666" s="6"/>
      <c r="H666" s="6"/>
      <c r="I666" s="6"/>
      <c r="J666" s="6"/>
      <c r="K666" s="6"/>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c r="AV666" s="6"/>
      <c r="AW666" s="6"/>
      <c r="AX666" s="6"/>
      <c r="AY666" s="6"/>
      <c r="AZ666" s="6"/>
      <c r="BA666" s="6"/>
      <c r="BB666" s="6"/>
      <c r="BC666" s="6"/>
      <c r="BD666" s="6"/>
    </row>
    <row r="667" spans="1:56" ht="15" customHeight="1">
      <c r="B667" s="94"/>
      <c r="C667" s="21"/>
      <c r="D667" s="11" t="s">
        <v>517</v>
      </c>
      <c r="E667" s="18" t="s">
        <v>333</v>
      </c>
      <c r="G667" s="416">
        <f>F670</f>
        <v>0</v>
      </c>
      <c r="H667" s="416">
        <f t="shared" ref="H667:BD667" si="379">G670</f>
        <v>0</v>
      </c>
      <c r="I667" s="416">
        <f t="shared" si="379"/>
        <v>0</v>
      </c>
      <c r="J667" s="416">
        <f t="shared" si="379"/>
        <v>0</v>
      </c>
      <c r="K667" s="416">
        <f t="shared" si="379"/>
        <v>0</v>
      </c>
      <c r="L667" s="416">
        <f t="shared" si="379"/>
        <v>0</v>
      </c>
      <c r="M667" s="416">
        <f t="shared" si="379"/>
        <v>0</v>
      </c>
      <c r="N667" s="416">
        <f t="shared" si="379"/>
        <v>-116.16067358343437</v>
      </c>
      <c r="O667" s="416">
        <f t="shared" si="379"/>
        <v>-147.73392710086782</v>
      </c>
      <c r="P667" s="416">
        <f t="shared" si="379"/>
        <v>-150.61479945847228</v>
      </c>
      <c r="Q667" s="416">
        <f t="shared" si="379"/>
        <v>-185.40850040223782</v>
      </c>
      <c r="R667" s="416">
        <f t="shared" si="379"/>
        <v>-189.11667041028258</v>
      </c>
      <c r="S667" s="416">
        <f t="shared" si="379"/>
        <v>-192.89900381848813</v>
      </c>
      <c r="T667" s="416">
        <f t="shared" si="379"/>
        <v>-196.756983894858</v>
      </c>
      <c r="U667" s="416">
        <f t="shared" si="379"/>
        <v>-200.69212357275515</v>
      </c>
      <c r="V667" s="416">
        <f t="shared" si="379"/>
        <v>-204.70596604421016</v>
      </c>
      <c r="W667" s="416">
        <f t="shared" si="379"/>
        <v>-208.80008536509442</v>
      </c>
      <c r="X667" s="416">
        <f t="shared" si="379"/>
        <v>-212.97608707239638</v>
      </c>
      <c r="Y667" s="416">
        <f t="shared" si="379"/>
        <v>-217.23560881384432</v>
      </c>
      <c r="Z667" s="416">
        <f t="shared" si="379"/>
        <v>-220.5105645506865</v>
      </c>
      <c r="AA667" s="416">
        <f t="shared" si="379"/>
        <v>-224.91823743658969</v>
      </c>
      <c r="AB667" s="416">
        <f t="shared" si="379"/>
        <v>-229.41077752190253</v>
      </c>
      <c r="AC667" s="416">
        <f t="shared" si="379"/>
        <v>-233.98877358614371</v>
      </c>
      <c r="AD667" s="416">
        <f t="shared" si="379"/>
        <v>-238.65219532429771</v>
      </c>
      <c r="AE667" s="416">
        <f t="shared" si="379"/>
        <v>-241.5809126282509</v>
      </c>
      <c r="AF667" s="416">
        <f t="shared" si="379"/>
        <v>-246.37242603399878</v>
      </c>
      <c r="AG667" s="416">
        <f t="shared" si="379"/>
        <v>-251.23248635448246</v>
      </c>
      <c r="AH667" s="416">
        <f t="shared" si="379"/>
        <v>-265.14318389410641</v>
      </c>
      <c r="AI667" s="416">
        <f t="shared" si="379"/>
        <v>-265.14318389410641</v>
      </c>
      <c r="AJ667" s="416">
        <f t="shared" si="379"/>
        <v>0</v>
      </c>
      <c r="AK667" s="416">
        <f t="shared" si="379"/>
        <v>0</v>
      </c>
      <c r="AL667" s="416">
        <f t="shared" si="379"/>
        <v>0</v>
      </c>
      <c r="AM667" s="416">
        <f t="shared" si="379"/>
        <v>0</v>
      </c>
      <c r="AN667" s="416">
        <f t="shared" si="379"/>
        <v>0</v>
      </c>
      <c r="AO667" s="416">
        <f t="shared" si="379"/>
        <v>0</v>
      </c>
      <c r="AP667" s="416">
        <f t="shared" si="379"/>
        <v>0</v>
      </c>
      <c r="AQ667" s="416">
        <f t="shared" si="379"/>
        <v>0</v>
      </c>
      <c r="AR667" s="416">
        <f t="shared" si="379"/>
        <v>0</v>
      </c>
      <c r="AS667" s="416">
        <f t="shared" si="379"/>
        <v>0</v>
      </c>
      <c r="AT667" s="416">
        <f t="shared" si="379"/>
        <v>0</v>
      </c>
      <c r="AU667" s="416">
        <f t="shared" si="379"/>
        <v>0</v>
      </c>
      <c r="AV667" s="416">
        <f t="shared" si="379"/>
        <v>0</v>
      </c>
      <c r="AW667" s="416">
        <f t="shared" si="379"/>
        <v>0</v>
      </c>
      <c r="AX667" s="416">
        <f t="shared" si="379"/>
        <v>0</v>
      </c>
      <c r="AY667" s="416">
        <f t="shared" si="379"/>
        <v>0</v>
      </c>
      <c r="AZ667" s="416">
        <f t="shared" si="379"/>
        <v>0</v>
      </c>
      <c r="BA667" s="416">
        <f t="shared" si="379"/>
        <v>0</v>
      </c>
      <c r="BB667" s="416">
        <f t="shared" si="379"/>
        <v>0</v>
      </c>
      <c r="BC667" s="416">
        <f t="shared" si="379"/>
        <v>0</v>
      </c>
      <c r="BD667" s="416">
        <f t="shared" si="379"/>
        <v>0</v>
      </c>
    </row>
    <row r="668" spans="1:56" ht="15" customHeight="1">
      <c r="B668" s="94"/>
      <c r="C668" s="21"/>
      <c r="D668" s="11" t="s">
        <v>640</v>
      </c>
      <c r="E668" s="18" t="s">
        <v>333</v>
      </c>
      <c r="G668" s="416" t="str">
        <f>G661</f>
        <v>-</v>
      </c>
      <c r="H668" s="416" t="str">
        <f t="shared" ref="H668:BD668" si="380">H661</f>
        <v>-</v>
      </c>
      <c r="I668" s="416" t="str">
        <f t="shared" si="380"/>
        <v>-</v>
      </c>
      <c r="J668" s="416" t="str">
        <f t="shared" si="380"/>
        <v>-</v>
      </c>
      <c r="K668" s="416" t="str">
        <f t="shared" si="380"/>
        <v>-</v>
      </c>
      <c r="L668" s="416" t="str">
        <f t="shared" si="380"/>
        <v>-</v>
      </c>
      <c r="M668" s="416">
        <f t="shared" si="380"/>
        <v>-116.16067358343437</v>
      </c>
      <c r="N668" s="416">
        <f t="shared" si="380"/>
        <v>-147.73392710086779</v>
      </c>
      <c r="O668" s="416">
        <f t="shared" si="380"/>
        <v>-150.61479945847225</v>
      </c>
      <c r="P668" s="416">
        <f t="shared" si="380"/>
        <v>-185.40850040223782</v>
      </c>
      <c r="Q668" s="416">
        <f t="shared" si="380"/>
        <v>-189.11667041028258</v>
      </c>
      <c r="R668" s="416">
        <f t="shared" si="380"/>
        <v>-192.89900381848813</v>
      </c>
      <c r="S668" s="416">
        <f t="shared" si="380"/>
        <v>-196.756983894858</v>
      </c>
      <c r="T668" s="416">
        <f t="shared" si="380"/>
        <v>-200.69212357275515</v>
      </c>
      <c r="U668" s="416">
        <f t="shared" si="380"/>
        <v>-204.70596604421019</v>
      </c>
      <c r="V668" s="416">
        <f t="shared" si="380"/>
        <v>-208.80008536509442</v>
      </c>
      <c r="W668" s="416">
        <f t="shared" si="380"/>
        <v>-212.97608707239635</v>
      </c>
      <c r="X668" s="416">
        <f t="shared" si="380"/>
        <v>-217.23560881384429</v>
      </c>
      <c r="Y668" s="416">
        <f t="shared" si="380"/>
        <v>-220.5105645506865</v>
      </c>
      <c r="Z668" s="416">
        <f t="shared" si="380"/>
        <v>-224.91823743658969</v>
      </c>
      <c r="AA668" s="416">
        <f t="shared" si="380"/>
        <v>-229.41077752190253</v>
      </c>
      <c r="AB668" s="416">
        <f t="shared" si="380"/>
        <v>-233.98877358614374</v>
      </c>
      <c r="AC668" s="416">
        <f t="shared" si="380"/>
        <v>-238.65219532429771</v>
      </c>
      <c r="AD668" s="416">
        <f t="shared" si="380"/>
        <v>-241.5809126282509</v>
      </c>
      <c r="AE668" s="416">
        <f t="shared" si="380"/>
        <v>-246.37242603399878</v>
      </c>
      <c r="AF668" s="416">
        <f t="shared" si="380"/>
        <v>-251.23248635448249</v>
      </c>
      <c r="AG668" s="416">
        <f t="shared" si="380"/>
        <v>-265.14318389410641</v>
      </c>
      <c r="AH668" s="416">
        <f t="shared" si="380"/>
        <v>-100.97905738438547</v>
      </c>
      <c r="AI668" s="416" t="str">
        <f t="shared" si="380"/>
        <v>-</v>
      </c>
      <c r="AJ668" s="416" t="str">
        <f t="shared" si="380"/>
        <v>-</v>
      </c>
      <c r="AK668" s="416" t="str">
        <f t="shared" si="380"/>
        <v>-</v>
      </c>
      <c r="AL668" s="416" t="str">
        <f t="shared" si="380"/>
        <v>-</v>
      </c>
      <c r="AM668" s="416" t="str">
        <f t="shared" si="380"/>
        <v>-</v>
      </c>
      <c r="AN668" s="416" t="str">
        <f t="shared" si="380"/>
        <v>-</v>
      </c>
      <c r="AO668" s="416" t="str">
        <f t="shared" si="380"/>
        <v>-</v>
      </c>
      <c r="AP668" s="416" t="str">
        <f t="shared" si="380"/>
        <v>-</v>
      </c>
      <c r="AQ668" s="416" t="str">
        <f t="shared" si="380"/>
        <v>-</v>
      </c>
      <c r="AR668" s="416" t="str">
        <f t="shared" si="380"/>
        <v>-</v>
      </c>
      <c r="AS668" s="416" t="str">
        <f t="shared" si="380"/>
        <v>-</v>
      </c>
      <c r="AT668" s="416" t="str">
        <f t="shared" si="380"/>
        <v>-</v>
      </c>
      <c r="AU668" s="416" t="str">
        <f t="shared" si="380"/>
        <v>-</v>
      </c>
      <c r="AV668" s="416" t="str">
        <f t="shared" si="380"/>
        <v>-</v>
      </c>
      <c r="AW668" s="416" t="str">
        <f t="shared" si="380"/>
        <v>-</v>
      </c>
      <c r="AX668" s="416" t="str">
        <f t="shared" si="380"/>
        <v>-</v>
      </c>
      <c r="AY668" s="416" t="str">
        <f t="shared" si="380"/>
        <v>-</v>
      </c>
      <c r="AZ668" s="416" t="str">
        <f t="shared" si="380"/>
        <v>-</v>
      </c>
      <c r="BA668" s="416" t="str">
        <f t="shared" si="380"/>
        <v>-</v>
      </c>
      <c r="BB668" s="416" t="str">
        <f t="shared" si="380"/>
        <v>-</v>
      </c>
      <c r="BC668" s="416" t="str">
        <f t="shared" si="380"/>
        <v>-</v>
      </c>
      <c r="BD668" s="416" t="str">
        <f t="shared" si="380"/>
        <v>-</v>
      </c>
    </row>
    <row r="669" spans="1:56" ht="15" customHeight="1">
      <c r="B669" s="425"/>
      <c r="C669" s="21"/>
      <c r="D669" s="11" t="s">
        <v>641</v>
      </c>
      <c r="E669" s="18" t="s">
        <v>333</v>
      </c>
      <c r="G669" s="416">
        <f t="shared" ref="G669:AL669" si="381">IF(G31 &lt;= $C$36, IF(G667 = 0, 0, IF(G667 &lt; 0, -MIN(G664, -G667), MIN(G665, G667))), G667)</f>
        <v>0</v>
      </c>
      <c r="H669" s="416">
        <f t="shared" si="381"/>
        <v>0</v>
      </c>
      <c r="I669" s="416">
        <f t="shared" si="381"/>
        <v>0</v>
      </c>
      <c r="J669" s="416">
        <f t="shared" si="381"/>
        <v>0</v>
      </c>
      <c r="K669" s="416">
        <f t="shared" si="381"/>
        <v>0</v>
      </c>
      <c r="L669" s="416">
        <f t="shared" si="381"/>
        <v>0</v>
      </c>
      <c r="M669" s="416">
        <f t="shared" si="381"/>
        <v>0</v>
      </c>
      <c r="N669" s="416">
        <f t="shared" si="381"/>
        <v>-116.16067358343437</v>
      </c>
      <c r="O669" s="416">
        <f t="shared" si="381"/>
        <v>-147.73392710086782</v>
      </c>
      <c r="P669" s="416">
        <f t="shared" si="381"/>
        <v>-150.61479945847228</v>
      </c>
      <c r="Q669" s="416">
        <f t="shared" si="381"/>
        <v>-185.40850040223782</v>
      </c>
      <c r="R669" s="416">
        <f t="shared" si="381"/>
        <v>-189.11667041028258</v>
      </c>
      <c r="S669" s="416">
        <f t="shared" si="381"/>
        <v>-192.89900381848813</v>
      </c>
      <c r="T669" s="416">
        <f t="shared" si="381"/>
        <v>-196.756983894858</v>
      </c>
      <c r="U669" s="416">
        <f t="shared" si="381"/>
        <v>-200.69212357275515</v>
      </c>
      <c r="V669" s="416">
        <f t="shared" si="381"/>
        <v>-204.70596604421016</v>
      </c>
      <c r="W669" s="416">
        <f t="shared" si="381"/>
        <v>-208.80008536509442</v>
      </c>
      <c r="X669" s="416">
        <f t="shared" si="381"/>
        <v>-212.97608707239638</v>
      </c>
      <c r="Y669" s="416">
        <f t="shared" si="381"/>
        <v>-217.23560881384432</v>
      </c>
      <c r="Z669" s="416">
        <f t="shared" si="381"/>
        <v>-220.5105645506865</v>
      </c>
      <c r="AA669" s="416">
        <f t="shared" si="381"/>
        <v>-224.91823743658969</v>
      </c>
      <c r="AB669" s="416">
        <f t="shared" si="381"/>
        <v>-229.41077752190253</v>
      </c>
      <c r="AC669" s="416">
        <f t="shared" si="381"/>
        <v>-233.98877358614371</v>
      </c>
      <c r="AD669" s="416">
        <f t="shared" si="381"/>
        <v>-238.65219532429771</v>
      </c>
      <c r="AE669" s="416">
        <f t="shared" si="381"/>
        <v>-241.5809126282509</v>
      </c>
      <c r="AF669" s="416">
        <f t="shared" si="381"/>
        <v>-246.37242603399878</v>
      </c>
      <c r="AG669" s="416">
        <f t="shared" si="381"/>
        <v>-251.23248635448246</v>
      </c>
      <c r="AH669" s="416">
        <f t="shared" si="381"/>
        <v>-100.97905738438547</v>
      </c>
      <c r="AI669" s="416">
        <f t="shared" si="381"/>
        <v>-265.14318389410641</v>
      </c>
      <c r="AJ669" s="416">
        <f t="shared" si="381"/>
        <v>0</v>
      </c>
      <c r="AK669" s="416">
        <f t="shared" si="381"/>
        <v>0</v>
      </c>
      <c r="AL669" s="416">
        <f t="shared" si="381"/>
        <v>0</v>
      </c>
      <c r="AM669" s="416">
        <f t="shared" ref="AM669:BD669" si="382">IF(AM31 &lt;= $C$36, IF(AM667 = 0, 0, IF(AM667 &lt; 0, -MIN(AM664, -AM667), MIN(AM665, AM667))), AM667)</f>
        <v>0</v>
      </c>
      <c r="AN669" s="416">
        <f t="shared" si="382"/>
        <v>0</v>
      </c>
      <c r="AO669" s="416">
        <f t="shared" si="382"/>
        <v>0</v>
      </c>
      <c r="AP669" s="416">
        <f t="shared" si="382"/>
        <v>0</v>
      </c>
      <c r="AQ669" s="416">
        <f t="shared" si="382"/>
        <v>0</v>
      </c>
      <c r="AR669" s="416">
        <f t="shared" si="382"/>
        <v>0</v>
      </c>
      <c r="AS669" s="416">
        <f t="shared" si="382"/>
        <v>0</v>
      </c>
      <c r="AT669" s="416">
        <f t="shared" si="382"/>
        <v>0</v>
      </c>
      <c r="AU669" s="416">
        <f t="shared" si="382"/>
        <v>0</v>
      </c>
      <c r="AV669" s="416">
        <f t="shared" si="382"/>
        <v>0</v>
      </c>
      <c r="AW669" s="416">
        <f t="shared" si="382"/>
        <v>0</v>
      </c>
      <c r="AX669" s="416">
        <f t="shared" si="382"/>
        <v>0</v>
      </c>
      <c r="AY669" s="416">
        <f t="shared" si="382"/>
        <v>0</v>
      </c>
      <c r="AZ669" s="416">
        <f t="shared" si="382"/>
        <v>0</v>
      </c>
      <c r="BA669" s="416">
        <f t="shared" si="382"/>
        <v>0</v>
      </c>
      <c r="BB669" s="416">
        <f t="shared" si="382"/>
        <v>0</v>
      </c>
      <c r="BC669" s="416">
        <f t="shared" si="382"/>
        <v>0</v>
      </c>
      <c r="BD669" s="416">
        <f t="shared" si="382"/>
        <v>0</v>
      </c>
    </row>
    <row r="670" spans="1:56" ht="15" customHeight="1">
      <c r="B670" s="425"/>
      <c r="C670" s="21"/>
      <c r="D670" s="11" t="s">
        <v>521</v>
      </c>
      <c r="E670" s="18" t="s">
        <v>333</v>
      </c>
      <c r="G670" s="416">
        <f>IFERROR(G668 + G667 - G669, 0)</f>
        <v>0</v>
      </c>
      <c r="H670" s="416">
        <f t="shared" ref="H670:BD670" si="383">IFERROR(H668 + H667 - H669, 0)</f>
        <v>0</v>
      </c>
      <c r="I670" s="416">
        <f t="shared" si="383"/>
        <v>0</v>
      </c>
      <c r="J670" s="416">
        <f t="shared" si="383"/>
        <v>0</v>
      </c>
      <c r="K670" s="416">
        <f t="shared" si="383"/>
        <v>0</v>
      </c>
      <c r="L670" s="416">
        <f t="shared" si="383"/>
        <v>0</v>
      </c>
      <c r="M670" s="416">
        <f t="shared" si="383"/>
        <v>-116.16067358343437</v>
      </c>
      <c r="N670" s="416">
        <f t="shared" si="383"/>
        <v>-147.73392710086782</v>
      </c>
      <c r="O670" s="416">
        <f t="shared" si="383"/>
        <v>-150.61479945847228</v>
      </c>
      <c r="P670" s="416">
        <f t="shared" si="383"/>
        <v>-185.40850040223782</v>
      </c>
      <c r="Q670" s="416">
        <f t="shared" si="383"/>
        <v>-189.11667041028258</v>
      </c>
      <c r="R670" s="416">
        <f t="shared" si="383"/>
        <v>-192.89900381848813</v>
      </c>
      <c r="S670" s="416">
        <f t="shared" si="383"/>
        <v>-196.756983894858</v>
      </c>
      <c r="T670" s="416">
        <f t="shared" si="383"/>
        <v>-200.69212357275515</v>
      </c>
      <c r="U670" s="416">
        <f t="shared" si="383"/>
        <v>-204.70596604421016</v>
      </c>
      <c r="V670" s="416">
        <f t="shared" si="383"/>
        <v>-208.80008536509442</v>
      </c>
      <c r="W670" s="416">
        <f t="shared" si="383"/>
        <v>-212.97608707239638</v>
      </c>
      <c r="X670" s="416">
        <f t="shared" si="383"/>
        <v>-217.23560881384432</v>
      </c>
      <c r="Y670" s="416">
        <f t="shared" si="383"/>
        <v>-220.5105645506865</v>
      </c>
      <c r="Z670" s="416">
        <f t="shared" si="383"/>
        <v>-224.91823743658969</v>
      </c>
      <c r="AA670" s="416">
        <f t="shared" si="383"/>
        <v>-229.41077752190253</v>
      </c>
      <c r="AB670" s="416">
        <f t="shared" si="383"/>
        <v>-233.98877358614371</v>
      </c>
      <c r="AC670" s="416">
        <f t="shared" si="383"/>
        <v>-238.65219532429771</v>
      </c>
      <c r="AD670" s="416">
        <f t="shared" si="383"/>
        <v>-241.5809126282509</v>
      </c>
      <c r="AE670" s="416">
        <f t="shared" si="383"/>
        <v>-246.37242603399878</v>
      </c>
      <c r="AF670" s="416">
        <f t="shared" si="383"/>
        <v>-251.23248635448246</v>
      </c>
      <c r="AG670" s="416">
        <f t="shared" si="383"/>
        <v>-265.14318389410641</v>
      </c>
      <c r="AH670" s="416">
        <f t="shared" si="383"/>
        <v>-265.14318389410641</v>
      </c>
      <c r="AI670" s="416">
        <f t="shared" si="383"/>
        <v>0</v>
      </c>
      <c r="AJ670" s="416">
        <f t="shared" si="383"/>
        <v>0</v>
      </c>
      <c r="AK670" s="416">
        <f t="shared" si="383"/>
        <v>0</v>
      </c>
      <c r="AL670" s="416">
        <f t="shared" si="383"/>
        <v>0</v>
      </c>
      <c r="AM670" s="416">
        <f t="shared" si="383"/>
        <v>0</v>
      </c>
      <c r="AN670" s="416">
        <f t="shared" si="383"/>
        <v>0</v>
      </c>
      <c r="AO670" s="416">
        <f t="shared" si="383"/>
        <v>0</v>
      </c>
      <c r="AP670" s="416">
        <f t="shared" si="383"/>
        <v>0</v>
      </c>
      <c r="AQ670" s="416">
        <f t="shared" si="383"/>
        <v>0</v>
      </c>
      <c r="AR670" s="416">
        <f t="shared" si="383"/>
        <v>0</v>
      </c>
      <c r="AS670" s="416">
        <f t="shared" si="383"/>
        <v>0</v>
      </c>
      <c r="AT670" s="416">
        <f t="shared" si="383"/>
        <v>0</v>
      </c>
      <c r="AU670" s="416">
        <f t="shared" si="383"/>
        <v>0</v>
      </c>
      <c r="AV670" s="416">
        <f t="shared" si="383"/>
        <v>0</v>
      </c>
      <c r="AW670" s="416">
        <f t="shared" si="383"/>
        <v>0</v>
      </c>
      <c r="AX670" s="416">
        <f t="shared" si="383"/>
        <v>0</v>
      </c>
      <c r="AY670" s="416">
        <f t="shared" si="383"/>
        <v>0</v>
      </c>
      <c r="AZ670" s="416">
        <f t="shared" si="383"/>
        <v>0</v>
      </c>
      <c r="BA670" s="416">
        <f t="shared" si="383"/>
        <v>0</v>
      </c>
      <c r="BB670" s="416">
        <f t="shared" si="383"/>
        <v>0</v>
      </c>
      <c r="BC670" s="416">
        <f t="shared" si="383"/>
        <v>0</v>
      </c>
      <c r="BD670" s="416">
        <f t="shared" si="383"/>
        <v>0</v>
      </c>
    </row>
    <row r="671" spans="1:56" ht="15" customHeight="1">
      <c r="B671" s="94"/>
      <c r="C671" s="21"/>
      <c r="E671" s="18"/>
      <c r="G671" s="416"/>
      <c r="H671" s="416"/>
      <c r="I671" s="416"/>
      <c r="J671" s="416"/>
      <c r="K671" s="416"/>
      <c r="L671" s="416"/>
      <c r="M671" s="416"/>
      <c r="N671" s="416"/>
      <c r="O671" s="416"/>
      <c r="P671" s="416"/>
      <c r="Q671" s="416"/>
      <c r="R671" s="416"/>
      <c r="S671" s="416"/>
      <c r="T671" s="416"/>
      <c r="U671" s="416"/>
      <c r="V671" s="416"/>
      <c r="W671" s="416"/>
      <c r="X671" s="416"/>
      <c r="Y671" s="416"/>
      <c r="Z671" s="416"/>
      <c r="AA671" s="416"/>
      <c r="AB671" s="416"/>
      <c r="AC671" s="416"/>
      <c r="AD671" s="416"/>
      <c r="AE671" s="416"/>
      <c r="AF671" s="416"/>
      <c r="AG671" s="416"/>
      <c r="AH671" s="416"/>
      <c r="AI671" s="416"/>
      <c r="AJ671" s="416"/>
      <c r="AK671" s="416"/>
      <c r="AL671" s="416"/>
      <c r="AM671" s="416"/>
      <c r="AN671" s="416"/>
      <c r="AO671" s="416"/>
      <c r="AP671" s="416"/>
      <c r="AQ671" s="416"/>
      <c r="AR671" s="416"/>
      <c r="AS671" s="416"/>
      <c r="AT671" s="416"/>
      <c r="AU671" s="416"/>
      <c r="AV671" s="416"/>
      <c r="AW671" s="416"/>
      <c r="AX671" s="416"/>
      <c r="AY671" s="416"/>
      <c r="AZ671" s="416"/>
      <c r="BA671" s="416"/>
      <c r="BB671" s="416"/>
      <c r="BC671" s="416"/>
      <c r="BD671" s="416"/>
    </row>
    <row r="672" spans="1:56" ht="15" customHeight="1">
      <c r="B672" s="94"/>
      <c r="C672" s="21">
        <f>SUM(G672:BD672)</f>
        <v>-4475.8890442517859</v>
      </c>
      <c r="D672" s="11" t="s">
        <v>642</v>
      </c>
      <c r="E672" s="18" t="s">
        <v>333</v>
      </c>
      <c r="G672" s="416">
        <f>G669</f>
        <v>0</v>
      </c>
      <c r="H672" s="416">
        <f t="shared" ref="H672:BD672" si="384">H669</f>
        <v>0</v>
      </c>
      <c r="I672" s="416">
        <f t="shared" si="384"/>
        <v>0</v>
      </c>
      <c r="J672" s="416">
        <f t="shared" si="384"/>
        <v>0</v>
      </c>
      <c r="K672" s="416">
        <f t="shared" si="384"/>
        <v>0</v>
      </c>
      <c r="L672" s="416">
        <f t="shared" si="384"/>
        <v>0</v>
      </c>
      <c r="M672" s="416">
        <f t="shared" si="384"/>
        <v>0</v>
      </c>
      <c r="N672" s="416">
        <f t="shared" si="384"/>
        <v>-116.16067358343437</v>
      </c>
      <c r="O672" s="416">
        <f t="shared" si="384"/>
        <v>-147.73392710086782</v>
      </c>
      <c r="P672" s="416">
        <f t="shared" si="384"/>
        <v>-150.61479945847228</v>
      </c>
      <c r="Q672" s="416">
        <f t="shared" si="384"/>
        <v>-185.40850040223782</v>
      </c>
      <c r="R672" s="416">
        <f t="shared" si="384"/>
        <v>-189.11667041028258</v>
      </c>
      <c r="S672" s="416">
        <f t="shared" si="384"/>
        <v>-192.89900381848813</v>
      </c>
      <c r="T672" s="416">
        <f t="shared" si="384"/>
        <v>-196.756983894858</v>
      </c>
      <c r="U672" s="416">
        <f t="shared" si="384"/>
        <v>-200.69212357275515</v>
      </c>
      <c r="V672" s="416">
        <f t="shared" si="384"/>
        <v>-204.70596604421016</v>
      </c>
      <c r="W672" s="416">
        <f t="shared" si="384"/>
        <v>-208.80008536509442</v>
      </c>
      <c r="X672" s="416">
        <f t="shared" si="384"/>
        <v>-212.97608707239638</v>
      </c>
      <c r="Y672" s="416">
        <f t="shared" si="384"/>
        <v>-217.23560881384432</v>
      </c>
      <c r="Z672" s="416">
        <f t="shared" si="384"/>
        <v>-220.5105645506865</v>
      </c>
      <c r="AA672" s="416">
        <f t="shared" si="384"/>
        <v>-224.91823743658969</v>
      </c>
      <c r="AB672" s="416">
        <f t="shared" si="384"/>
        <v>-229.41077752190253</v>
      </c>
      <c r="AC672" s="416">
        <f t="shared" si="384"/>
        <v>-233.98877358614371</v>
      </c>
      <c r="AD672" s="416">
        <f t="shared" si="384"/>
        <v>-238.65219532429771</v>
      </c>
      <c r="AE672" s="416">
        <f t="shared" si="384"/>
        <v>-241.5809126282509</v>
      </c>
      <c r="AF672" s="416">
        <f t="shared" si="384"/>
        <v>-246.37242603399878</v>
      </c>
      <c r="AG672" s="416">
        <f t="shared" si="384"/>
        <v>-251.23248635448246</v>
      </c>
      <c r="AH672" s="416">
        <f t="shared" si="384"/>
        <v>-100.97905738438547</v>
      </c>
      <c r="AI672" s="416">
        <f t="shared" si="384"/>
        <v>-265.14318389410641</v>
      </c>
      <c r="AJ672" s="416">
        <f t="shared" si="384"/>
        <v>0</v>
      </c>
      <c r="AK672" s="416">
        <f t="shared" si="384"/>
        <v>0</v>
      </c>
      <c r="AL672" s="416">
        <f t="shared" si="384"/>
        <v>0</v>
      </c>
      <c r="AM672" s="416">
        <f t="shared" si="384"/>
        <v>0</v>
      </c>
      <c r="AN672" s="416">
        <f t="shared" si="384"/>
        <v>0</v>
      </c>
      <c r="AO672" s="416">
        <f t="shared" si="384"/>
        <v>0</v>
      </c>
      <c r="AP672" s="416">
        <f t="shared" si="384"/>
        <v>0</v>
      </c>
      <c r="AQ672" s="416">
        <f t="shared" si="384"/>
        <v>0</v>
      </c>
      <c r="AR672" s="416">
        <f t="shared" si="384"/>
        <v>0</v>
      </c>
      <c r="AS672" s="416">
        <f t="shared" si="384"/>
        <v>0</v>
      </c>
      <c r="AT672" s="416">
        <f t="shared" si="384"/>
        <v>0</v>
      </c>
      <c r="AU672" s="416">
        <f t="shared" si="384"/>
        <v>0</v>
      </c>
      <c r="AV672" s="416">
        <f t="shared" si="384"/>
        <v>0</v>
      </c>
      <c r="AW672" s="416">
        <f t="shared" si="384"/>
        <v>0</v>
      </c>
      <c r="AX672" s="416">
        <f t="shared" si="384"/>
        <v>0</v>
      </c>
      <c r="AY672" s="416">
        <f t="shared" si="384"/>
        <v>0</v>
      </c>
      <c r="AZ672" s="416">
        <f t="shared" si="384"/>
        <v>0</v>
      </c>
      <c r="BA672" s="416">
        <f t="shared" si="384"/>
        <v>0</v>
      </c>
      <c r="BB672" s="416">
        <f t="shared" si="384"/>
        <v>0</v>
      </c>
      <c r="BC672" s="416">
        <f t="shared" si="384"/>
        <v>0</v>
      </c>
      <c r="BD672" s="416">
        <f t="shared" si="384"/>
        <v>0</v>
      </c>
    </row>
    <row r="673" spans="1:56" ht="15" customHeight="1">
      <c r="A673" s="417" t="str">
        <f>IF(Inputs!E85 = 1, ROUND(SUM(C672:C673), 5) = 0, "-")</f>
        <v>-</v>
      </c>
      <c r="B673" s="94"/>
      <c r="C673" s="21">
        <f>SUM(G673:BD673)</f>
        <v>4475.8890442517859</v>
      </c>
      <c r="D673" s="11" t="s">
        <v>643</v>
      </c>
      <c r="E673" s="18" t="s">
        <v>333</v>
      </c>
      <c r="G673" s="416">
        <f>-G669</f>
        <v>0</v>
      </c>
      <c r="H673" s="416">
        <f t="shared" ref="H673:BD673" si="385">-H669</f>
        <v>0</v>
      </c>
      <c r="I673" s="416">
        <f t="shared" si="385"/>
        <v>0</v>
      </c>
      <c r="J673" s="416">
        <f t="shared" si="385"/>
        <v>0</v>
      </c>
      <c r="K673" s="416">
        <f t="shared" si="385"/>
        <v>0</v>
      </c>
      <c r="L673" s="416">
        <f t="shared" si="385"/>
        <v>0</v>
      </c>
      <c r="M673" s="416">
        <f t="shared" si="385"/>
        <v>0</v>
      </c>
      <c r="N673" s="416">
        <f t="shared" si="385"/>
        <v>116.16067358343437</v>
      </c>
      <c r="O673" s="416">
        <f t="shared" si="385"/>
        <v>147.73392710086782</v>
      </c>
      <c r="P673" s="416">
        <f t="shared" si="385"/>
        <v>150.61479945847228</v>
      </c>
      <c r="Q673" s="416">
        <f t="shared" si="385"/>
        <v>185.40850040223782</v>
      </c>
      <c r="R673" s="416">
        <f t="shared" si="385"/>
        <v>189.11667041028258</v>
      </c>
      <c r="S673" s="416">
        <f t="shared" si="385"/>
        <v>192.89900381848813</v>
      </c>
      <c r="T673" s="416">
        <f t="shared" si="385"/>
        <v>196.756983894858</v>
      </c>
      <c r="U673" s="416">
        <f t="shared" si="385"/>
        <v>200.69212357275515</v>
      </c>
      <c r="V673" s="416">
        <f t="shared" si="385"/>
        <v>204.70596604421016</v>
      </c>
      <c r="W673" s="416">
        <f t="shared" si="385"/>
        <v>208.80008536509442</v>
      </c>
      <c r="X673" s="416">
        <f t="shared" si="385"/>
        <v>212.97608707239638</v>
      </c>
      <c r="Y673" s="416">
        <f t="shared" si="385"/>
        <v>217.23560881384432</v>
      </c>
      <c r="Z673" s="416">
        <f t="shared" si="385"/>
        <v>220.5105645506865</v>
      </c>
      <c r="AA673" s="416">
        <f t="shared" si="385"/>
        <v>224.91823743658969</v>
      </c>
      <c r="AB673" s="416">
        <f t="shared" si="385"/>
        <v>229.41077752190253</v>
      </c>
      <c r="AC673" s="416">
        <f t="shared" si="385"/>
        <v>233.98877358614371</v>
      </c>
      <c r="AD673" s="416">
        <f t="shared" si="385"/>
        <v>238.65219532429771</v>
      </c>
      <c r="AE673" s="416">
        <f t="shared" si="385"/>
        <v>241.5809126282509</v>
      </c>
      <c r="AF673" s="416">
        <f t="shared" si="385"/>
        <v>246.37242603399878</v>
      </c>
      <c r="AG673" s="416">
        <f t="shared" si="385"/>
        <v>251.23248635448246</v>
      </c>
      <c r="AH673" s="416">
        <f t="shared" si="385"/>
        <v>100.97905738438547</v>
      </c>
      <c r="AI673" s="416">
        <f t="shared" si="385"/>
        <v>265.14318389410641</v>
      </c>
      <c r="AJ673" s="416">
        <f t="shared" si="385"/>
        <v>0</v>
      </c>
      <c r="AK673" s="416">
        <f t="shared" si="385"/>
        <v>0</v>
      </c>
      <c r="AL673" s="416">
        <f t="shared" si="385"/>
        <v>0</v>
      </c>
      <c r="AM673" s="416">
        <f t="shared" si="385"/>
        <v>0</v>
      </c>
      <c r="AN673" s="416">
        <f t="shared" si="385"/>
        <v>0</v>
      </c>
      <c r="AO673" s="416">
        <f t="shared" si="385"/>
        <v>0</v>
      </c>
      <c r="AP673" s="416">
        <f t="shared" si="385"/>
        <v>0</v>
      </c>
      <c r="AQ673" s="416">
        <f t="shared" si="385"/>
        <v>0</v>
      </c>
      <c r="AR673" s="416">
        <f t="shared" si="385"/>
        <v>0</v>
      </c>
      <c r="AS673" s="416">
        <f t="shared" si="385"/>
        <v>0</v>
      </c>
      <c r="AT673" s="416">
        <f t="shared" si="385"/>
        <v>0</v>
      </c>
      <c r="AU673" s="416">
        <f t="shared" si="385"/>
        <v>0</v>
      </c>
      <c r="AV673" s="416">
        <f t="shared" si="385"/>
        <v>0</v>
      </c>
      <c r="AW673" s="416">
        <f t="shared" si="385"/>
        <v>0</v>
      </c>
      <c r="AX673" s="416">
        <f t="shared" si="385"/>
        <v>0</v>
      </c>
      <c r="AY673" s="416">
        <f t="shared" si="385"/>
        <v>0</v>
      </c>
      <c r="AZ673" s="416">
        <f t="shared" si="385"/>
        <v>0</v>
      </c>
      <c r="BA673" s="416">
        <f t="shared" si="385"/>
        <v>0</v>
      </c>
      <c r="BB673" s="416">
        <f t="shared" si="385"/>
        <v>0</v>
      </c>
      <c r="BC673" s="416">
        <f t="shared" si="385"/>
        <v>0</v>
      </c>
      <c r="BD673" s="416">
        <f t="shared" si="385"/>
        <v>0</v>
      </c>
    </row>
    <row r="674" spans="1:56" ht="15" customHeight="1">
      <c r="B674" s="94"/>
      <c r="C674" s="20"/>
      <c r="D674" s="112"/>
      <c r="E674" s="18"/>
      <c r="G674" s="17"/>
      <c r="H674" s="17"/>
      <c r="I674" s="17"/>
      <c r="J674" s="17"/>
      <c r="K674" s="17"/>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row>
    <row r="675" spans="1:56" ht="15" customHeight="1">
      <c r="C675" s="20"/>
      <c r="D675" s="449" t="s">
        <v>644</v>
      </c>
      <c r="E675" s="18"/>
      <c r="G675" s="17"/>
      <c r="H675" s="17"/>
      <c r="I675" s="17"/>
      <c r="J675" s="17"/>
      <c r="K675" s="17"/>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row>
    <row r="676" spans="1:56" ht="15" customHeight="1">
      <c r="C676" s="20"/>
      <c r="D676" s="449"/>
      <c r="E676" s="18"/>
      <c r="G676" s="17"/>
      <c r="H676" s="17"/>
      <c r="I676" s="17"/>
      <c r="J676" s="17"/>
      <c r="K676" s="17"/>
      <c r="L676" s="17"/>
      <c r="M676" s="17"/>
      <c r="N676" s="17"/>
      <c r="O676" s="17"/>
      <c r="P676" s="17"/>
      <c r="Q676" s="17"/>
      <c r="R676" s="17"/>
      <c r="S676" s="17"/>
      <c r="T676" s="17"/>
      <c r="U676" s="17"/>
      <c r="V676" s="17"/>
      <c r="W676" s="17"/>
      <c r="X676" s="17"/>
      <c r="Y676" s="17"/>
      <c r="Z676" s="17"/>
      <c r="AA676" s="17"/>
      <c r="AB676" s="17"/>
      <c r="AC676" s="17"/>
      <c r="AD676" s="17"/>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row>
    <row r="677" spans="1:56" ht="15" customHeight="1">
      <c r="C677" s="20"/>
      <c r="D677" s="401" t="s">
        <v>645</v>
      </c>
      <c r="E677" s="18"/>
      <c r="G677" s="17"/>
      <c r="H677" s="17"/>
      <c r="I677" s="17"/>
      <c r="J677" s="17"/>
      <c r="K677" s="17"/>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row>
    <row r="678" spans="1:56" ht="15" customHeight="1">
      <c r="C678" s="20"/>
      <c r="D678" s="22" t="s">
        <v>646</v>
      </c>
      <c r="E678" s="440">
        <f>(((SUM(C53:C54) * Inputs!E195) * (Inputs!E198 + Inputs!E202)) + (((SUM(C53:C54) * ( 1- Inputs!E195)) * (Inputs!E200 + Inputs!E202)) * (1 - (Inputs!$E$76 * Inputs!$E$77)) * (1 - (IF(Inputs!$E$46=0, Inputs!$E$44, IF(G33 &lt; Inputs!$E$46, Inputs!$E$44, Inputs!$E$45))))))/SUM(C53:C54)</f>
        <v>7.4999999999999997E-2</v>
      </c>
      <c r="G678" s="17"/>
      <c r="H678" s="17"/>
      <c r="I678" s="17"/>
      <c r="J678" s="17"/>
      <c r="K678" s="17"/>
      <c r="L678" s="17"/>
      <c r="M678" s="17"/>
      <c r="N678" s="17"/>
      <c r="O678" s="17"/>
      <c r="P678" s="17"/>
      <c r="Q678" s="17"/>
      <c r="R678" s="17"/>
      <c r="S678" s="17"/>
      <c r="T678" s="17"/>
      <c r="U678" s="17"/>
      <c r="V678" s="17"/>
      <c r="W678" s="17"/>
      <c r="X678" s="17"/>
      <c r="Y678" s="17"/>
      <c r="Z678" s="17"/>
      <c r="AA678" s="17"/>
      <c r="AB678" s="17"/>
      <c r="AC678" s="17"/>
      <c r="AD678" s="17"/>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row>
    <row r="679" spans="1:56" ht="15" customHeight="1">
      <c r="C679" s="21"/>
      <c r="D679" s="22" t="s">
        <v>645</v>
      </c>
      <c r="E679" s="18"/>
      <c r="G679" s="439">
        <f>(1 + $E$678)^(G6-1)</f>
        <v>1</v>
      </c>
      <c r="H679" s="439">
        <f t="shared" ref="H679:BD679" si="386">(1 + $E$678)^(H6-1)</f>
        <v>1.075</v>
      </c>
      <c r="I679" s="439">
        <f t="shared" si="386"/>
        <v>1.1556249999999999</v>
      </c>
      <c r="J679" s="439">
        <f t="shared" si="386"/>
        <v>1.2422968749999999</v>
      </c>
      <c r="K679" s="439">
        <f t="shared" si="386"/>
        <v>1.3354691406249999</v>
      </c>
      <c r="L679" s="439">
        <f t="shared" si="386"/>
        <v>1.4356293261718749</v>
      </c>
      <c r="M679" s="439">
        <f t="shared" si="386"/>
        <v>1.5433015256347653</v>
      </c>
      <c r="N679" s="439">
        <f t="shared" si="386"/>
        <v>1.6590491400573728</v>
      </c>
      <c r="O679" s="439">
        <f t="shared" si="386"/>
        <v>1.7834778255616757</v>
      </c>
      <c r="P679" s="439">
        <f t="shared" si="386"/>
        <v>1.9172386624788014</v>
      </c>
      <c r="Q679" s="439">
        <f t="shared" si="386"/>
        <v>2.0610315621647111</v>
      </c>
      <c r="R679" s="439">
        <f t="shared" si="386"/>
        <v>2.2156089293270647</v>
      </c>
      <c r="S679" s="439">
        <f t="shared" si="386"/>
        <v>2.3817795990265944</v>
      </c>
      <c r="T679" s="439">
        <f t="shared" si="386"/>
        <v>2.5604130689535891</v>
      </c>
      <c r="U679" s="439">
        <f t="shared" si="386"/>
        <v>2.7524440491251081</v>
      </c>
      <c r="V679" s="439">
        <f t="shared" si="386"/>
        <v>2.9588773528094912</v>
      </c>
      <c r="W679" s="439">
        <f t="shared" si="386"/>
        <v>3.1807931542702028</v>
      </c>
      <c r="X679" s="439">
        <f t="shared" si="386"/>
        <v>3.4193526408404677</v>
      </c>
      <c r="Y679" s="439">
        <f t="shared" si="386"/>
        <v>3.6758040889035026</v>
      </c>
      <c r="Z679" s="439">
        <f t="shared" si="386"/>
        <v>3.9514893955712656</v>
      </c>
      <c r="AA679" s="439">
        <f t="shared" si="386"/>
        <v>4.2478511002391102</v>
      </c>
      <c r="AB679" s="439">
        <f t="shared" si="386"/>
        <v>4.566439932757044</v>
      </c>
      <c r="AC679" s="439">
        <f t="shared" si="386"/>
        <v>4.9089229277138218</v>
      </c>
      <c r="AD679" s="439">
        <f t="shared" si="386"/>
        <v>5.2770921472923584</v>
      </c>
      <c r="AE679" s="439">
        <f t="shared" si="386"/>
        <v>5.6728740583392847</v>
      </c>
      <c r="AF679" s="439">
        <f t="shared" si="386"/>
        <v>6.0983396127147316</v>
      </c>
      <c r="AG679" s="439">
        <f t="shared" si="386"/>
        <v>6.5557150836683347</v>
      </c>
      <c r="AH679" s="439">
        <f t="shared" si="386"/>
        <v>7.0473937149434605</v>
      </c>
      <c r="AI679" s="439">
        <f t="shared" si="386"/>
        <v>7.5759482435642198</v>
      </c>
      <c r="AJ679" s="439">
        <f t="shared" si="386"/>
        <v>8.1441443618315379</v>
      </c>
      <c r="AK679" s="439">
        <f t="shared" si="386"/>
        <v>8.7549551889689017</v>
      </c>
      <c r="AL679" s="439">
        <f t="shared" si="386"/>
        <v>9.4115768281415697</v>
      </c>
      <c r="AM679" s="439">
        <f t="shared" si="386"/>
        <v>10.117445090252186</v>
      </c>
      <c r="AN679" s="439">
        <f t="shared" si="386"/>
        <v>10.8762534720211</v>
      </c>
      <c r="AO679" s="439">
        <f t="shared" si="386"/>
        <v>11.691972482422681</v>
      </c>
      <c r="AP679" s="439">
        <f t="shared" si="386"/>
        <v>12.568870418604382</v>
      </c>
      <c r="AQ679" s="439">
        <f t="shared" si="386"/>
        <v>13.511535699999712</v>
      </c>
      <c r="AR679" s="439">
        <f t="shared" si="386"/>
        <v>14.524900877499689</v>
      </c>
      <c r="AS679" s="439">
        <f t="shared" si="386"/>
        <v>15.614268443312165</v>
      </c>
      <c r="AT679" s="439">
        <f t="shared" si="386"/>
        <v>16.785338576560576</v>
      </c>
      <c r="AU679" s="439">
        <f t="shared" si="386"/>
        <v>18.04423896980262</v>
      </c>
      <c r="AV679" s="439">
        <f t="shared" si="386"/>
        <v>19.397556892537818</v>
      </c>
      <c r="AW679" s="439">
        <f t="shared" si="386"/>
        <v>20.85237365947815</v>
      </c>
      <c r="AX679" s="439">
        <f t="shared" si="386"/>
        <v>22.416301683939015</v>
      </c>
      <c r="AY679" s="439">
        <f t="shared" si="386"/>
        <v>24.097524310234437</v>
      </c>
      <c r="AZ679" s="439">
        <f t="shared" si="386"/>
        <v>25.904838633502024</v>
      </c>
      <c r="BA679" s="439">
        <f t="shared" si="386"/>
        <v>27.847701531014671</v>
      </c>
      <c r="BB679" s="439">
        <f t="shared" si="386"/>
        <v>29.936279145840771</v>
      </c>
      <c r="BC679" s="439">
        <f t="shared" si="386"/>
        <v>32.181500081778829</v>
      </c>
      <c r="BD679" s="439">
        <f t="shared" si="386"/>
        <v>34.59511258791224</v>
      </c>
    </row>
    <row r="680" spans="1:56" ht="15" customHeight="1">
      <c r="C680" s="20"/>
      <c r="D680" s="22"/>
      <c r="E680" s="440"/>
      <c r="G680" s="17"/>
      <c r="H680" s="17"/>
      <c r="I680" s="17"/>
      <c r="J680" s="17"/>
      <c r="K680" s="17"/>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row>
    <row r="681" spans="1:56" ht="15" customHeight="1">
      <c r="C681" s="20"/>
      <c r="D681" s="401" t="s">
        <v>606</v>
      </c>
      <c r="E681" s="18"/>
      <c r="G681" s="17"/>
      <c r="H681" s="17"/>
      <c r="I681" s="439"/>
      <c r="J681" s="17"/>
      <c r="K681" s="17"/>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row>
    <row r="682" spans="1:56" ht="15" customHeight="1">
      <c r="C682" s="21">
        <f>SUM(G682:BD682)</f>
        <v>4545.7242571771703</v>
      </c>
      <c r="D682" s="22" t="s">
        <v>647</v>
      </c>
      <c r="E682" s="18" t="s">
        <v>333</v>
      </c>
      <c r="G682" s="17">
        <f>G535 + IF($E$622 = 2, G96 * Inputs!$E$196, 0)</f>
        <v>-20</v>
      </c>
      <c r="H682" s="17">
        <f>H535 + IF($E$622 = 2, H96 * Inputs!$E$196, 0)</f>
        <v>-20.399999999999999</v>
      </c>
      <c r="I682" s="17">
        <f>I535 + IF($E$622 = 2, I96 * Inputs!$E$196, 0)</f>
        <v>-41.941125</v>
      </c>
      <c r="J682" s="17">
        <f>J535 + IF($E$622 = 2, J96 * Inputs!$E$196, 0)</f>
        <v>-171.11978999999997</v>
      </c>
      <c r="K682" s="17">
        <f>K535 + IF($E$622 = 2, K96 * Inputs!$E$196, 0)</f>
        <v>-19.144619924399976</v>
      </c>
      <c r="L682" s="17">
        <f>L535 + IF($E$622 = 2, L96 * Inputs!$E$196, 0)</f>
        <v>154.88212118256962</v>
      </c>
      <c r="M682" s="17">
        <f>M535 + IF($E$622 = 2, M96 * Inputs!$E$196, 0)</f>
        <v>149.08492179065067</v>
      </c>
      <c r="N682" s="17">
        <f>N535 + IF($E$622 = 2, N96 * Inputs!$E$196, 0)</f>
        <v>157.46644654345556</v>
      </c>
      <c r="O682" s="17">
        <f>O535 + IF($E$622 = 2, O96 * Inputs!$E$196, 0)</f>
        <v>165.96870288981273</v>
      </c>
      <c r="P682" s="17">
        <f>P535 + IF($E$622 = 2, P96 * Inputs!$E$196, 0)</f>
        <v>187.81363594159302</v>
      </c>
      <c r="Q682" s="17">
        <f>Q535 + IF($E$622 = 2, Q96 * Inputs!$E$196, 0)</f>
        <v>191.56990866042494</v>
      </c>
      <c r="R682" s="17">
        <f>R535 + IF($E$622 = 2, R96 * Inputs!$E$196, 0)</f>
        <v>195.40130683363327</v>
      </c>
      <c r="S682" s="17">
        <f>S535 + IF($E$622 = 2, S96 * Inputs!$E$196, 0)</f>
        <v>199.30933297030606</v>
      </c>
      <c r="T682" s="17">
        <f>T535 + IF($E$622 = 2, T96 * Inputs!$E$196, 0)</f>
        <v>203.29551962971215</v>
      </c>
      <c r="U682" s="17">
        <f>U535 + IF($E$622 = 2, U96 * Inputs!$E$196, 0)</f>
        <v>207.36143002230639</v>
      </c>
      <c r="V682" s="17">
        <f>V535 + IF($E$622 = 2, V96 * Inputs!$E$196, 0)</f>
        <v>211.50865862275245</v>
      </c>
      <c r="W682" s="17">
        <f>W535 + IF($E$622 = 2, W96 * Inputs!$E$196, 0)</f>
        <v>215.7388317952076</v>
      </c>
      <c r="X682" s="17">
        <f>X535 + IF($E$622 = 2, X96 * Inputs!$E$196, 0)</f>
        <v>220.0536084311118</v>
      </c>
      <c r="Y682" s="17">
        <f>Y535 + IF($E$622 = 2, Y96 * Inputs!$E$196, 0)</f>
        <v>222.8641336422059</v>
      </c>
      <c r="Z682" s="17">
        <f>Z535 + IF($E$622 = 2, Z96 * Inputs!$E$196, 0)</f>
        <v>227.31764213582863</v>
      </c>
      <c r="AA682" s="17">
        <f>AA535 + IF($E$622 = 2, AA96 * Inputs!$E$196, 0)</f>
        <v>231.85533468883986</v>
      </c>
      <c r="AB682" s="17">
        <f>AB535 + IF($E$622 = 2, AB96 * Inputs!$E$196, 0)</f>
        <v>236.47724673449051</v>
      </c>
      <c r="AC682" s="17">
        <f>AC535 + IF($E$622 = 2, AC96 * Inputs!$E$196, 0)</f>
        <v>241.18247643235327</v>
      </c>
      <c r="AD682" s="17">
        <f>AD535 + IF($E$622 = 2, AD96 * Inputs!$E$196, 0)</f>
        <v>243.26392413055652</v>
      </c>
      <c r="AE682" s="17">
        <f>AE535 + IF($E$622 = 2, AE96 * Inputs!$E$196, 0)</f>
        <v>248.06957348663406</v>
      </c>
      <c r="AF682" s="17">
        <f>AF535 + IF($E$622 = 2, AF96 * Inputs!$E$196, 0)</f>
        <v>252.93077009626188</v>
      </c>
      <c r="AG682" s="17">
        <f>AG535 + IF($E$622 = 2, AG96 * Inputs!$E$196, 0)</f>
        <v>290.12869078219131</v>
      </c>
      <c r="AH682" s="17">
        <f>AH535 + IF($E$622 = 2, AH96 * Inputs!$E$196, 0)</f>
        <v>165.2976406016638</v>
      </c>
      <c r="AI682" s="17">
        <f>AI535 + IF($E$622 = 2, AI96 * Inputs!$E$196, 0)</f>
        <v>-0.51206594299233643</v>
      </c>
      <c r="AJ682" s="17">
        <f>AJ535 + IF($E$622 = 2, AJ96 * Inputs!$E$196, 0)</f>
        <v>0</v>
      </c>
      <c r="AK682" s="17">
        <f>AK535 + IF($E$622 = 2, AK96 * Inputs!$E$196, 0)</f>
        <v>0</v>
      </c>
      <c r="AL682" s="17">
        <f>AL535 + IF($E$622 = 2, AL96 * Inputs!$E$196, 0)</f>
        <v>0</v>
      </c>
      <c r="AM682" s="17">
        <f>AM535 + IF($E$622 = 2, AM96 * Inputs!$E$196, 0)</f>
        <v>0</v>
      </c>
      <c r="AN682" s="17">
        <f>AN535 + IF($E$622 = 2, AN96 * Inputs!$E$196, 0)</f>
        <v>0</v>
      </c>
      <c r="AO682" s="17">
        <f>AO535 + IF($E$622 = 2, AO96 * Inputs!$E$196, 0)</f>
        <v>0</v>
      </c>
      <c r="AP682" s="17">
        <f>AP535 + IF($E$622 = 2, AP96 * Inputs!$E$196, 0)</f>
        <v>0</v>
      </c>
      <c r="AQ682" s="17">
        <f>AQ535 + IF($E$622 = 2, AQ96 * Inputs!$E$196, 0)</f>
        <v>0</v>
      </c>
      <c r="AR682" s="17">
        <f>AR535 + IF($E$622 = 2, AR96 * Inputs!$E$196, 0)</f>
        <v>0</v>
      </c>
      <c r="AS682" s="17">
        <f>AS535 + IF($E$622 = 2, AS96 * Inputs!$E$196, 0)</f>
        <v>0</v>
      </c>
      <c r="AT682" s="17">
        <f>AT535 + IF($E$622 = 2, AT96 * Inputs!$E$196, 0)</f>
        <v>0</v>
      </c>
      <c r="AU682" s="17">
        <f>AU535 + IF($E$622 = 2, AU96 * Inputs!$E$196, 0)</f>
        <v>0</v>
      </c>
      <c r="AV682" s="17">
        <f>AV535 + IF($E$622 = 2, AV96 * Inputs!$E$196, 0)</f>
        <v>0</v>
      </c>
      <c r="AW682" s="17">
        <f>AW535 + IF($E$622 = 2, AW96 * Inputs!$E$196, 0)</f>
        <v>0</v>
      </c>
      <c r="AX682" s="17">
        <f>AX535 + IF($E$622 = 2, AX96 * Inputs!$E$196, 0)</f>
        <v>0</v>
      </c>
      <c r="AY682" s="17">
        <f>AY535 + IF($E$622 = 2, AY96 * Inputs!$E$196, 0)</f>
        <v>0</v>
      </c>
      <c r="AZ682" s="17">
        <f>AZ535 + IF($E$622 = 2, AZ96 * Inputs!$E$196, 0)</f>
        <v>0</v>
      </c>
      <c r="BA682" s="17">
        <f>BA535 + IF($E$622 = 2, BA96 * Inputs!$E$196, 0)</f>
        <v>0</v>
      </c>
      <c r="BB682" s="17">
        <f>BB535 + IF($E$622 = 2, BB96 * Inputs!$E$196, 0)</f>
        <v>0</v>
      </c>
      <c r="BC682" s="17">
        <f>BC535 + IF($E$622 = 2, BC96 * Inputs!$E$196, 0)</f>
        <v>0</v>
      </c>
      <c r="BD682" s="17">
        <f>BD535 + IF($E$622 = 2, BD96 * Inputs!$E$196, 0)</f>
        <v>0</v>
      </c>
    </row>
    <row r="683" spans="1:56" ht="15" customHeight="1">
      <c r="C683" s="21">
        <f t="shared" ref="C683:C684" si="387">SUM(G683:BD683)</f>
        <v>1358.8939112179119</v>
      </c>
      <c r="D683" s="22" t="str">
        <f>"Post-tax investor cash flow  NPV"&amp;$E$678*100</f>
        <v>Post-tax investor cash flow  NPV7.5</v>
      </c>
      <c r="E683" s="18" t="s">
        <v>333</v>
      </c>
      <c r="G683" s="17">
        <f>G$682/G679</f>
        <v>-20</v>
      </c>
      <c r="H683" s="17">
        <f t="shared" ref="H683:BD683" si="388">H$682/H679</f>
        <v>-18.97674418604651</v>
      </c>
      <c r="I683" s="17">
        <f t="shared" si="388"/>
        <v>-36.293023255813956</v>
      </c>
      <c r="J683" s="17">
        <f t="shared" si="388"/>
        <v>-137.74468361276365</v>
      </c>
      <c r="K683" s="17">
        <f t="shared" si="388"/>
        <v>-14.335501541758044</v>
      </c>
      <c r="L683" s="17">
        <f t="shared" si="388"/>
        <v>107.88447850641565</v>
      </c>
      <c r="M683" s="17">
        <f t="shared" si="388"/>
        <v>96.601292303739228</v>
      </c>
      <c r="N683" s="17">
        <f t="shared" si="388"/>
        <v>94.913672381042375</v>
      </c>
      <c r="O683" s="17">
        <f t="shared" si="388"/>
        <v>93.059022383720276</v>
      </c>
      <c r="P683" s="17">
        <f t="shared" si="388"/>
        <v>97.960488496913797</v>
      </c>
      <c r="Q683" s="17">
        <f t="shared" si="388"/>
        <v>92.948556527304305</v>
      </c>
      <c r="R683" s="17">
        <f t="shared" si="388"/>
        <v>88.193048984046783</v>
      </c>
      <c r="S683" s="17">
        <f t="shared" si="388"/>
        <v>83.680846477886305</v>
      </c>
      <c r="T683" s="17">
        <f t="shared" si="388"/>
        <v>79.399500844133968</v>
      </c>
      <c r="U683" s="17">
        <f t="shared" si="388"/>
        <v>75.337200800945723</v>
      </c>
      <c r="V683" s="17">
        <f t="shared" si="388"/>
        <v>71.482739364618254</v>
      </c>
      <c r="W683" s="17">
        <f t="shared" si="388"/>
        <v>67.825482932009905</v>
      </c>
      <c r="X683" s="17">
        <f t="shared" si="388"/>
        <v>64.355341944790808</v>
      </c>
      <c r="Y683" s="17">
        <f t="shared" si="388"/>
        <v>60.630035837597255</v>
      </c>
      <c r="Z683" s="17">
        <f t="shared" si="388"/>
        <v>57.527078875778024</v>
      </c>
      <c r="AA683" s="17">
        <f t="shared" si="388"/>
        <v>54.581794233745342</v>
      </c>
      <c r="AB683" s="17">
        <f t="shared" si="388"/>
        <v>51.785909859042967</v>
      </c>
      <c r="AC683" s="17">
        <f t="shared" si="388"/>
        <v>49.131444918544794</v>
      </c>
      <c r="AD683" s="17">
        <f t="shared" si="388"/>
        <v>46.098100495624969</v>
      </c>
      <c r="AE683" s="17">
        <f t="shared" si="388"/>
        <v>43.72908175565167</v>
      </c>
      <c r="AF683" s="17">
        <f t="shared" si="388"/>
        <v>41.475350039363818</v>
      </c>
      <c r="AG683" s="17">
        <f t="shared" si="388"/>
        <v>44.255841975952087</v>
      </c>
      <c r="AH683" s="17">
        <f t="shared" si="388"/>
        <v>23.455144878760326</v>
      </c>
      <c r="AI683" s="17">
        <f t="shared" si="388"/>
        <v>-6.7591003334445593E-2</v>
      </c>
      <c r="AJ683" s="17">
        <f t="shared" si="388"/>
        <v>0</v>
      </c>
      <c r="AK683" s="17">
        <f t="shared" si="388"/>
        <v>0</v>
      </c>
      <c r="AL683" s="17">
        <f t="shared" si="388"/>
        <v>0</v>
      </c>
      <c r="AM683" s="17">
        <f t="shared" si="388"/>
        <v>0</v>
      </c>
      <c r="AN683" s="17">
        <f t="shared" si="388"/>
        <v>0</v>
      </c>
      <c r="AO683" s="17">
        <f t="shared" si="388"/>
        <v>0</v>
      </c>
      <c r="AP683" s="17">
        <f t="shared" si="388"/>
        <v>0</v>
      </c>
      <c r="AQ683" s="17">
        <f t="shared" si="388"/>
        <v>0</v>
      </c>
      <c r="AR683" s="17">
        <f t="shared" si="388"/>
        <v>0</v>
      </c>
      <c r="AS683" s="17">
        <f t="shared" si="388"/>
        <v>0</v>
      </c>
      <c r="AT683" s="17">
        <f t="shared" si="388"/>
        <v>0</v>
      </c>
      <c r="AU683" s="17">
        <f t="shared" si="388"/>
        <v>0</v>
      </c>
      <c r="AV683" s="17">
        <f t="shared" si="388"/>
        <v>0</v>
      </c>
      <c r="AW683" s="17">
        <f t="shared" si="388"/>
        <v>0</v>
      </c>
      <c r="AX683" s="17">
        <f t="shared" si="388"/>
        <v>0</v>
      </c>
      <c r="AY683" s="17">
        <f t="shared" si="388"/>
        <v>0</v>
      </c>
      <c r="AZ683" s="17">
        <f t="shared" si="388"/>
        <v>0</v>
      </c>
      <c r="BA683" s="17">
        <f t="shared" si="388"/>
        <v>0</v>
      </c>
      <c r="BB683" s="17">
        <f t="shared" si="388"/>
        <v>0</v>
      </c>
      <c r="BC683" s="17">
        <f t="shared" si="388"/>
        <v>0</v>
      </c>
      <c r="BD683" s="17">
        <f t="shared" si="388"/>
        <v>0</v>
      </c>
    </row>
    <row r="684" spans="1:56" ht="15" customHeight="1">
      <c r="C684" s="21">
        <f t="shared" si="387"/>
        <v>46482.035562406396</v>
      </c>
      <c r="D684" s="22" t="str">
        <f>"Cumulative free cash flow NPV"&amp;$E$678*100</f>
        <v>Cumulative free cash flow NPV7.5</v>
      </c>
      <c r="E684" s="18" t="s">
        <v>333</v>
      </c>
      <c r="G684" s="17">
        <f>SUM($G683:G$683)</f>
        <v>-20</v>
      </c>
      <c r="H684" s="17">
        <f>SUM($G683:H$683)</f>
        <v>-38.97674418604651</v>
      </c>
      <c r="I684" s="17">
        <f>SUM($G683:I$683)</f>
        <v>-75.269767441860466</v>
      </c>
      <c r="J684" s="17">
        <f>SUM($G683:J$683)</f>
        <v>-213.01445105462412</v>
      </c>
      <c r="K684" s="17">
        <f>SUM($G683:K$683)</f>
        <v>-227.34995259638217</v>
      </c>
      <c r="L684" s="17">
        <f>SUM($G683:L$683)</f>
        <v>-119.46547408996652</v>
      </c>
      <c r="M684" s="17">
        <f>SUM($G683:M$683)</f>
        <v>-22.864181786227292</v>
      </c>
      <c r="N684" s="17">
        <f>SUM($G683:N$683)</f>
        <v>72.049490594815083</v>
      </c>
      <c r="O684" s="17">
        <f>SUM($G683:O$683)</f>
        <v>165.10851297853537</v>
      </c>
      <c r="P684" s="17">
        <f>SUM($G683:P$683)</f>
        <v>263.06900147544917</v>
      </c>
      <c r="Q684" s="17">
        <f>SUM($G683:Q$683)</f>
        <v>356.0175580027535</v>
      </c>
      <c r="R684" s="17">
        <f>SUM($G683:R$683)</f>
        <v>444.21060698680026</v>
      </c>
      <c r="S684" s="17">
        <f>SUM($G683:S$683)</f>
        <v>527.89145346468661</v>
      </c>
      <c r="T684" s="17">
        <f>SUM($G683:T$683)</f>
        <v>607.29095430882057</v>
      </c>
      <c r="U684" s="17">
        <f>SUM($G683:U$683)</f>
        <v>682.62815510976634</v>
      </c>
      <c r="V684" s="17">
        <f>SUM($G683:V$683)</f>
        <v>754.11089447438462</v>
      </c>
      <c r="W684" s="17">
        <f>SUM($G683:W$683)</f>
        <v>821.93637740639451</v>
      </c>
      <c r="X684" s="17">
        <f>SUM($G683:X$683)</f>
        <v>886.29171935118529</v>
      </c>
      <c r="Y684" s="17">
        <f>SUM($G683:Y$683)</f>
        <v>946.92175518878253</v>
      </c>
      <c r="Z684" s="17">
        <f>SUM($G683:Z$683)</f>
        <v>1004.4488340645605</v>
      </c>
      <c r="AA684" s="17">
        <f>SUM($G683:AA$683)</f>
        <v>1059.0306282983058</v>
      </c>
      <c r="AB684" s="17">
        <f>SUM($G683:AB$683)</f>
        <v>1110.8165381573488</v>
      </c>
      <c r="AC684" s="17">
        <f>SUM($G683:AC$683)</f>
        <v>1159.9479830758935</v>
      </c>
      <c r="AD684" s="17">
        <f>SUM($G683:AD$683)</f>
        <v>1206.0460835715185</v>
      </c>
      <c r="AE684" s="17">
        <f>SUM($G683:AE$683)</f>
        <v>1249.77516532717</v>
      </c>
      <c r="AF684" s="17">
        <f>SUM($G683:AF$683)</f>
        <v>1291.2505153665338</v>
      </c>
      <c r="AG684" s="17">
        <f>SUM($G683:AG$683)</f>
        <v>1335.5063573424859</v>
      </c>
      <c r="AH684" s="17">
        <f>SUM($G683:AH$683)</f>
        <v>1358.9615022212463</v>
      </c>
      <c r="AI684" s="17">
        <f>SUM($G683:AI$683)</f>
        <v>1358.8939112179119</v>
      </c>
      <c r="AJ684" s="17">
        <f>SUM($G683:AJ$683)</f>
        <v>1358.8939112179119</v>
      </c>
      <c r="AK684" s="17">
        <f>SUM($G683:AK$683)</f>
        <v>1358.8939112179119</v>
      </c>
      <c r="AL684" s="17">
        <f>SUM($G683:AL$683)</f>
        <v>1358.8939112179119</v>
      </c>
      <c r="AM684" s="17">
        <f>SUM($G683:AM$683)</f>
        <v>1358.8939112179119</v>
      </c>
      <c r="AN684" s="17">
        <f>SUM($G683:AN$683)</f>
        <v>1358.8939112179119</v>
      </c>
      <c r="AO684" s="17">
        <f>SUM($G683:AO$683)</f>
        <v>1358.8939112179119</v>
      </c>
      <c r="AP684" s="17">
        <f>SUM($G683:AP$683)</f>
        <v>1358.8939112179119</v>
      </c>
      <c r="AQ684" s="17">
        <f>SUM($G683:AQ$683)</f>
        <v>1358.8939112179119</v>
      </c>
      <c r="AR684" s="17">
        <f>SUM($G683:AR$683)</f>
        <v>1358.8939112179119</v>
      </c>
      <c r="AS684" s="17">
        <f>SUM($G683:AS$683)</f>
        <v>1358.8939112179119</v>
      </c>
      <c r="AT684" s="17">
        <f>SUM($G683:AT$683)</f>
        <v>1358.8939112179119</v>
      </c>
      <c r="AU684" s="17">
        <f>SUM($G683:AU$683)</f>
        <v>1358.8939112179119</v>
      </c>
      <c r="AV684" s="17">
        <f>SUM($G683:AV$683)</f>
        <v>1358.8939112179119</v>
      </c>
      <c r="AW684" s="17">
        <f>SUM($G683:AW$683)</f>
        <v>1358.8939112179119</v>
      </c>
      <c r="AX684" s="17">
        <f>SUM($G683:AX$683)</f>
        <v>1358.8939112179119</v>
      </c>
      <c r="AY684" s="17">
        <f>SUM($G683:AY$683)</f>
        <v>1358.8939112179119</v>
      </c>
      <c r="AZ684" s="17">
        <f>SUM($G683:AZ$683)</f>
        <v>1358.8939112179119</v>
      </c>
      <c r="BA684" s="17">
        <f>SUM($G683:BA$683)</f>
        <v>1358.8939112179119</v>
      </c>
      <c r="BB684" s="17">
        <f>SUM($G683:BB$683)</f>
        <v>1358.8939112179119</v>
      </c>
      <c r="BC684" s="17">
        <f>SUM($G683:BC$683)</f>
        <v>1358.8939112179119</v>
      </c>
      <c r="BD684" s="17">
        <f>SUM($G683:BD$683)</f>
        <v>1358.8939112179119</v>
      </c>
    </row>
    <row r="685" spans="1:56" ht="15" customHeight="1">
      <c r="C685" s="20"/>
      <c r="D685" s="22" t="str">
        <f>"Positive cumulative post-tax investor cash flow NPV"&amp;$E$678*100</f>
        <v>Positive cumulative post-tax investor cash flow NPV7.5</v>
      </c>
      <c r="E685" s="159" t="s">
        <v>427</v>
      </c>
      <c r="G685" s="21">
        <f>(G684 &gt; 0) * 1</f>
        <v>0</v>
      </c>
      <c r="H685" s="21">
        <f t="shared" ref="H685:BD685" si="389">(H684 &gt; 0) * 1</f>
        <v>0</v>
      </c>
      <c r="I685" s="21">
        <f t="shared" si="389"/>
        <v>0</v>
      </c>
      <c r="J685" s="21">
        <f t="shared" si="389"/>
        <v>0</v>
      </c>
      <c r="K685" s="21">
        <f t="shared" si="389"/>
        <v>0</v>
      </c>
      <c r="L685" s="21">
        <f t="shared" si="389"/>
        <v>0</v>
      </c>
      <c r="M685" s="21">
        <f t="shared" si="389"/>
        <v>0</v>
      </c>
      <c r="N685" s="21">
        <f t="shared" si="389"/>
        <v>1</v>
      </c>
      <c r="O685" s="21">
        <f t="shared" si="389"/>
        <v>1</v>
      </c>
      <c r="P685" s="21">
        <f t="shared" si="389"/>
        <v>1</v>
      </c>
      <c r="Q685" s="21">
        <f t="shared" si="389"/>
        <v>1</v>
      </c>
      <c r="R685" s="21">
        <f t="shared" si="389"/>
        <v>1</v>
      </c>
      <c r="S685" s="21">
        <f t="shared" si="389"/>
        <v>1</v>
      </c>
      <c r="T685" s="21">
        <f t="shared" si="389"/>
        <v>1</v>
      </c>
      <c r="U685" s="21">
        <f t="shared" si="389"/>
        <v>1</v>
      </c>
      <c r="V685" s="21">
        <f t="shared" si="389"/>
        <v>1</v>
      </c>
      <c r="W685" s="21">
        <f t="shared" si="389"/>
        <v>1</v>
      </c>
      <c r="X685" s="21">
        <f t="shared" si="389"/>
        <v>1</v>
      </c>
      <c r="Y685" s="21">
        <f t="shared" si="389"/>
        <v>1</v>
      </c>
      <c r="Z685" s="21">
        <f t="shared" si="389"/>
        <v>1</v>
      </c>
      <c r="AA685" s="21">
        <f t="shared" si="389"/>
        <v>1</v>
      </c>
      <c r="AB685" s="21">
        <f t="shared" si="389"/>
        <v>1</v>
      </c>
      <c r="AC685" s="21">
        <f t="shared" si="389"/>
        <v>1</v>
      </c>
      <c r="AD685" s="21">
        <f t="shared" si="389"/>
        <v>1</v>
      </c>
      <c r="AE685" s="21">
        <f t="shared" si="389"/>
        <v>1</v>
      </c>
      <c r="AF685" s="21">
        <f t="shared" si="389"/>
        <v>1</v>
      </c>
      <c r="AG685" s="21">
        <f t="shared" si="389"/>
        <v>1</v>
      </c>
      <c r="AH685" s="21">
        <f t="shared" si="389"/>
        <v>1</v>
      </c>
      <c r="AI685" s="21">
        <f t="shared" si="389"/>
        <v>1</v>
      </c>
      <c r="AJ685" s="21">
        <f t="shared" si="389"/>
        <v>1</v>
      </c>
      <c r="AK685" s="21">
        <f t="shared" si="389"/>
        <v>1</v>
      </c>
      <c r="AL685" s="21">
        <f t="shared" si="389"/>
        <v>1</v>
      </c>
      <c r="AM685" s="21">
        <f t="shared" si="389"/>
        <v>1</v>
      </c>
      <c r="AN685" s="21">
        <f t="shared" si="389"/>
        <v>1</v>
      </c>
      <c r="AO685" s="21">
        <f t="shared" si="389"/>
        <v>1</v>
      </c>
      <c r="AP685" s="21">
        <f t="shared" si="389"/>
        <v>1</v>
      </c>
      <c r="AQ685" s="21">
        <f t="shared" si="389"/>
        <v>1</v>
      </c>
      <c r="AR685" s="21">
        <f t="shared" si="389"/>
        <v>1</v>
      </c>
      <c r="AS685" s="21">
        <f t="shared" si="389"/>
        <v>1</v>
      </c>
      <c r="AT685" s="21">
        <f t="shared" si="389"/>
        <v>1</v>
      </c>
      <c r="AU685" s="21">
        <f t="shared" si="389"/>
        <v>1</v>
      </c>
      <c r="AV685" s="21">
        <f t="shared" si="389"/>
        <v>1</v>
      </c>
      <c r="AW685" s="21">
        <f t="shared" si="389"/>
        <v>1</v>
      </c>
      <c r="AX685" s="21">
        <f t="shared" si="389"/>
        <v>1</v>
      </c>
      <c r="AY685" s="21">
        <f t="shared" si="389"/>
        <v>1</v>
      </c>
      <c r="AZ685" s="21">
        <f t="shared" si="389"/>
        <v>1</v>
      </c>
      <c r="BA685" s="21">
        <f t="shared" si="389"/>
        <v>1</v>
      </c>
      <c r="BB685" s="21">
        <f t="shared" si="389"/>
        <v>1</v>
      </c>
      <c r="BC685" s="21">
        <f t="shared" si="389"/>
        <v>1</v>
      </c>
      <c r="BD685" s="21">
        <f t="shared" si="389"/>
        <v>1</v>
      </c>
    </row>
    <row r="686" spans="1:56" ht="15" customHeight="1">
      <c r="C686" s="20"/>
      <c r="D686" s="22" t="s">
        <v>609</v>
      </c>
      <c r="E686" s="159">
        <f>SUMPRODUCT(G686:BD686,G31:BD31)</f>
        <v>8</v>
      </c>
      <c r="G686" s="21">
        <f>IF(AND(G685 = 1, SUM($F$685:F685) = 0), 1, 0)</f>
        <v>0</v>
      </c>
      <c r="H686" s="21">
        <f>IF(AND(H685 = 1, SUM($F$685:G685) = 0), 1, 0)</f>
        <v>0</v>
      </c>
      <c r="I686" s="21">
        <f>IF(AND(I685 = 1, SUM($F$685:H685) = 0), 1, 0)</f>
        <v>0</v>
      </c>
      <c r="J686" s="21">
        <f>IF(AND(J685 = 1, SUM($F$685:I685) = 0), 1, 0)</f>
        <v>0</v>
      </c>
      <c r="K686" s="21">
        <f>IF(AND(K685 = 1, SUM($F$685:J685) = 0), 1, 0)</f>
        <v>0</v>
      </c>
      <c r="L686" s="21">
        <f>IF(AND(L685 = 1, SUM($F$685:K685) = 0), 1, 0)</f>
        <v>0</v>
      </c>
      <c r="M686" s="21">
        <f>IF(AND(M685 = 1, SUM($F$685:L685) = 0), 1, 0)</f>
        <v>0</v>
      </c>
      <c r="N686" s="21">
        <f>IF(AND(N685 = 1, SUM($F$685:M685) = 0), 1, 0)</f>
        <v>1</v>
      </c>
      <c r="O686" s="21">
        <f>IF(AND(O685 = 1, SUM($F$685:N685) = 0), 1, 0)</f>
        <v>0</v>
      </c>
      <c r="P686" s="21">
        <f>IF(AND(P685 = 1, SUM($F$685:O685) = 0), 1, 0)</f>
        <v>0</v>
      </c>
      <c r="Q686" s="21">
        <f>IF(AND(Q685 = 1, SUM($F$685:P685) = 0), 1, 0)</f>
        <v>0</v>
      </c>
      <c r="R686" s="21">
        <f>IF(AND(R685 = 1, SUM($F$685:Q685) = 0), 1, 0)</f>
        <v>0</v>
      </c>
      <c r="S686" s="21">
        <f>IF(AND(S685 = 1, SUM($F$685:R685) = 0), 1, 0)</f>
        <v>0</v>
      </c>
      <c r="T686" s="21">
        <f>IF(AND(T685 = 1, SUM($F$685:S685) = 0), 1, 0)</f>
        <v>0</v>
      </c>
      <c r="U686" s="21">
        <f>IF(AND(U685 = 1, SUM($F$685:T685) = 0), 1, 0)</f>
        <v>0</v>
      </c>
      <c r="V686" s="21">
        <f>IF(AND(V685 = 1, SUM($F$685:U685) = 0), 1, 0)</f>
        <v>0</v>
      </c>
      <c r="W686" s="21">
        <f>IF(AND(W685 = 1, SUM($F$685:V685) = 0), 1, 0)</f>
        <v>0</v>
      </c>
      <c r="X686" s="21">
        <f>IF(AND(X685 = 1, SUM($F$685:W685) = 0), 1, 0)</f>
        <v>0</v>
      </c>
      <c r="Y686" s="21">
        <f>IF(AND(Y685 = 1, SUM($F$685:X685) = 0), 1, 0)</f>
        <v>0</v>
      </c>
      <c r="Z686" s="21">
        <f>IF(AND(Z685 = 1, SUM($F$685:Y685) = 0), 1, 0)</f>
        <v>0</v>
      </c>
      <c r="AA686" s="21">
        <f>IF(AND(AA685 = 1, SUM($F$685:Z685) = 0), 1, 0)</f>
        <v>0</v>
      </c>
      <c r="AB686" s="21">
        <f>IF(AND(AB685 = 1, SUM($F$685:AA685) = 0), 1, 0)</f>
        <v>0</v>
      </c>
      <c r="AC686" s="21">
        <f>IF(AND(AC685 = 1, SUM($F$685:AB685) = 0), 1, 0)</f>
        <v>0</v>
      </c>
      <c r="AD686" s="21">
        <f>IF(AND(AD685 = 1, SUM($F$685:AC685) = 0), 1, 0)</f>
        <v>0</v>
      </c>
      <c r="AE686" s="21">
        <f>IF(AND(AE685 = 1, SUM($F$685:AD685) = 0), 1, 0)</f>
        <v>0</v>
      </c>
      <c r="AF686" s="21">
        <f>IF(AND(AF685 = 1, SUM($F$685:AE685) = 0), 1, 0)</f>
        <v>0</v>
      </c>
      <c r="AG686" s="21">
        <f>IF(AND(AG685 = 1, SUM($F$685:AF685) = 0), 1, 0)</f>
        <v>0</v>
      </c>
      <c r="AH686" s="21">
        <f>IF(AND(AH685 = 1, SUM($F$685:AG685) = 0), 1, 0)</f>
        <v>0</v>
      </c>
      <c r="AI686" s="21">
        <f>IF(AND(AI685 = 1, SUM($F$685:AH685) = 0), 1, 0)</f>
        <v>0</v>
      </c>
      <c r="AJ686" s="21">
        <f>IF(AND(AJ685 = 1, SUM($F$685:AI685) = 0), 1, 0)</f>
        <v>0</v>
      </c>
      <c r="AK686" s="21">
        <f>IF(AND(AK685 = 1, SUM($F$685:AJ685) = 0), 1, 0)</f>
        <v>0</v>
      </c>
      <c r="AL686" s="21">
        <f>IF(AND(AL685 = 1, SUM($F$685:AK685) = 0), 1, 0)</f>
        <v>0</v>
      </c>
      <c r="AM686" s="21">
        <f>IF(AND(AM685 = 1, SUM($F$685:AL685) = 0), 1, 0)</f>
        <v>0</v>
      </c>
      <c r="AN686" s="21">
        <f>IF(AND(AN685 = 1, SUM($F$685:AM685) = 0), 1, 0)</f>
        <v>0</v>
      </c>
      <c r="AO686" s="21">
        <f>IF(AND(AO685 = 1, SUM($F$685:AN685) = 0), 1, 0)</f>
        <v>0</v>
      </c>
      <c r="AP686" s="21">
        <f>IF(AND(AP685 = 1, SUM($F$685:AO685) = 0), 1, 0)</f>
        <v>0</v>
      </c>
      <c r="AQ686" s="21">
        <f>IF(AND(AQ685 = 1, SUM($F$685:AP685) = 0), 1, 0)</f>
        <v>0</v>
      </c>
      <c r="AR686" s="21">
        <f>IF(AND(AR685 = 1, SUM($F$685:AQ685) = 0), 1, 0)</f>
        <v>0</v>
      </c>
      <c r="AS686" s="21">
        <f>IF(AND(AS685 = 1, SUM($F$685:AR685) = 0), 1, 0)</f>
        <v>0</v>
      </c>
      <c r="AT686" s="21">
        <f>IF(AND(AT685 = 1, SUM($F$685:AS685) = 0), 1, 0)</f>
        <v>0</v>
      </c>
      <c r="AU686" s="21">
        <f>IF(AND(AU685 = 1, SUM($F$685:AT685) = 0), 1, 0)</f>
        <v>0</v>
      </c>
      <c r="AV686" s="21">
        <f>IF(AND(AV685 = 1, SUM($F$685:AU685) = 0), 1, 0)</f>
        <v>0</v>
      </c>
      <c r="AW686" s="21">
        <f>IF(AND(AW685 = 1, SUM($F$685:AV685) = 0), 1, 0)</f>
        <v>0</v>
      </c>
      <c r="AX686" s="21">
        <f>IF(AND(AX685 = 1, SUM($F$685:AW685) = 0), 1, 0)</f>
        <v>0</v>
      </c>
      <c r="AY686" s="21">
        <f>IF(AND(AY685 = 1, SUM($F$685:AX685) = 0), 1, 0)</f>
        <v>0</v>
      </c>
      <c r="AZ686" s="21">
        <f>IF(AND(AZ685 = 1, SUM($F$685:AY685) = 0), 1, 0)</f>
        <v>0</v>
      </c>
      <c r="BA686" s="21">
        <f>IF(AND(BA685 = 1, SUM($F$685:AZ685) = 0), 1, 0)</f>
        <v>0</v>
      </c>
      <c r="BB686" s="21">
        <f>IF(AND(BB685 = 1, SUM($F$685:BA685) = 0), 1, 0)</f>
        <v>0</v>
      </c>
      <c r="BC686" s="21">
        <f>IF(AND(BC685 = 1, SUM($F$685:BB685) = 0), 1, 0)</f>
        <v>0</v>
      </c>
      <c r="BD686" s="21">
        <f>IF(AND(BD685 = 1, SUM($F$685:BC685) = 0), 1, 0)</f>
        <v>0</v>
      </c>
    </row>
    <row r="687" spans="1:56" ht="15" customHeight="1">
      <c r="C687" s="20"/>
      <c r="D687" s="22" t="s">
        <v>610</v>
      </c>
      <c r="E687" s="18" t="s">
        <v>427</v>
      </c>
      <c r="G687" s="21">
        <f>IF(G31 &gt;= $E$686, 1, 0)</f>
        <v>0</v>
      </c>
      <c r="H687" s="21">
        <f t="shared" ref="H687:BD687" si="390">IF(H31 &gt;= $E$686, 1, 0)</f>
        <v>0</v>
      </c>
      <c r="I687" s="21">
        <f t="shared" si="390"/>
        <v>0</v>
      </c>
      <c r="J687" s="21">
        <f t="shared" si="390"/>
        <v>0</v>
      </c>
      <c r="K687" s="21">
        <f t="shared" si="390"/>
        <v>0</v>
      </c>
      <c r="L687" s="21">
        <f t="shared" si="390"/>
        <v>0</v>
      </c>
      <c r="M687" s="21">
        <f t="shared" si="390"/>
        <v>0</v>
      </c>
      <c r="N687" s="21">
        <f t="shared" si="390"/>
        <v>1</v>
      </c>
      <c r="O687" s="21">
        <f t="shared" si="390"/>
        <v>1</v>
      </c>
      <c r="P687" s="21">
        <f t="shared" si="390"/>
        <v>1</v>
      </c>
      <c r="Q687" s="21">
        <f t="shared" si="390"/>
        <v>1</v>
      </c>
      <c r="R687" s="21">
        <f t="shared" si="390"/>
        <v>1</v>
      </c>
      <c r="S687" s="21">
        <f t="shared" si="390"/>
        <v>1</v>
      </c>
      <c r="T687" s="21">
        <f t="shared" si="390"/>
        <v>1</v>
      </c>
      <c r="U687" s="21">
        <f t="shared" si="390"/>
        <v>1</v>
      </c>
      <c r="V687" s="21">
        <f t="shared" si="390"/>
        <v>1</v>
      </c>
      <c r="W687" s="21">
        <f t="shared" si="390"/>
        <v>1</v>
      </c>
      <c r="X687" s="21">
        <f t="shared" si="390"/>
        <v>1</v>
      </c>
      <c r="Y687" s="21">
        <f t="shared" si="390"/>
        <v>1</v>
      </c>
      <c r="Z687" s="21">
        <f t="shared" si="390"/>
        <v>1</v>
      </c>
      <c r="AA687" s="21">
        <f t="shared" si="390"/>
        <v>1</v>
      </c>
      <c r="AB687" s="21">
        <f t="shared" si="390"/>
        <v>1</v>
      </c>
      <c r="AC687" s="21">
        <f t="shared" si="390"/>
        <v>1</v>
      </c>
      <c r="AD687" s="21">
        <f t="shared" si="390"/>
        <v>1</v>
      </c>
      <c r="AE687" s="21">
        <f t="shared" si="390"/>
        <v>1</v>
      </c>
      <c r="AF687" s="21">
        <f t="shared" si="390"/>
        <v>1</v>
      </c>
      <c r="AG687" s="21">
        <f t="shared" si="390"/>
        <v>1</v>
      </c>
      <c r="AH687" s="21">
        <f t="shared" si="390"/>
        <v>1</v>
      </c>
      <c r="AI687" s="21">
        <f t="shared" si="390"/>
        <v>1</v>
      </c>
      <c r="AJ687" s="21">
        <f t="shared" si="390"/>
        <v>1</v>
      </c>
      <c r="AK687" s="21">
        <f t="shared" si="390"/>
        <v>1</v>
      </c>
      <c r="AL687" s="21">
        <f t="shared" si="390"/>
        <v>1</v>
      </c>
      <c r="AM687" s="21">
        <f t="shared" si="390"/>
        <v>1</v>
      </c>
      <c r="AN687" s="21">
        <f t="shared" si="390"/>
        <v>1</v>
      </c>
      <c r="AO687" s="21">
        <f t="shared" si="390"/>
        <v>1</v>
      </c>
      <c r="AP687" s="21">
        <f t="shared" si="390"/>
        <v>1</v>
      </c>
      <c r="AQ687" s="21">
        <f t="shared" si="390"/>
        <v>1</v>
      </c>
      <c r="AR687" s="21">
        <f t="shared" si="390"/>
        <v>1</v>
      </c>
      <c r="AS687" s="21">
        <f t="shared" si="390"/>
        <v>1</v>
      </c>
      <c r="AT687" s="21">
        <f t="shared" si="390"/>
        <v>1</v>
      </c>
      <c r="AU687" s="21">
        <f t="shared" si="390"/>
        <v>1</v>
      </c>
      <c r="AV687" s="21">
        <f t="shared" si="390"/>
        <v>1</v>
      </c>
      <c r="AW687" s="21">
        <f t="shared" si="390"/>
        <v>1</v>
      </c>
      <c r="AX687" s="21">
        <f t="shared" si="390"/>
        <v>1</v>
      </c>
      <c r="AY687" s="21">
        <f t="shared" si="390"/>
        <v>1</v>
      </c>
      <c r="AZ687" s="21">
        <f t="shared" si="390"/>
        <v>1</v>
      </c>
      <c r="BA687" s="21">
        <f t="shared" si="390"/>
        <v>1</v>
      </c>
      <c r="BB687" s="21">
        <f t="shared" si="390"/>
        <v>1</v>
      </c>
      <c r="BC687" s="21">
        <f t="shared" si="390"/>
        <v>1</v>
      </c>
      <c r="BD687" s="21">
        <f t="shared" si="390"/>
        <v>1</v>
      </c>
    </row>
    <row r="688" spans="1:56" ht="15" customHeight="1">
      <c r="C688" s="20"/>
      <c r="D688" s="22" t="s">
        <v>611</v>
      </c>
      <c r="E688" s="18" t="s">
        <v>427</v>
      </c>
      <c r="G688" s="21">
        <f>IF($E$621 = 1, 1, 1 * G687)</f>
        <v>0</v>
      </c>
      <c r="H688" s="21">
        <f t="shared" ref="H688:BD688" si="391">IF($E$621 = 1, 1, 1 * H687)</f>
        <v>0</v>
      </c>
      <c r="I688" s="21">
        <f t="shared" si="391"/>
        <v>0</v>
      </c>
      <c r="J688" s="21">
        <f t="shared" si="391"/>
        <v>0</v>
      </c>
      <c r="K688" s="21">
        <f t="shared" si="391"/>
        <v>0</v>
      </c>
      <c r="L688" s="21">
        <f t="shared" si="391"/>
        <v>0</v>
      </c>
      <c r="M688" s="21">
        <f t="shared" si="391"/>
        <v>0</v>
      </c>
      <c r="N688" s="21">
        <f t="shared" si="391"/>
        <v>1</v>
      </c>
      <c r="O688" s="21">
        <f t="shared" si="391"/>
        <v>1</v>
      </c>
      <c r="P688" s="21">
        <f t="shared" si="391"/>
        <v>1</v>
      </c>
      <c r="Q688" s="21">
        <f t="shared" si="391"/>
        <v>1</v>
      </c>
      <c r="R688" s="21">
        <f t="shared" si="391"/>
        <v>1</v>
      </c>
      <c r="S688" s="21">
        <f t="shared" si="391"/>
        <v>1</v>
      </c>
      <c r="T688" s="21">
        <f t="shared" si="391"/>
        <v>1</v>
      </c>
      <c r="U688" s="21">
        <f t="shared" si="391"/>
        <v>1</v>
      </c>
      <c r="V688" s="21">
        <f t="shared" si="391"/>
        <v>1</v>
      </c>
      <c r="W688" s="21">
        <f t="shared" si="391"/>
        <v>1</v>
      </c>
      <c r="X688" s="21">
        <f t="shared" si="391"/>
        <v>1</v>
      </c>
      <c r="Y688" s="21">
        <f t="shared" si="391"/>
        <v>1</v>
      </c>
      <c r="Z688" s="21">
        <f t="shared" si="391"/>
        <v>1</v>
      </c>
      <c r="AA688" s="21">
        <f t="shared" si="391"/>
        <v>1</v>
      </c>
      <c r="AB688" s="21">
        <f t="shared" si="391"/>
        <v>1</v>
      </c>
      <c r="AC688" s="21">
        <f t="shared" si="391"/>
        <v>1</v>
      </c>
      <c r="AD688" s="21">
        <f t="shared" si="391"/>
        <v>1</v>
      </c>
      <c r="AE688" s="21">
        <f t="shared" si="391"/>
        <v>1</v>
      </c>
      <c r="AF688" s="21">
        <f t="shared" si="391"/>
        <v>1</v>
      </c>
      <c r="AG688" s="21">
        <f t="shared" si="391"/>
        <v>1</v>
      </c>
      <c r="AH688" s="21">
        <f t="shared" si="391"/>
        <v>1</v>
      </c>
      <c r="AI688" s="21">
        <f t="shared" si="391"/>
        <v>1</v>
      </c>
      <c r="AJ688" s="21">
        <f t="shared" si="391"/>
        <v>1</v>
      </c>
      <c r="AK688" s="21">
        <f t="shared" si="391"/>
        <v>1</v>
      </c>
      <c r="AL688" s="21">
        <f t="shared" si="391"/>
        <v>1</v>
      </c>
      <c r="AM688" s="21">
        <f t="shared" si="391"/>
        <v>1</v>
      </c>
      <c r="AN688" s="21">
        <f t="shared" si="391"/>
        <v>1</v>
      </c>
      <c r="AO688" s="21">
        <f t="shared" si="391"/>
        <v>1</v>
      </c>
      <c r="AP688" s="21">
        <f t="shared" si="391"/>
        <v>1</v>
      </c>
      <c r="AQ688" s="21">
        <f t="shared" si="391"/>
        <v>1</v>
      </c>
      <c r="AR688" s="21">
        <f t="shared" si="391"/>
        <v>1</v>
      </c>
      <c r="AS688" s="21">
        <f t="shared" si="391"/>
        <v>1</v>
      </c>
      <c r="AT688" s="21">
        <f t="shared" si="391"/>
        <v>1</v>
      </c>
      <c r="AU688" s="21">
        <f t="shared" si="391"/>
        <v>1</v>
      </c>
      <c r="AV688" s="21">
        <f t="shared" si="391"/>
        <v>1</v>
      </c>
      <c r="AW688" s="21">
        <f t="shared" si="391"/>
        <v>1</v>
      </c>
      <c r="AX688" s="21">
        <f t="shared" si="391"/>
        <v>1</v>
      </c>
      <c r="AY688" s="21">
        <f t="shared" si="391"/>
        <v>1</v>
      </c>
      <c r="AZ688" s="21">
        <f t="shared" si="391"/>
        <v>1</v>
      </c>
      <c r="BA688" s="21">
        <f t="shared" si="391"/>
        <v>1</v>
      </c>
      <c r="BB688" s="21">
        <f t="shared" si="391"/>
        <v>1</v>
      </c>
      <c r="BC688" s="21">
        <f t="shared" si="391"/>
        <v>1</v>
      </c>
      <c r="BD688" s="21">
        <f t="shared" si="391"/>
        <v>1</v>
      </c>
    </row>
    <row r="689" spans="3:56" ht="15" customHeight="1">
      <c r="C689" s="20"/>
      <c r="D689" s="22"/>
      <c r="E689" s="18"/>
      <c r="G689" s="17"/>
      <c r="H689" s="17"/>
      <c r="I689" s="17"/>
      <c r="J689" s="17"/>
      <c r="K689" s="17"/>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row>
    <row r="690" spans="3:56" ht="15" customHeight="1">
      <c r="C690" s="20"/>
      <c r="D690" s="401" t="s">
        <v>612</v>
      </c>
      <c r="E690" s="18"/>
      <c r="G690" s="17"/>
      <c r="H690" s="17"/>
      <c r="I690" s="17"/>
      <c r="J690" s="17"/>
      <c r="K690" s="17"/>
      <c r="L690" s="17"/>
      <c r="M690" s="17"/>
      <c r="N690" s="17"/>
      <c r="O690" s="17"/>
      <c r="P690" s="17"/>
      <c r="Q690" s="17"/>
      <c r="R690" s="17"/>
      <c r="S690" s="17"/>
      <c r="T690" s="17"/>
      <c r="U690" s="17"/>
      <c r="V690" s="17"/>
      <c r="W690" s="17"/>
      <c r="X690" s="17"/>
      <c r="Y690" s="17"/>
      <c r="Z690" s="17"/>
      <c r="AA690" s="17"/>
      <c r="AB690" s="17"/>
      <c r="AC690" s="17"/>
      <c r="AD690" s="17"/>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row>
    <row r="691" spans="3:56" ht="15" customHeight="1">
      <c r="C691" s="21">
        <f>SUM(G691:BD691)</f>
        <v>8048.0102865954977</v>
      </c>
      <c r="D691" s="11" t="s">
        <v>613</v>
      </c>
      <c r="E691" s="18" t="s">
        <v>333</v>
      </c>
      <c r="F691" s="400"/>
      <c r="G691" s="17">
        <f>G210 + G236 + G244 + G311 + G313 + G319 + G512 + G519 + G594 + G595 + G610 + IF($E$622 = 2, G96 * Inputs!$E$196, 0)</f>
        <v>0</v>
      </c>
      <c r="H691" s="17">
        <f>H210 + H236 + H244 + H311 + H313 + H319 + H512 + H519 + H594 + H595 + H610 + IF($E$622 = 2, H96 * Inputs!$E$196, 0)</f>
        <v>0</v>
      </c>
      <c r="I691" s="17">
        <f>I210 + I236 + I244 + I311 + I313 + I319 + I512 + I519 + I594 + I595 + I610 + IF($E$622 = 2, I96 * Inputs!$E$196, 0)</f>
        <v>2.9261250000000003</v>
      </c>
      <c r="J691" s="17">
        <f>J210 + J236 + J244 + J311 + J313 + J319 + J512 + J519 + J594 + J595 + J610 + IF($E$622 = 2, J96 * Inputs!$E$196, 0)</f>
        <v>11.93859</v>
      </c>
      <c r="K691" s="17">
        <f>K210 + K236 + K244 + K311 + K313 + K319 + K512 + K519 + K594 + K595 + K610 + IF($E$622 = 2, K96 * Inputs!$E$196, 0)</f>
        <v>26.654788940400003</v>
      </c>
      <c r="L691" s="17">
        <f>L210 + L236 + L244 + L311 + L313 + L319 + L512 + L519 + L594 + L595 + L610 + IF($E$622 = 2, L96 * Inputs!$E$196, 0)</f>
        <v>93.647078124470454</v>
      </c>
      <c r="M691" s="17">
        <f>M210 + M236 + M244 + M311 + M313 + M319 + M512 + M519 + M594 + M595 + M610 + IF($E$622 = 2, M96 * Inputs!$E$196, 0)</f>
        <v>139.86997366834257</v>
      </c>
      <c r="N691" s="17">
        <f>N210 + N236 + N244 + N311 + N313 + N319 + N512 + N519 + N594 + N595 + N610 + IF($E$622 = 2, N96 * Inputs!$E$196, 0)</f>
        <v>266.77856068772024</v>
      </c>
      <c r="O691" s="17">
        <f>O210 + O236 + O244 + O311 + O313 + O319 + O512 + O519 + O594 + O595 + O610 + IF($E$622 = 2, O96 * Inputs!$E$196, 0)</f>
        <v>276.08713884317069</v>
      </c>
      <c r="P691" s="17">
        <f>P210 + P236 + P244 + P311 + P313 + P319 + P512 + P519 + P594 + P595 + P610 + IF($E$622 = 2, P96 * Inputs!$E$196, 0)</f>
        <v>327.39560917408215</v>
      </c>
      <c r="Q691" s="17">
        <f>Q210 + Q236 + Q244 + Q311 + Q313 + Q319 + Q512 + Q519 + Q594 + Q595 + Q610 + IF($E$622 = 2, Q96 * Inputs!$E$196, 0)</f>
        <v>333.94352135756384</v>
      </c>
      <c r="R691" s="17">
        <f>R210 + R236 + R244 + R311 + R313 + R319 + R512 + R519 + R594 + R595 + R610 + IF($E$622 = 2, R96 * Inputs!$E$196, 0)</f>
        <v>340.62239178471492</v>
      </c>
      <c r="S691" s="17">
        <f>S210 + S236 + S244 + S311 + S313 + S319 + S512 + S519 + S594 + S595 + S610 + IF($E$622 = 2, S96 * Inputs!$E$196, 0)</f>
        <v>347.43483962040938</v>
      </c>
      <c r="T691" s="17">
        <f>T210 + T236 + T244 + T311 + T313 + T319 + T512 + T519 + T594 + T595 + T610 + IF($E$622 = 2, T96 * Inputs!$E$196, 0)</f>
        <v>354.38353641281748</v>
      </c>
      <c r="U691" s="17">
        <f>U210 + U236 + U244 + U311 + U313 + U319 + U512 + U519 + U594 + U595 + U610 + IF($E$622 = 2, U96 * Inputs!$E$196, 0)</f>
        <v>361.47120714107382</v>
      </c>
      <c r="V691" s="17">
        <f>V210 + V236 + V244 + V311 + V313 + V319 + V512 + V519 + V594 + V595 + V610 + IF($E$622 = 2, V96 * Inputs!$E$196, 0)</f>
        <v>368.70063128389523</v>
      </c>
      <c r="W691" s="17">
        <f>W210 + W236 + W244 + W311 + W313 + W319 + W512 + W519 + W594 + W595 + W610 + IF($E$622 = 2, W96 * Inputs!$E$196, 0)</f>
        <v>376.0746439095733</v>
      </c>
      <c r="X691" s="17">
        <f>X210 + X236 + X244 + X311 + X313 + X319 + X512 + X519 + X594 + X595 + X610 + IF($E$622 = 2, X96 * Inputs!$E$196, 0)</f>
        <v>383.59613678776481</v>
      </c>
      <c r="Y691" s="17">
        <f>Y210 + Y236 + Y244 + Y311 + Y313 + Y319 + Y512 + Y519 + Y594 + Y595 + Y610 + IF($E$622 = 2, Y96 * Inputs!$E$196, 0)</f>
        <v>388.99584958419416</v>
      </c>
      <c r="Z691" s="17">
        <f>Z210 + Z236 + Z244 + Z311 + Z313 + Z319 + Z512 + Z519 + Z594 + Z595 + Z610 + IF($E$622 = 2, Z96 * Inputs!$E$196, 0)</f>
        <v>396.77037489127611</v>
      </c>
      <c r="AA691" s="17">
        <f>AA210 + AA236 + AA244 + AA311 + AA313 + AA319 + AA512 + AA519 + AA594 + AA595 + AA610 + IF($E$622 = 2, AA96 * Inputs!$E$196, 0)</f>
        <v>404.6934105466654</v>
      </c>
      <c r="AB691" s="17">
        <f>AB210 + AB236 + AB244 + AB311 + AB313 + AB319 + AB512 + AB519 + AB594 + AB595 + AB610 + IF($E$622 = 2, AB96 * Inputs!$E$196, 0)</f>
        <v>412.76557211741851</v>
      </c>
      <c r="AC691" s="17">
        <f>AC210 + AC236 + AC244 + AC311 + AC313 + AC319 + AC512 + AC519 + AC594 + AC595 + AC610 + IF($E$622 = 2, AC96 * Inputs!$E$196, 0)</f>
        <v>420.98614750715677</v>
      </c>
      <c r="AD691" s="17">
        <f>AD210 + AD236 + AD244 + AD311 + AD313 + AD319 + AD512 + AD519 + AD594 + AD595 + AD610 + IF($E$622 = 2, AD96 * Inputs!$E$196, 0)</f>
        <v>425.48843927095157</v>
      </c>
      <c r="AE691" s="17">
        <f>AE210 + AE236 + AE244 + AE311 + AE313 + AE319 + AE512 + AE519 + AE594 + AE595 + AE610 + IF($E$622 = 2, AE96 * Inputs!$E$196, 0)</f>
        <v>433.91302358989412</v>
      </c>
      <c r="AF691" s="17">
        <f>AF210 + AF236 + AF244 + AF311 + AF313 + AF319 + AF512 + AF519 + AF594 + AF595 + AF610 + IF($E$622 = 2, AF96 * Inputs!$E$196, 0)</f>
        <v>442.44814854725649</v>
      </c>
      <c r="AG691" s="17">
        <f>AG210 + AG236 + AG244 + AG311 + AG313 + AG319 + AG512 + AG519 + AG594 + AG595 + AG610 + IF($E$622 = 2, AG96 * Inputs!$E$196, 0)</f>
        <v>484.48047412544304</v>
      </c>
      <c r="AH691" s="17">
        <f>AH210 + AH236 + AH244 + AH311 + AH313 + AH319 + AH512 + AH519 + AH594 + AH595 + AH610 + IF($E$622 = 2, AH96 * Inputs!$E$196, 0)</f>
        <v>225.9440736792433</v>
      </c>
      <c r="AI691" s="17">
        <f>AI210 + AI236 + AI244 + AI311 + AI313 + AI319 + AI512 + AI519 + AI594 + AI595 + AI610 + IF($E$622 = 2, AI96 * Inputs!$E$196, 0)</f>
        <v>0</v>
      </c>
      <c r="AJ691" s="17">
        <f>AJ210 + AJ236 + AJ244 + AJ311 + AJ313 + AJ319 + AJ512 + AJ519 + AJ594 + AJ595 + AJ610 + IF($E$622 = 2, AJ96 * Inputs!$E$196, 0)</f>
        <v>0</v>
      </c>
      <c r="AK691" s="17">
        <f>AK210 + AK236 + AK244 + AK311 + AK313 + AK319 + AK512 + AK519 + AK594 + AK595 + AK610 + IF($E$622 = 2, AK96 * Inputs!$E$196, 0)</f>
        <v>0</v>
      </c>
      <c r="AL691" s="17">
        <f>AL210 + AL236 + AL244 + AL311 + AL313 + AL319 + AL512 + AL519 + AL594 + AL595 + AL610 + IF($E$622 = 2, AL96 * Inputs!$E$196, 0)</f>
        <v>0</v>
      </c>
      <c r="AM691" s="17">
        <f>AM210 + AM236 + AM244 + AM311 + AM313 + AM319 + AM512 + AM519 + AM594 + AM595 + AM610 + IF($E$622 = 2, AM96 * Inputs!$E$196, 0)</f>
        <v>0</v>
      </c>
      <c r="AN691" s="17">
        <f>AN210 + AN236 + AN244 + AN311 + AN313 + AN319 + AN512 + AN519 + AN594 + AN595 + AN610 + IF($E$622 = 2, AN96 * Inputs!$E$196, 0)</f>
        <v>0</v>
      </c>
      <c r="AO691" s="17">
        <f>AO210 + AO236 + AO244 + AO311 + AO313 + AO319 + AO512 + AO519 + AO594 + AO595 + AO610 + IF($E$622 = 2, AO96 * Inputs!$E$196, 0)</f>
        <v>0</v>
      </c>
      <c r="AP691" s="17">
        <f>AP210 + AP236 + AP244 + AP311 + AP313 + AP319 + AP512 + AP519 + AP594 + AP595 + AP610 + IF($E$622 = 2, AP96 * Inputs!$E$196, 0)</f>
        <v>0</v>
      </c>
      <c r="AQ691" s="17">
        <f>AQ210 + AQ236 + AQ244 + AQ311 + AQ313 + AQ319 + AQ512 + AQ519 + AQ594 + AQ595 + AQ610 + IF($E$622 = 2, AQ96 * Inputs!$E$196, 0)</f>
        <v>0</v>
      </c>
      <c r="AR691" s="17">
        <f>AR210 + AR236 + AR244 + AR311 + AR313 + AR319 + AR512 + AR519 + AR594 + AR595 + AR610 + IF($E$622 = 2, AR96 * Inputs!$E$196, 0)</f>
        <v>0</v>
      </c>
      <c r="AS691" s="17">
        <f>AS210 + AS236 + AS244 + AS311 + AS313 + AS319 + AS512 + AS519 + AS594 + AS595 + AS610 + IF($E$622 = 2, AS96 * Inputs!$E$196, 0)</f>
        <v>0</v>
      </c>
      <c r="AT691" s="17">
        <f>AT210 + AT236 + AT244 + AT311 + AT313 + AT319 + AT512 + AT519 + AT594 + AT595 + AT610 + IF($E$622 = 2, AT96 * Inputs!$E$196, 0)</f>
        <v>0</v>
      </c>
      <c r="AU691" s="17">
        <f>AU210 + AU236 + AU244 + AU311 + AU313 + AU319 + AU512 + AU519 + AU594 + AU595 + AU610 + IF($E$622 = 2, AU96 * Inputs!$E$196, 0)</f>
        <v>0</v>
      </c>
      <c r="AV691" s="17">
        <f>AV210 + AV236 + AV244 + AV311 + AV313 + AV319 + AV512 + AV519 + AV594 + AV595 + AV610 + IF($E$622 = 2, AV96 * Inputs!$E$196, 0)</f>
        <v>0</v>
      </c>
      <c r="AW691" s="17">
        <f>AW210 + AW236 + AW244 + AW311 + AW313 + AW319 + AW512 + AW519 + AW594 + AW595 + AW610 + IF($E$622 = 2, AW96 * Inputs!$E$196, 0)</f>
        <v>0</v>
      </c>
      <c r="AX691" s="17">
        <f>AX210 + AX236 + AX244 + AX311 + AX313 + AX319 + AX512 + AX519 + AX594 + AX595 + AX610 + IF($E$622 = 2, AX96 * Inputs!$E$196, 0)</f>
        <v>0</v>
      </c>
      <c r="AY691" s="17">
        <f>AY210 + AY236 + AY244 + AY311 + AY313 + AY319 + AY512 + AY519 + AY594 + AY595 + AY610 + IF($E$622 = 2, AY96 * Inputs!$E$196, 0)</f>
        <v>0</v>
      </c>
      <c r="AZ691" s="17">
        <f>AZ210 + AZ236 + AZ244 + AZ311 + AZ313 + AZ319 + AZ512 + AZ519 + AZ594 + AZ595 + AZ610 + IF($E$622 = 2, AZ96 * Inputs!$E$196, 0)</f>
        <v>0</v>
      </c>
      <c r="BA691" s="17">
        <f>BA210 + BA236 + BA244 + BA311 + BA313 + BA319 + BA512 + BA519 + BA594 + BA595 + BA610 + IF($E$622 = 2, BA96 * Inputs!$E$196, 0)</f>
        <v>0</v>
      </c>
      <c r="BB691" s="17">
        <f>BB210 + BB236 + BB244 + BB311 + BB313 + BB319 + BB512 + BB519 + BB594 + BB595 + BB610 + IF($E$622 = 2, BB96 * Inputs!$E$196, 0)</f>
        <v>0</v>
      </c>
      <c r="BC691" s="17">
        <f>BC210 + BC236 + BC244 + BC311 + BC313 + BC319 + BC512 + BC519 + BC594 + BC595 + BC610 + IF($E$622 = 2, BC96 * Inputs!$E$196, 0)</f>
        <v>0</v>
      </c>
      <c r="BD691" s="17">
        <f>BD210 + BD236 + BD244 + BD311 + BD313 + BD319 + BD512 + BD519 + BD594 + BD595 + BD610 + IF($E$622 = 2, BD96 * Inputs!$E$196, 0)</f>
        <v>0</v>
      </c>
    </row>
    <row r="692" spans="3:56" ht="15" customHeight="1">
      <c r="C692" s="21">
        <f>SUM(G692:BD692)</f>
        <v>2574.0196974895593</v>
      </c>
      <c r="D692" s="11" t="str">
        <f>"Annual benefits from project NPV"&amp;$E$678*100</f>
        <v>Annual benefits from project NPV7.5</v>
      </c>
      <c r="E692" s="18" t="s">
        <v>333</v>
      </c>
      <c r="F692" s="400"/>
      <c r="G692" s="17">
        <f>G$691/G679</f>
        <v>0</v>
      </c>
      <c r="H692" s="17">
        <f t="shared" ref="H692:BD692" si="392">H$691/H679</f>
        <v>0</v>
      </c>
      <c r="I692" s="17">
        <f t="shared" si="392"/>
        <v>2.532071389940509</v>
      </c>
      <c r="J692" s="17">
        <f t="shared" si="392"/>
        <v>9.6100942055416514</v>
      </c>
      <c r="K692" s="17">
        <f t="shared" si="392"/>
        <v>19.959120079648979</v>
      </c>
      <c r="L692" s="17">
        <f t="shared" si="392"/>
        <v>65.230680661965621</v>
      </c>
      <c r="M692" s="17">
        <f t="shared" si="392"/>
        <v>90.630360525830213</v>
      </c>
      <c r="N692" s="17">
        <f t="shared" si="392"/>
        <v>160.80208490900671</v>
      </c>
      <c r="O692" s="17">
        <f t="shared" si="392"/>
        <v>154.80267536055393</v>
      </c>
      <c r="P692" s="17">
        <f t="shared" si="392"/>
        <v>170.76413885311064</v>
      </c>
      <c r="Q692" s="17">
        <f t="shared" si="392"/>
        <v>162.02736895830037</v>
      </c>
      <c r="R692" s="17">
        <f t="shared" si="392"/>
        <v>153.73759659299188</v>
      </c>
      <c r="S692" s="17">
        <f t="shared" si="392"/>
        <v>145.87195211614122</v>
      </c>
      <c r="T692" s="17">
        <f t="shared" si="392"/>
        <v>138.40873596136186</v>
      </c>
      <c r="U692" s="17">
        <f t="shared" si="392"/>
        <v>131.32735877264102</v>
      </c>
      <c r="V692" s="17">
        <f t="shared" si="392"/>
        <v>124.60828460287797</v>
      </c>
      <c r="W692" s="17">
        <f t="shared" si="392"/>
        <v>118.23297701854473</v>
      </c>
      <c r="X692" s="17">
        <f t="shared" si="392"/>
        <v>112.18384796178199</v>
      </c>
      <c r="Y692" s="17">
        <f t="shared" si="392"/>
        <v>105.82605606171795</v>
      </c>
      <c r="Z692" s="17">
        <f t="shared" si="392"/>
        <v>100.41033523611802</v>
      </c>
      <c r="AA692" s="17">
        <f t="shared" si="392"/>
        <v>95.270149776173966</v>
      </c>
      <c r="AB692" s="17">
        <f t="shared" si="392"/>
        <v>90.391109528557024</v>
      </c>
      <c r="AC692" s="17">
        <f t="shared" si="392"/>
        <v>85.759372006114987</v>
      </c>
      <c r="AD692" s="17">
        <f t="shared" si="392"/>
        <v>80.629336648833572</v>
      </c>
      <c r="AE692" s="17">
        <f t="shared" si="392"/>
        <v>76.489098669840857</v>
      </c>
      <c r="AF692" s="17">
        <f t="shared" si="392"/>
        <v>72.552231696767819</v>
      </c>
      <c r="AG692" s="17">
        <f t="shared" si="392"/>
        <v>73.902002747554704</v>
      </c>
      <c r="AH692" s="17">
        <f t="shared" si="392"/>
        <v>32.060657147641137</v>
      </c>
      <c r="AI692" s="17">
        <f t="shared" si="392"/>
        <v>0</v>
      </c>
      <c r="AJ692" s="17">
        <f t="shared" si="392"/>
        <v>0</v>
      </c>
      <c r="AK692" s="17">
        <f t="shared" si="392"/>
        <v>0</v>
      </c>
      <c r="AL692" s="17">
        <f t="shared" si="392"/>
        <v>0</v>
      </c>
      <c r="AM692" s="17">
        <f t="shared" si="392"/>
        <v>0</v>
      </c>
      <c r="AN692" s="17">
        <f t="shared" si="392"/>
        <v>0</v>
      </c>
      <c r="AO692" s="17">
        <f t="shared" si="392"/>
        <v>0</v>
      </c>
      <c r="AP692" s="17">
        <f t="shared" si="392"/>
        <v>0</v>
      </c>
      <c r="AQ692" s="17">
        <f t="shared" si="392"/>
        <v>0</v>
      </c>
      <c r="AR692" s="17">
        <f t="shared" si="392"/>
        <v>0</v>
      </c>
      <c r="AS692" s="17">
        <f t="shared" si="392"/>
        <v>0</v>
      </c>
      <c r="AT692" s="17">
        <f t="shared" si="392"/>
        <v>0</v>
      </c>
      <c r="AU692" s="17">
        <f t="shared" si="392"/>
        <v>0</v>
      </c>
      <c r="AV692" s="17">
        <f t="shared" si="392"/>
        <v>0</v>
      </c>
      <c r="AW692" s="17">
        <f t="shared" si="392"/>
        <v>0</v>
      </c>
      <c r="AX692" s="17">
        <f t="shared" si="392"/>
        <v>0</v>
      </c>
      <c r="AY692" s="17">
        <f t="shared" si="392"/>
        <v>0</v>
      </c>
      <c r="AZ692" s="17">
        <f t="shared" si="392"/>
        <v>0</v>
      </c>
      <c r="BA692" s="17">
        <f t="shared" si="392"/>
        <v>0</v>
      </c>
      <c r="BB692" s="17">
        <f t="shared" si="392"/>
        <v>0</v>
      </c>
      <c r="BC692" s="17">
        <f t="shared" si="392"/>
        <v>0</v>
      </c>
      <c r="BD692" s="17">
        <f t="shared" si="392"/>
        <v>0</v>
      </c>
    </row>
    <row r="693" spans="3:56" ht="15" customHeight="1">
      <c r="C693" s="21"/>
      <c r="D693" s="22" t="str">
        <f>"Cumulative benefits from project NPV"&amp;$E$678*100</f>
        <v>Cumulative benefits from project NPV7.5</v>
      </c>
      <c r="E693" s="18" t="s">
        <v>333</v>
      </c>
      <c r="G693" s="17">
        <f>SUM($G$692:G692)</f>
        <v>0</v>
      </c>
      <c r="H693" s="17">
        <f>SUM($G$692:H692)</f>
        <v>0</v>
      </c>
      <c r="I693" s="17">
        <f>SUM($G$692:I692)</f>
        <v>2.532071389940509</v>
      </c>
      <c r="J693" s="17">
        <f>SUM($G$692:J692)</f>
        <v>12.14216559548216</v>
      </c>
      <c r="K693" s="17">
        <f>SUM($G$692:K692)</f>
        <v>32.101285675131138</v>
      </c>
      <c r="L693" s="17">
        <f>SUM($G$692:L692)</f>
        <v>97.331966337096759</v>
      </c>
      <c r="M693" s="17">
        <f>SUM($G$692:M692)</f>
        <v>187.96232686292697</v>
      </c>
      <c r="N693" s="17">
        <f>SUM($G$692:N692)</f>
        <v>348.76441177193368</v>
      </c>
      <c r="O693" s="17">
        <f>SUM($G$692:O692)</f>
        <v>503.56708713248759</v>
      </c>
      <c r="P693" s="17">
        <f>SUM($G$692:P692)</f>
        <v>674.33122598559817</v>
      </c>
      <c r="Q693" s="17">
        <f>SUM($G$692:Q692)</f>
        <v>836.35859494389854</v>
      </c>
      <c r="R693" s="17">
        <f>SUM($G$692:R692)</f>
        <v>990.09619153689039</v>
      </c>
      <c r="S693" s="17">
        <f>SUM($G$692:S692)</f>
        <v>1135.9681436530316</v>
      </c>
      <c r="T693" s="17">
        <f>SUM($G$692:T692)</f>
        <v>1274.3768796143934</v>
      </c>
      <c r="U693" s="17">
        <f>SUM($G$692:U692)</f>
        <v>1405.7042383870344</v>
      </c>
      <c r="V693" s="17">
        <f>SUM($G$692:V692)</f>
        <v>1530.3125229899124</v>
      </c>
      <c r="W693" s="17">
        <f>SUM($G$692:W692)</f>
        <v>1648.5455000084571</v>
      </c>
      <c r="X693" s="17">
        <f>SUM($G$692:X692)</f>
        <v>1760.7293479702391</v>
      </c>
      <c r="Y693" s="17">
        <f>SUM($G$692:Y692)</f>
        <v>1866.5554040319571</v>
      </c>
      <c r="Z693" s="17">
        <f>SUM($G$692:Z692)</f>
        <v>1966.9657392680751</v>
      </c>
      <c r="AA693" s="17">
        <f>SUM($G$692:AA692)</f>
        <v>2062.2358890442492</v>
      </c>
      <c r="AB693" s="17">
        <f>SUM($G$692:AB692)</f>
        <v>2152.6269985728063</v>
      </c>
      <c r="AC693" s="17">
        <f>SUM($G$692:AC692)</f>
        <v>2238.3863705789213</v>
      </c>
      <c r="AD693" s="17">
        <f>SUM($G$692:AD692)</f>
        <v>2319.0157072277548</v>
      </c>
      <c r="AE693" s="17">
        <f>SUM($G$692:AE692)</f>
        <v>2395.5048058975958</v>
      </c>
      <c r="AF693" s="17">
        <f>SUM($G$692:AF692)</f>
        <v>2468.0570375943635</v>
      </c>
      <c r="AG693" s="17">
        <f>SUM($G$692:AG692)</f>
        <v>2541.9590403419184</v>
      </c>
      <c r="AH693" s="17">
        <f>SUM($G$692:AH692)</f>
        <v>2574.0196974895593</v>
      </c>
      <c r="AI693" s="17">
        <f>SUM($G$692:AI692)</f>
        <v>2574.0196974895593</v>
      </c>
      <c r="AJ693" s="17">
        <f>SUM($G$692:AJ692)</f>
        <v>2574.0196974895593</v>
      </c>
      <c r="AK693" s="17">
        <f>SUM($G$692:AK692)</f>
        <v>2574.0196974895593</v>
      </c>
      <c r="AL693" s="17">
        <f>SUM($G$692:AL692)</f>
        <v>2574.0196974895593</v>
      </c>
      <c r="AM693" s="17">
        <f>SUM($G$692:AM692)</f>
        <v>2574.0196974895593</v>
      </c>
      <c r="AN693" s="17">
        <f>SUM($G$692:AN692)</f>
        <v>2574.0196974895593</v>
      </c>
      <c r="AO693" s="17">
        <f>SUM($G$692:AO692)</f>
        <v>2574.0196974895593</v>
      </c>
      <c r="AP693" s="17">
        <f>SUM($G$692:AP692)</f>
        <v>2574.0196974895593</v>
      </c>
      <c r="AQ693" s="17">
        <f>SUM($G$692:AQ692)</f>
        <v>2574.0196974895593</v>
      </c>
      <c r="AR693" s="17">
        <f>SUM($G$692:AR692)</f>
        <v>2574.0196974895593</v>
      </c>
      <c r="AS693" s="17">
        <f>SUM($G$692:AS692)</f>
        <v>2574.0196974895593</v>
      </c>
      <c r="AT693" s="17">
        <f>SUM($G$692:AT692)</f>
        <v>2574.0196974895593</v>
      </c>
      <c r="AU693" s="17">
        <f>SUM($G$692:AU692)</f>
        <v>2574.0196974895593</v>
      </c>
      <c r="AV693" s="17">
        <f>SUM($G$692:AV692)</f>
        <v>2574.0196974895593</v>
      </c>
      <c r="AW693" s="17">
        <f>SUM($G$692:AW692)</f>
        <v>2574.0196974895593</v>
      </c>
      <c r="AX693" s="17">
        <f>SUM($G$692:AX692)</f>
        <v>2574.0196974895593</v>
      </c>
      <c r="AY693" s="17">
        <f>SUM($G$692:AY692)</f>
        <v>2574.0196974895593</v>
      </c>
      <c r="AZ693" s="17">
        <f>SUM($G$692:AZ692)</f>
        <v>2574.0196974895593</v>
      </c>
      <c r="BA693" s="17">
        <f>SUM($G$692:BA692)</f>
        <v>2574.0196974895593</v>
      </c>
      <c r="BB693" s="17">
        <f>SUM($G$692:BB692)</f>
        <v>2574.0196974895593</v>
      </c>
      <c r="BC693" s="17">
        <f>SUM($G$692:BC692)</f>
        <v>2574.0196974895593</v>
      </c>
      <c r="BD693" s="17">
        <f>SUM($G$692:BD692)</f>
        <v>2574.0196974895593</v>
      </c>
    </row>
    <row r="694" spans="3:56" ht="15" customHeight="1">
      <c r="C694" s="21"/>
      <c r="D694" s="22"/>
      <c r="E694" s="18"/>
      <c r="G694" s="17"/>
      <c r="H694" s="17"/>
      <c r="I694" s="17"/>
      <c r="J694" s="17"/>
      <c r="K694" s="17"/>
      <c r="L694" s="17"/>
      <c r="M694" s="17"/>
      <c r="N694" s="17"/>
      <c r="O694" s="17"/>
      <c r="P694" s="17"/>
      <c r="Q694" s="17"/>
      <c r="R694" s="17"/>
      <c r="S694" s="17"/>
      <c r="T694" s="17"/>
      <c r="U694" s="17"/>
      <c r="V694" s="17"/>
      <c r="W694" s="17"/>
      <c r="X694" s="17"/>
      <c r="Y694" s="17"/>
      <c r="Z694" s="17"/>
      <c r="AA694" s="17"/>
      <c r="AB694" s="17"/>
      <c r="AC694" s="17"/>
      <c r="AD694" s="17"/>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row>
    <row r="695" spans="3:56" ht="15" customHeight="1">
      <c r="C695" s="21">
        <f t="shared" ref="C695:C696" si="393">SUM(G695:BD695)</f>
        <v>4611.0556263166563</v>
      </c>
      <c r="D695" s="22" t="s">
        <v>615</v>
      </c>
      <c r="E695" s="18" t="s">
        <v>333</v>
      </c>
      <c r="G695" s="17">
        <f>G210 + G236 + G240 + G244 + G311 + G313 + G319 + G512 + G519 + G595 + G604 + G610</f>
        <v>0</v>
      </c>
      <c r="H695" s="17">
        <f t="shared" ref="H695:BD695" si="394">H210 + H236 + H240 + H244 + H311 + H313 + H319 + H512 + H519 + H595 + H604 + H610</f>
        <v>0</v>
      </c>
      <c r="I695" s="17">
        <f t="shared" si="394"/>
        <v>2.9261250000000003</v>
      </c>
      <c r="J695" s="17">
        <f t="shared" si="394"/>
        <v>11.93859</v>
      </c>
      <c r="K695" s="17">
        <f t="shared" si="394"/>
        <v>26.654788940400003</v>
      </c>
      <c r="L695" s="17">
        <f t="shared" si="394"/>
        <v>93.647078124470454</v>
      </c>
      <c r="M695" s="17">
        <f t="shared" si="394"/>
        <v>116.16067358343437</v>
      </c>
      <c r="N695" s="17">
        <f t="shared" si="394"/>
        <v>147.73392710086779</v>
      </c>
      <c r="O695" s="17">
        <f t="shared" si="394"/>
        <v>150.61479945847225</v>
      </c>
      <c r="P695" s="17">
        <f t="shared" si="394"/>
        <v>185.40850040223782</v>
      </c>
      <c r="Q695" s="17">
        <f t="shared" si="394"/>
        <v>189.11667041028258</v>
      </c>
      <c r="R695" s="17">
        <f t="shared" si="394"/>
        <v>192.89900381848813</v>
      </c>
      <c r="S695" s="17">
        <f t="shared" si="394"/>
        <v>196.756983894858</v>
      </c>
      <c r="T695" s="17">
        <f t="shared" si="394"/>
        <v>200.69212357275512</v>
      </c>
      <c r="U695" s="17">
        <f t="shared" si="394"/>
        <v>204.70596604421021</v>
      </c>
      <c r="V695" s="17">
        <f t="shared" si="394"/>
        <v>208.80008536509439</v>
      </c>
      <c r="W695" s="17">
        <f t="shared" si="394"/>
        <v>212.97608707239635</v>
      </c>
      <c r="X695" s="17">
        <f t="shared" si="394"/>
        <v>217.23560881384429</v>
      </c>
      <c r="Y695" s="17">
        <f t="shared" si="394"/>
        <v>220.51056455068652</v>
      </c>
      <c r="Z695" s="17">
        <f t="shared" si="394"/>
        <v>224.91823743658969</v>
      </c>
      <c r="AA695" s="17">
        <f t="shared" si="394"/>
        <v>229.4107775219025</v>
      </c>
      <c r="AB695" s="17">
        <f t="shared" si="394"/>
        <v>233.98877358614371</v>
      </c>
      <c r="AC695" s="17">
        <f t="shared" si="394"/>
        <v>238.65219532429771</v>
      </c>
      <c r="AD695" s="17">
        <f t="shared" si="394"/>
        <v>241.58091262825087</v>
      </c>
      <c r="AE695" s="17">
        <f t="shared" si="394"/>
        <v>246.37242603399878</v>
      </c>
      <c r="AF695" s="17">
        <f t="shared" si="394"/>
        <v>251.23248635448252</v>
      </c>
      <c r="AG695" s="17">
        <f t="shared" si="394"/>
        <v>265.14318389410641</v>
      </c>
      <c r="AH695" s="17">
        <f t="shared" si="394"/>
        <v>100.97905738438547</v>
      </c>
      <c r="AI695" s="17">
        <f t="shared" si="394"/>
        <v>0</v>
      </c>
      <c r="AJ695" s="17">
        <f t="shared" si="394"/>
        <v>0</v>
      </c>
      <c r="AK695" s="17">
        <f t="shared" si="394"/>
        <v>0</v>
      </c>
      <c r="AL695" s="17">
        <f t="shared" si="394"/>
        <v>0</v>
      </c>
      <c r="AM695" s="17">
        <f t="shared" si="394"/>
        <v>0</v>
      </c>
      <c r="AN695" s="17">
        <f t="shared" si="394"/>
        <v>0</v>
      </c>
      <c r="AO695" s="17">
        <f t="shared" si="394"/>
        <v>0</v>
      </c>
      <c r="AP695" s="17">
        <f t="shared" si="394"/>
        <v>0</v>
      </c>
      <c r="AQ695" s="17">
        <f t="shared" si="394"/>
        <v>0</v>
      </c>
      <c r="AR695" s="17">
        <f t="shared" si="394"/>
        <v>0</v>
      </c>
      <c r="AS695" s="17">
        <f t="shared" si="394"/>
        <v>0</v>
      </c>
      <c r="AT695" s="17">
        <f t="shared" si="394"/>
        <v>0</v>
      </c>
      <c r="AU695" s="17">
        <f t="shared" si="394"/>
        <v>0</v>
      </c>
      <c r="AV695" s="17">
        <f t="shared" si="394"/>
        <v>0</v>
      </c>
      <c r="AW695" s="17">
        <f t="shared" si="394"/>
        <v>0</v>
      </c>
      <c r="AX695" s="17">
        <f t="shared" si="394"/>
        <v>0</v>
      </c>
      <c r="AY695" s="17">
        <f t="shared" si="394"/>
        <v>0</v>
      </c>
      <c r="AZ695" s="17">
        <f t="shared" si="394"/>
        <v>0</v>
      </c>
      <c r="BA695" s="17">
        <f t="shared" si="394"/>
        <v>0</v>
      </c>
      <c r="BB695" s="17">
        <f t="shared" si="394"/>
        <v>0</v>
      </c>
      <c r="BC695" s="17">
        <f t="shared" si="394"/>
        <v>0</v>
      </c>
      <c r="BD695" s="17">
        <f t="shared" si="394"/>
        <v>0</v>
      </c>
    </row>
    <row r="696" spans="3:56" ht="15" customHeight="1">
      <c r="C696" s="21">
        <f t="shared" si="393"/>
        <v>1513.9967662951447</v>
      </c>
      <c r="D696" s="22" t="str">
        <f>"Initial government benefits NPV"&amp;$E$678*100</f>
        <v>Initial government benefits NPV7.5</v>
      </c>
      <c r="E696" s="18" t="s">
        <v>333</v>
      </c>
      <c r="G696" s="17">
        <f>G$695/G679</f>
        <v>0</v>
      </c>
      <c r="H696" s="17">
        <f t="shared" ref="H696:BD696" si="395">H$695/H679</f>
        <v>0</v>
      </c>
      <c r="I696" s="17">
        <f t="shared" si="395"/>
        <v>2.532071389940509</v>
      </c>
      <c r="J696" s="17">
        <f t="shared" si="395"/>
        <v>9.6100942055416514</v>
      </c>
      <c r="K696" s="17">
        <f t="shared" si="395"/>
        <v>19.959120079648979</v>
      </c>
      <c r="L696" s="17">
        <f t="shared" si="395"/>
        <v>65.230680661965621</v>
      </c>
      <c r="M696" s="17">
        <f t="shared" si="395"/>
        <v>75.267646441065423</v>
      </c>
      <c r="N696" s="17">
        <f t="shared" si="395"/>
        <v>89.047348588938661</v>
      </c>
      <c r="O696" s="17">
        <f t="shared" si="395"/>
        <v>84.450054438461379</v>
      </c>
      <c r="P696" s="17">
        <f t="shared" si="395"/>
        <v>96.706009549443792</v>
      </c>
      <c r="Q696" s="17">
        <f t="shared" si="395"/>
        <v>91.758260223658326</v>
      </c>
      <c r="R696" s="17">
        <f t="shared" si="395"/>
        <v>87.063651561052495</v>
      </c>
      <c r="S696" s="17">
        <f t="shared" si="395"/>
        <v>82.609232178859159</v>
      </c>
      <c r="T696" s="17">
        <f t="shared" si="395"/>
        <v>78.382713323196569</v>
      </c>
      <c r="U696" s="17">
        <f t="shared" si="395"/>
        <v>74.372434967126054</v>
      </c>
      <c r="V696" s="17">
        <f t="shared" si="395"/>
        <v>70.567333643226576</v>
      </c>
      <c r="W696" s="17">
        <f t="shared" si="395"/>
        <v>66.956911921945235</v>
      </c>
      <c r="X696" s="17">
        <f t="shared" si="395"/>
        <v>63.531209451520148</v>
      </c>
      <c r="Y696" s="17">
        <f t="shared" si="395"/>
        <v>59.989748968494432</v>
      </c>
      <c r="Z696" s="17">
        <f t="shared" si="395"/>
        <v>56.919863606029828</v>
      </c>
      <c r="AA696" s="17">
        <f t="shared" si="395"/>
        <v>54.006313335462501</v>
      </c>
      <c r="AB696" s="17">
        <f t="shared" si="395"/>
        <v>51.240961675120538</v>
      </c>
      <c r="AC696" s="17">
        <f t="shared" si="395"/>
        <v>48.615999647695133</v>
      </c>
      <c r="AD696" s="17">
        <f t="shared" si="395"/>
        <v>45.779172674141094</v>
      </c>
      <c r="AE696" s="17">
        <f t="shared" si="395"/>
        <v>43.429912862568202</v>
      </c>
      <c r="AF696" s="17">
        <f t="shared" si="395"/>
        <v>41.196867067008768</v>
      </c>
      <c r="AG696" s="17">
        <f t="shared" si="395"/>
        <v>40.444586213734922</v>
      </c>
      <c r="AH696" s="17">
        <f t="shared" si="395"/>
        <v>14.328567619298335</v>
      </c>
      <c r="AI696" s="17">
        <f t="shared" si="395"/>
        <v>0</v>
      </c>
      <c r="AJ696" s="17">
        <f t="shared" si="395"/>
        <v>0</v>
      </c>
      <c r="AK696" s="17">
        <f t="shared" si="395"/>
        <v>0</v>
      </c>
      <c r="AL696" s="17">
        <f t="shared" si="395"/>
        <v>0</v>
      </c>
      <c r="AM696" s="17">
        <f t="shared" si="395"/>
        <v>0</v>
      </c>
      <c r="AN696" s="17">
        <f t="shared" si="395"/>
        <v>0</v>
      </c>
      <c r="AO696" s="17">
        <f t="shared" si="395"/>
        <v>0</v>
      </c>
      <c r="AP696" s="17">
        <f t="shared" si="395"/>
        <v>0</v>
      </c>
      <c r="AQ696" s="17">
        <f t="shared" si="395"/>
        <v>0</v>
      </c>
      <c r="AR696" s="17">
        <f t="shared" si="395"/>
        <v>0</v>
      </c>
      <c r="AS696" s="17">
        <f t="shared" si="395"/>
        <v>0</v>
      </c>
      <c r="AT696" s="17">
        <f t="shared" si="395"/>
        <v>0</v>
      </c>
      <c r="AU696" s="17">
        <f t="shared" si="395"/>
        <v>0</v>
      </c>
      <c r="AV696" s="17">
        <f t="shared" si="395"/>
        <v>0</v>
      </c>
      <c r="AW696" s="17">
        <f t="shared" si="395"/>
        <v>0</v>
      </c>
      <c r="AX696" s="17">
        <f t="shared" si="395"/>
        <v>0</v>
      </c>
      <c r="AY696" s="17">
        <f t="shared" si="395"/>
        <v>0</v>
      </c>
      <c r="AZ696" s="17">
        <f t="shared" si="395"/>
        <v>0</v>
      </c>
      <c r="BA696" s="17">
        <f t="shared" si="395"/>
        <v>0</v>
      </c>
      <c r="BB696" s="17">
        <f t="shared" si="395"/>
        <v>0</v>
      </c>
      <c r="BC696" s="17">
        <f t="shared" si="395"/>
        <v>0</v>
      </c>
      <c r="BD696" s="17">
        <f t="shared" si="395"/>
        <v>0</v>
      </c>
    </row>
    <row r="697" spans="3:56" ht="15" customHeight="1">
      <c r="C697" s="21"/>
      <c r="D697" s="22" t="str">
        <f>"Initial government share of annual benefits NPV"&amp;$E$735*100</f>
        <v>Initial government share of annual benefits NPV7.5</v>
      </c>
      <c r="E697" s="18" t="s">
        <v>30</v>
      </c>
      <c r="G697" s="6" t="str">
        <f>IFERROR(G696 / G692, "-")</f>
        <v>-</v>
      </c>
      <c r="H697" s="6" t="str">
        <f t="shared" ref="H697:BD697" si="396">IFERROR(H696 / H692, "-")</f>
        <v>-</v>
      </c>
      <c r="I697" s="6">
        <f t="shared" si="396"/>
        <v>1</v>
      </c>
      <c r="J697" s="6">
        <f t="shared" si="396"/>
        <v>1</v>
      </c>
      <c r="K697" s="6">
        <f t="shared" si="396"/>
        <v>1</v>
      </c>
      <c r="L697" s="6">
        <f t="shared" si="396"/>
        <v>1</v>
      </c>
      <c r="M697" s="6">
        <f t="shared" si="396"/>
        <v>0.83049042290429465</v>
      </c>
      <c r="N697" s="6">
        <f t="shared" si="396"/>
        <v>0.55376986336544087</v>
      </c>
      <c r="O697" s="6">
        <f t="shared" si="396"/>
        <v>0.54553355904067624</v>
      </c>
      <c r="P697" s="6">
        <f t="shared" si="396"/>
        <v>0.56631333837972386</v>
      </c>
      <c r="Q697" s="6">
        <f t="shared" si="396"/>
        <v>0.56631333837972386</v>
      </c>
      <c r="R697" s="6">
        <f t="shared" si="396"/>
        <v>0.56631333837972386</v>
      </c>
      <c r="S697" s="6">
        <f t="shared" si="396"/>
        <v>0.56631333837972386</v>
      </c>
      <c r="T697" s="6">
        <f t="shared" si="396"/>
        <v>0.56631333837972386</v>
      </c>
      <c r="U697" s="6">
        <f t="shared" si="396"/>
        <v>0.56631333837972386</v>
      </c>
      <c r="V697" s="6">
        <f t="shared" si="396"/>
        <v>0.56631333837972397</v>
      </c>
      <c r="W697" s="6">
        <f t="shared" si="396"/>
        <v>0.56631333837972386</v>
      </c>
      <c r="X697" s="6">
        <f t="shared" si="396"/>
        <v>0.56631333837972397</v>
      </c>
      <c r="Y697" s="6">
        <f t="shared" si="396"/>
        <v>0.56687125270461092</v>
      </c>
      <c r="Z697" s="6">
        <f t="shared" si="396"/>
        <v>0.56687255821007876</v>
      </c>
      <c r="AA697" s="6">
        <f t="shared" si="396"/>
        <v>0.56687549523480329</v>
      </c>
      <c r="AB697" s="6">
        <f t="shared" si="396"/>
        <v>0.56688054768187257</v>
      </c>
      <c r="AC697" s="6">
        <f t="shared" si="396"/>
        <v>0.56688847539868437</v>
      </c>
      <c r="AD697" s="6">
        <f t="shared" si="396"/>
        <v>0.56777315276105966</v>
      </c>
      <c r="AE697" s="6">
        <f t="shared" si="396"/>
        <v>0.56779219023131633</v>
      </c>
      <c r="AF697" s="6">
        <f t="shared" si="396"/>
        <v>0.56782356798052946</v>
      </c>
      <c r="AG697" s="6">
        <f t="shared" si="396"/>
        <v>0.54727320925106004</v>
      </c>
      <c r="AH697" s="6">
        <f t="shared" si="396"/>
        <v>0.44692058410763297</v>
      </c>
      <c r="AI697" s="6" t="str">
        <f t="shared" si="396"/>
        <v>-</v>
      </c>
      <c r="AJ697" s="6" t="str">
        <f t="shared" si="396"/>
        <v>-</v>
      </c>
      <c r="AK697" s="6" t="str">
        <f t="shared" si="396"/>
        <v>-</v>
      </c>
      <c r="AL697" s="6" t="str">
        <f t="shared" si="396"/>
        <v>-</v>
      </c>
      <c r="AM697" s="6" t="str">
        <f t="shared" si="396"/>
        <v>-</v>
      </c>
      <c r="AN697" s="6" t="str">
        <f t="shared" si="396"/>
        <v>-</v>
      </c>
      <c r="AO697" s="6" t="str">
        <f t="shared" si="396"/>
        <v>-</v>
      </c>
      <c r="AP697" s="6" t="str">
        <f t="shared" si="396"/>
        <v>-</v>
      </c>
      <c r="AQ697" s="6" t="str">
        <f t="shared" si="396"/>
        <v>-</v>
      </c>
      <c r="AR697" s="6" t="str">
        <f t="shared" si="396"/>
        <v>-</v>
      </c>
      <c r="AS697" s="6" t="str">
        <f t="shared" si="396"/>
        <v>-</v>
      </c>
      <c r="AT697" s="6" t="str">
        <f t="shared" si="396"/>
        <v>-</v>
      </c>
      <c r="AU697" s="6" t="str">
        <f t="shared" si="396"/>
        <v>-</v>
      </c>
      <c r="AV697" s="6" t="str">
        <f t="shared" si="396"/>
        <v>-</v>
      </c>
      <c r="AW697" s="6" t="str">
        <f t="shared" si="396"/>
        <v>-</v>
      </c>
      <c r="AX697" s="6" t="str">
        <f t="shared" si="396"/>
        <v>-</v>
      </c>
      <c r="AY697" s="6" t="str">
        <f t="shared" si="396"/>
        <v>-</v>
      </c>
      <c r="AZ697" s="6" t="str">
        <f t="shared" si="396"/>
        <v>-</v>
      </c>
      <c r="BA697" s="6" t="str">
        <f t="shared" si="396"/>
        <v>-</v>
      </c>
      <c r="BB697" s="6" t="str">
        <f t="shared" si="396"/>
        <v>-</v>
      </c>
      <c r="BC697" s="6" t="str">
        <f t="shared" si="396"/>
        <v>-</v>
      </c>
      <c r="BD697" s="6" t="str">
        <f t="shared" si="396"/>
        <v>-</v>
      </c>
    </row>
    <row r="698" spans="3:56" ht="15" customHeight="1">
      <c r="C698" s="21"/>
      <c r="D698" s="22" t="str">
        <f>"Cumulative initial government benefits NPV"&amp;$E$678*100</f>
        <v>Cumulative initial government benefits NPV7.5</v>
      </c>
      <c r="E698" s="18" t="s">
        <v>333</v>
      </c>
      <c r="G698" s="17">
        <f>SUM($G$696:G696)</f>
        <v>0</v>
      </c>
      <c r="H698" s="17">
        <f>SUM($G$696:H696)</f>
        <v>0</v>
      </c>
      <c r="I698" s="17">
        <f>SUM($G$696:I696)</f>
        <v>2.532071389940509</v>
      </c>
      <c r="J698" s="17">
        <f>SUM($G$696:J696)</f>
        <v>12.14216559548216</v>
      </c>
      <c r="K698" s="17">
        <f>SUM($G$696:K696)</f>
        <v>32.101285675131138</v>
      </c>
      <c r="L698" s="17">
        <f>SUM($G$696:L696)</f>
        <v>97.331966337096759</v>
      </c>
      <c r="M698" s="17">
        <f>SUM($G$696:M696)</f>
        <v>172.59961277816217</v>
      </c>
      <c r="N698" s="17">
        <f>SUM($G$696:N696)</f>
        <v>261.64696136710086</v>
      </c>
      <c r="O698" s="17">
        <f>SUM($G$696:O696)</f>
        <v>346.09701580556225</v>
      </c>
      <c r="P698" s="17">
        <f>SUM($G$696:P696)</f>
        <v>442.80302535500607</v>
      </c>
      <c r="Q698" s="17">
        <f>SUM($G$696:Q696)</f>
        <v>534.56128557866441</v>
      </c>
      <c r="R698" s="17">
        <f>SUM($G$696:R696)</f>
        <v>621.62493713971685</v>
      </c>
      <c r="S698" s="17">
        <f>SUM($G$696:S696)</f>
        <v>704.23416931857605</v>
      </c>
      <c r="T698" s="17">
        <f>SUM($G$696:T696)</f>
        <v>782.61688264177258</v>
      </c>
      <c r="U698" s="17">
        <f>SUM($G$696:U696)</f>
        <v>856.98931760889866</v>
      </c>
      <c r="V698" s="17">
        <f>SUM($G$696:V696)</f>
        <v>927.55665125212522</v>
      </c>
      <c r="W698" s="17">
        <f>SUM($G$696:W696)</f>
        <v>994.51356317407044</v>
      </c>
      <c r="X698" s="17">
        <f>SUM($G$696:X696)</f>
        <v>1058.0447726255907</v>
      </c>
      <c r="Y698" s="17">
        <f>SUM($G$696:Y696)</f>
        <v>1118.0345215940852</v>
      </c>
      <c r="Z698" s="17">
        <f>SUM($G$696:Z696)</f>
        <v>1174.954385200115</v>
      </c>
      <c r="AA698" s="17">
        <f>SUM($G$696:AA696)</f>
        <v>1228.9606985355774</v>
      </c>
      <c r="AB698" s="17">
        <f>SUM($G$696:AB696)</f>
        <v>1280.201660210698</v>
      </c>
      <c r="AC698" s="17">
        <f>SUM($G$696:AC696)</f>
        <v>1328.8176598583932</v>
      </c>
      <c r="AD698" s="17">
        <f>SUM($G$696:AD696)</f>
        <v>1374.5968325325343</v>
      </c>
      <c r="AE698" s="17">
        <f>SUM($G$696:AE696)</f>
        <v>1418.0267453951026</v>
      </c>
      <c r="AF698" s="17">
        <f>SUM($G$696:AF696)</f>
        <v>1459.2236124621113</v>
      </c>
      <c r="AG698" s="17">
        <f>SUM($G$696:AG696)</f>
        <v>1499.6681986758463</v>
      </c>
      <c r="AH698" s="17">
        <f>SUM($G$696:AH696)</f>
        <v>1513.9967662951447</v>
      </c>
      <c r="AI698" s="17">
        <f>SUM($G$696:AI696)</f>
        <v>1513.9967662951447</v>
      </c>
      <c r="AJ698" s="17">
        <f>SUM($G$696:AJ696)</f>
        <v>1513.9967662951447</v>
      </c>
      <c r="AK698" s="17">
        <f>SUM($G$696:AK696)</f>
        <v>1513.9967662951447</v>
      </c>
      <c r="AL698" s="17">
        <f>SUM($G$696:AL696)</f>
        <v>1513.9967662951447</v>
      </c>
      <c r="AM698" s="17">
        <f>SUM($G$696:AM696)</f>
        <v>1513.9967662951447</v>
      </c>
      <c r="AN698" s="17">
        <f>SUM($G$696:AN696)</f>
        <v>1513.9967662951447</v>
      </c>
      <c r="AO698" s="17">
        <f>SUM($G$696:AO696)</f>
        <v>1513.9967662951447</v>
      </c>
      <c r="AP698" s="17">
        <f>SUM($G$696:AP696)</f>
        <v>1513.9967662951447</v>
      </c>
      <c r="AQ698" s="17">
        <f>SUM($G$696:AQ696)</f>
        <v>1513.9967662951447</v>
      </c>
      <c r="AR698" s="17">
        <f>SUM($G$696:AR696)</f>
        <v>1513.9967662951447</v>
      </c>
      <c r="AS698" s="17">
        <f>SUM($G$696:AS696)</f>
        <v>1513.9967662951447</v>
      </c>
      <c r="AT698" s="17">
        <f>SUM($G$696:AT696)</f>
        <v>1513.9967662951447</v>
      </c>
      <c r="AU698" s="17">
        <f>SUM($G$696:AU696)</f>
        <v>1513.9967662951447</v>
      </c>
      <c r="AV698" s="17">
        <f>SUM($G$696:AV696)</f>
        <v>1513.9967662951447</v>
      </c>
      <c r="AW698" s="17">
        <f>SUM($G$696:AW696)</f>
        <v>1513.9967662951447</v>
      </c>
      <c r="AX698" s="17">
        <f>SUM($G$696:AX696)</f>
        <v>1513.9967662951447</v>
      </c>
      <c r="AY698" s="17">
        <f>SUM($G$696:AY696)</f>
        <v>1513.9967662951447</v>
      </c>
      <c r="AZ698" s="17">
        <f>SUM($G$696:AZ696)</f>
        <v>1513.9967662951447</v>
      </c>
      <c r="BA698" s="17">
        <f>SUM($G$696:BA696)</f>
        <v>1513.9967662951447</v>
      </c>
      <c r="BB698" s="17">
        <f>SUM($G$696:BB696)</f>
        <v>1513.9967662951447</v>
      </c>
      <c r="BC698" s="17">
        <f>SUM($G$696:BC696)</f>
        <v>1513.9967662951447</v>
      </c>
      <c r="BD698" s="17">
        <f>SUM($G$696:BD696)</f>
        <v>1513.9967662951447</v>
      </c>
    </row>
    <row r="699" spans="3:56" ht="15" customHeight="1">
      <c r="C699" s="21"/>
      <c r="D699" s="22" t="str">
        <f>"Initial government share of cumulative benefits NPV"&amp;$E$735*100</f>
        <v>Initial government share of cumulative benefits NPV7.5</v>
      </c>
      <c r="E699" s="18" t="s">
        <v>30</v>
      </c>
      <c r="G699" s="415" t="str">
        <f t="shared" ref="G699:AL699" si="397">IFERROR(G698 / G693, "-")</f>
        <v>-</v>
      </c>
      <c r="H699" s="415" t="str">
        <f t="shared" si="397"/>
        <v>-</v>
      </c>
      <c r="I699" s="415">
        <f t="shared" si="397"/>
        <v>1</v>
      </c>
      <c r="J699" s="415">
        <f t="shared" si="397"/>
        <v>1</v>
      </c>
      <c r="K699" s="415">
        <f t="shared" si="397"/>
        <v>1</v>
      </c>
      <c r="L699" s="415">
        <f t="shared" si="397"/>
        <v>1</v>
      </c>
      <c r="M699" s="415">
        <f t="shared" si="397"/>
        <v>0.91826705733448288</v>
      </c>
      <c r="N699" s="415">
        <f t="shared" si="397"/>
        <v>0.75021118134667586</v>
      </c>
      <c r="O699" s="415">
        <f t="shared" si="397"/>
        <v>0.68729077942003136</v>
      </c>
      <c r="P699" s="415">
        <f t="shared" si="397"/>
        <v>0.65665508030984032</v>
      </c>
      <c r="Q699" s="415">
        <f t="shared" si="397"/>
        <v>0.63915321586970941</v>
      </c>
      <c r="R699" s="415">
        <f t="shared" si="397"/>
        <v>0.62784297369611231</v>
      </c>
      <c r="S699" s="415">
        <f t="shared" si="397"/>
        <v>0.61994182957799238</v>
      </c>
      <c r="T699" s="415">
        <f t="shared" si="397"/>
        <v>0.61411729540995774</v>
      </c>
      <c r="U699" s="415">
        <f t="shared" si="397"/>
        <v>0.60965122975814967</v>
      </c>
      <c r="V699" s="415">
        <f t="shared" si="397"/>
        <v>0.60612236867791713</v>
      </c>
      <c r="W699" s="415">
        <f t="shared" si="397"/>
        <v>0.60326728207924407</v>
      </c>
      <c r="X699" s="415">
        <f t="shared" si="397"/>
        <v>0.60091278301534523</v>
      </c>
      <c r="Y699" s="415">
        <f t="shared" si="397"/>
        <v>0.59898276749729062</v>
      </c>
      <c r="Z699" s="415">
        <f t="shared" si="397"/>
        <v>0.59734359462576381</v>
      </c>
      <c r="AA699" s="415">
        <f t="shared" si="397"/>
        <v>0.59593604449641491</v>
      </c>
      <c r="AB699" s="415">
        <f t="shared" si="397"/>
        <v>0.59471597311539481</v>
      </c>
      <c r="AC699" s="415">
        <f t="shared" si="397"/>
        <v>0.59364981726310129</v>
      </c>
      <c r="AD699" s="415">
        <f t="shared" si="397"/>
        <v>0.59275011732274252</v>
      </c>
      <c r="AE699" s="415">
        <f t="shared" si="397"/>
        <v>0.5919532041446971</v>
      </c>
      <c r="AF699" s="415">
        <f t="shared" si="397"/>
        <v>0.59124387736372142</v>
      </c>
      <c r="AG699" s="415">
        <f t="shared" si="397"/>
        <v>0.58996552457199558</v>
      </c>
      <c r="AH699" s="415">
        <f t="shared" si="397"/>
        <v>0.58818383082761383</v>
      </c>
      <c r="AI699" s="415">
        <f t="shared" si="397"/>
        <v>0.58818383082761383</v>
      </c>
      <c r="AJ699" s="415">
        <f t="shared" si="397"/>
        <v>0.58818383082761383</v>
      </c>
      <c r="AK699" s="415">
        <f t="shared" si="397"/>
        <v>0.58818383082761383</v>
      </c>
      <c r="AL699" s="415">
        <f t="shared" si="397"/>
        <v>0.58818383082761383</v>
      </c>
      <c r="AM699" s="415">
        <f t="shared" ref="AM699:BD699" si="398">IFERROR(AM698 / AM693, "-")</f>
        <v>0.58818383082761383</v>
      </c>
      <c r="AN699" s="415">
        <f t="shared" si="398"/>
        <v>0.58818383082761383</v>
      </c>
      <c r="AO699" s="415">
        <f t="shared" si="398"/>
        <v>0.58818383082761383</v>
      </c>
      <c r="AP699" s="415">
        <f t="shared" si="398"/>
        <v>0.58818383082761383</v>
      </c>
      <c r="AQ699" s="415">
        <f t="shared" si="398"/>
        <v>0.58818383082761383</v>
      </c>
      <c r="AR699" s="415">
        <f t="shared" si="398"/>
        <v>0.58818383082761383</v>
      </c>
      <c r="AS699" s="415">
        <f t="shared" si="398"/>
        <v>0.58818383082761383</v>
      </c>
      <c r="AT699" s="415">
        <f t="shared" si="398"/>
        <v>0.58818383082761383</v>
      </c>
      <c r="AU699" s="415">
        <f t="shared" si="398"/>
        <v>0.58818383082761383</v>
      </c>
      <c r="AV699" s="415">
        <f t="shared" si="398"/>
        <v>0.58818383082761383</v>
      </c>
      <c r="AW699" s="415">
        <f t="shared" si="398"/>
        <v>0.58818383082761383</v>
      </c>
      <c r="AX699" s="415">
        <f t="shared" si="398"/>
        <v>0.58818383082761383</v>
      </c>
      <c r="AY699" s="415">
        <f t="shared" si="398"/>
        <v>0.58818383082761383</v>
      </c>
      <c r="AZ699" s="415">
        <f t="shared" si="398"/>
        <v>0.58818383082761383</v>
      </c>
      <c r="BA699" s="415">
        <f t="shared" si="398"/>
        <v>0.58818383082761383</v>
      </c>
      <c r="BB699" s="415">
        <f t="shared" si="398"/>
        <v>0.58818383082761383</v>
      </c>
      <c r="BC699" s="415">
        <f t="shared" si="398"/>
        <v>0.58818383082761383</v>
      </c>
      <c r="BD699" s="415">
        <f t="shared" si="398"/>
        <v>0.58818383082761383</v>
      </c>
    </row>
    <row r="700" spans="3:56" ht="15" customHeight="1">
      <c r="C700" s="21"/>
      <c r="D700" s="22"/>
      <c r="E700" s="18"/>
      <c r="G700" s="415"/>
      <c r="H700" s="415"/>
      <c r="I700" s="415"/>
      <c r="J700" s="415"/>
      <c r="K700" s="415"/>
      <c r="L700" s="415"/>
      <c r="M700" s="415"/>
      <c r="N700" s="415"/>
      <c r="O700" s="415"/>
      <c r="P700" s="415"/>
      <c r="Q700" s="415"/>
      <c r="R700" s="415"/>
      <c r="S700" s="415"/>
      <c r="T700" s="415"/>
      <c r="U700" s="415"/>
      <c r="V700" s="415"/>
      <c r="W700" s="415"/>
      <c r="X700" s="415"/>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5"/>
      <c r="BB700" s="415"/>
      <c r="BC700" s="415"/>
      <c r="BD700" s="415"/>
    </row>
    <row r="701" spans="3:56" ht="15" customHeight="1">
      <c r="C701" s="21"/>
      <c r="D701" s="401" t="s">
        <v>623</v>
      </c>
      <c r="E701" s="18"/>
      <c r="G701" s="17"/>
      <c r="H701" s="17"/>
      <c r="I701" s="17"/>
      <c r="J701" s="17"/>
      <c r="K701" s="17"/>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row>
    <row r="702" spans="3:56" ht="15" customHeight="1">
      <c r="C702" s="21">
        <f>SUM(G702:BD702)</f>
        <v>2386.0573706266323</v>
      </c>
      <c r="D702" s="11" t="str">
        <f>"Annual benefits from project affected by sharing mechanism NPV"&amp;$E$678*100</f>
        <v>Annual benefits from project affected by sharing mechanism NPV7.5</v>
      </c>
      <c r="E702" s="18" t="s">
        <v>333</v>
      </c>
      <c r="F702" s="400"/>
      <c r="G702" s="17">
        <f t="shared" ref="G702:AL702" si="399">G692 * G688</f>
        <v>0</v>
      </c>
      <c r="H702" s="17">
        <f t="shared" si="399"/>
        <v>0</v>
      </c>
      <c r="I702" s="17">
        <f t="shared" si="399"/>
        <v>0</v>
      </c>
      <c r="J702" s="17">
        <f t="shared" si="399"/>
        <v>0</v>
      </c>
      <c r="K702" s="17">
        <f t="shared" si="399"/>
        <v>0</v>
      </c>
      <c r="L702" s="17">
        <f t="shared" si="399"/>
        <v>0</v>
      </c>
      <c r="M702" s="17">
        <f t="shared" si="399"/>
        <v>0</v>
      </c>
      <c r="N702" s="17">
        <f t="shared" si="399"/>
        <v>160.80208490900671</v>
      </c>
      <c r="O702" s="17">
        <f t="shared" si="399"/>
        <v>154.80267536055393</v>
      </c>
      <c r="P702" s="17">
        <f t="shared" si="399"/>
        <v>170.76413885311064</v>
      </c>
      <c r="Q702" s="17">
        <f t="shared" si="399"/>
        <v>162.02736895830037</v>
      </c>
      <c r="R702" s="17">
        <f t="shared" si="399"/>
        <v>153.73759659299188</v>
      </c>
      <c r="S702" s="17">
        <f t="shared" si="399"/>
        <v>145.87195211614122</v>
      </c>
      <c r="T702" s="17">
        <f t="shared" si="399"/>
        <v>138.40873596136186</v>
      </c>
      <c r="U702" s="17">
        <f t="shared" si="399"/>
        <v>131.32735877264102</v>
      </c>
      <c r="V702" s="17">
        <f t="shared" si="399"/>
        <v>124.60828460287797</v>
      </c>
      <c r="W702" s="17">
        <f t="shared" si="399"/>
        <v>118.23297701854473</v>
      </c>
      <c r="X702" s="17">
        <f t="shared" si="399"/>
        <v>112.18384796178199</v>
      </c>
      <c r="Y702" s="17">
        <f t="shared" si="399"/>
        <v>105.82605606171795</v>
      </c>
      <c r="Z702" s="17">
        <f t="shared" si="399"/>
        <v>100.41033523611802</v>
      </c>
      <c r="AA702" s="17">
        <f t="shared" si="399"/>
        <v>95.270149776173966</v>
      </c>
      <c r="AB702" s="17">
        <f t="shared" si="399"/>
        <v>90.391109528557024</v>
      </c>
      <c r="AC702" s="17">
        <f t="shared" si="399"/>
        <v>85.759372006114987</v>
      </c>
      <c r="AD702" s="17">
        <f t="shared" si="399"/>
        <v>80.629336648833572</v>
      </c>
      <c r="AE702" s="17">
        <f t="shared" si="399"/>
        <v>76.489098669840857</v>
      </c>
      <c r="AF702" s="17">
        <f t="shared" si="399"/>
        <v>72.552231696767819</v>
      </c>
      <c r="AG702" s="17">
        <f t="shared" si="399"/>
        <v>73.902002747554704</v>
      </c>
      <c r="AH702" s="17">
        <f t="shared" si="399"/>
        <v>32.060657147641137</v>
      </c>
      <c r="AI702" s="17">
        <f t="shared" si="399"/>
        <v>0</v>
      </c>
      <c r="AJ702" s="17">
        <f t="shared" si="399"/>
        <v>0</v>
      </c>
      <c r="AK702" s="17">
        <f t="shared" si="399"/>
        <v>0</v>
      </c>
      <c r="AL702" s="17">
        <f t="shared" si="399"/>
        <v>0</v>
      </c>
      <c r="AM702" s="17">
        <f t="shared" ref="AM702:BD702" si="400">AM692 * AM688</f>
        <v>0</v>
      </c>
      <c r="AN702" s="17">
        <f t="shared" si="400"/>
        <v>0</v>
      </c>
      <c r="AO702" s="17">
        <f t="shared" si="400"/>
        <v>0</v>
      </c>
      <c r="AP702" s="17">
        <f t="shared" si="400"/>
        <v>0</v>
      </c>
      <c r="AQ702" s="17">
        <f t="shared" si="400"/>
        <v>0</v>
      </c>
      <c r="AR702" s="17">
        <f t="shared" si="400"/>
        <v>0</v>
      </c>
      <c r="AS702" s="17">
        <f t="shared" si="400"/>
        <v>0</v>
      </c>
      <c r="AT702" s="17">
        <f t="shared" si="400"/>
        <v>0</v>
      </c>
      <c r="AU702" s="17">
        <f t="shared" si="400"/>
        <v>0</v>
      </c>
      <c r="AV702" s="17">
        <f t="shared" si="400"/>
        <v>0</v>
      </c>
      <c r="AW702" s="17">
        <f t="shared" si="400"/>
        <v>0</v>
      </c>
      <c r="AX702" s="17">
        <f t="shared" si="400"/>
        <v>0</v>
      </c>
      <c r="AY702" s="17">
        <f t="shared" si="400"/>
        <v>0</v>
      </c>
      <c r="AZ702" s="17">
        <f t="shared" si="400"/>
        <v>0</v>
      </c>
      <c r="BA702" s="17">
        <f t="shared" si="400"/>
        <v>0</v>
      </c>
      <c r="BB702" s="17">
        <f t="shared" si="400"/>
        <v>0</v>
      </c>
      <c r="BC702" s="17">
        <f t="shared" si="400"/>
        <v>0</v>
      </c>
      <c r="BD702" s="17">
        <f t="shared" si="400"/>
        <v>0</v>
      </c>
    </row>
    <row r="703" spans="3:56" ht="15" customHeight="1">
      <c r="C703" s="21"/>
      <c r="D703" s="22" t="str">
        <f>"Cumulative benefits affected by sharing mechanism NPV"&amp;$E$678*100</f>
        <v>Cumulative benefits affected by sharing mechanism NPV7.5</v>
      </c>
      <c r="E703" s="18" t="s">
        <v>333</v>
      </c>
      <c r="G703" s="17">
        <f>SUM($G$702:G702)</f>
        <v>0</v>
      </c>
      <c r="H703" s="17">
        <f>SUM($G$702:H702)</f>
        <v>0</v>
      </c>
      <c r="I703" s="17">
        <f>SUM($G$702:I702)</f>
        <v>0</v>
      </c>
      <c r="J703" s="17">
        <f>SUM($G$702:J702)</f>
        <v>0</v>
      </c>
      <c r="K703" s="17">
        <f>SUM($G$702:K702)</f>
        <v>0</v>
      </c>
      <c r="L703" s="17">
        <f>SUM($G$702:L702)</f>
        <v>0</v>
      </c>
      <c r="M703" s="17">
        <f>SUM($G$702:M702)</f>
        <v>0</v>
      </c>
      <c r="N703" s="17">
        <f>SUM($G$702:N702)</f>
        <v>160.80208490900671</v>
      </c>
      <c r="O703" s="17">
        <f>SUM($G$702:O702)</f>
        <v>315.60476026956064</v>
      </c>
      <c r="P703" s="17">
        <f>SUM($G$702:P702)</f>
        <v>486.36889912267128</v>
      </c>
      <c r="Q703" s="17">
        <f>SUM($G$702:Q702)</f>
        <v>648.39626808097159</v>
      </c>
      <c r="R703" s="17">
        <f>SUM($G$702:R702)</f>
        <v>802.13386467396344</v>
      </c>
      <c r="S703" s="17">
        <f>SUM($G$702:S702)</f>
        <v>948.00581679010463</v>
      </c>
      <c r="T703" s="17">
        <f>SUM($G$702:T702)</f>
        <v>1086.4145527514665</v>
      </c>
      <c r="U703" s="17">
        <f>SUM($G$702:U702)</f>
        <v>1217.7419115241075</v>
      </c>
      <c r="V703" s="17">
        <f>SUM($G$702:V702)</f>
        <v>1342.3501961269856</v>
      </c>
      <c r="W703" s="17">
        <f>SUM($G$702:W702)</f>
        <v>1460.5831731455303</v>
      </c>
      <c r="X703" s="17">
        <f>SUM($G$702:X702)</f>
        <v>1572.7670211073123</v>
      </c>
      <c r="Y703" s="17">
        <f>SUM($G$702:Y702)</f>
        <v>1678.5930771690303</v>
      </c>
      <c r="Z703" s="17">
        <f>SUM($G$702:Z702)</f>
        <v>1779.0034124051483</v>
      </c>
      <c r="AA703" s="17">
        <f>SUM($G$702:AA702)</f>
        <v>1874.2735621813222</v>
      </c>
      <c r="AB703" s="17">
        <f>SUM($G$702:AB702)</f>
        <v>1964.6646717098793</v>
      </c>
      <c r="AC703" s="17">
        <f>SUM($G$702:AC702)</f>
        <v>2050.4240437159942</v>
      </c>
      <c r="AD703" s="17">
        <f>SUM($G$702:AD702)</f>
        <v>2131.0533803648277</v>
      </c>
      <c r="AE703" s="17">
        <f>SUM($G$702:AE702)</f>
        <v>2207.5424790346688</v>
      </c>
      <c r="AF703" s="17">
        <f>SUM($G$702:AF702)</f>
        <v>2280.0947107314364</v>
      </c>
      <c r="AG703" s="17">
        <f>SUM($G$702:AG702)</f>
        <v>2353.9967134789913</v>
      </c>
      <c r="AH703" s="17">
        <f>SUM($G$702:AH702)</f>
        <v>2386.0573706266323</v>
      </c>
      <c r="AI703" s="17">
        <f>SUM($G$702:AI702)</f>
        <v>2386.0573706266323</v>
      </c>
      <c r="AJ703" s="17">
        <f>SUM($G$702:AJ702)</f>
        <v>2386.0573706266323</v>
      </c>
      <c r="AK703" s="17">
        <f>SUM($G$702:AK702)</f>
        <v>2386.0573706266323</v>
      </c>
      <c r="AL703" s="17">
        <f>SUM($G$702:AL702)</f>
        <v>2386.0573706266323</v>
      </c>
      <c r="AM703" s="17">
        <f>SUM($G$702:AM702)</f>
        <v>2386.0573706266323</v>
      </c>
      <c r="AN703" s="17">
        <f>SUM($G$702:AN702)</f>
        <v>2386.0573706266323</v>
      </c>
      <c r="AO703" s="17">
        <f>SUM($G$702:AO702)</f>
        <v>2386.0573706266323</v>
      </c>
      <c r="AP703" s="17">
        <f>SUM($G$702:AP702)</f>
        <v>2386.0573706266323</v>
      </c>
      <c r="AQ703" s="17">
        <f>SUM($G$702:AQ702)</f>
        <v>2386.0573706266323</v>
      </c>
      <c r="AR703" s="17">
        <f>SUM($G$702:AR702)</f>
        <v>2386.0573706266323</v>
      </c>
      <c r="AS703" s="17">
        <f>SUM($G$702:AS702)</f>
        <v>2386.0573706266323</v>
      </c>
      <c r="AT703" s="17">
        <f>SUM($G$702:AT702)</f>
        <v>2386.0573706266323</v>
      </c>
      <c r="AU703" s="17">
        <f>SUM($G$702:AU702)</f>
        <v>2386.0573706266323</v>
      </c>
      <c r="AV703" s="17">
        <f>SUM($G$702:AV702)</f>
        <v>2386.0573706266323</v>
      </c>
      <c r="AW703" s="17">
        <f>SUM($G$702:AW702)</f>
        <v>2386.0573706266323</v>
      </c>
      <c r="AX703" s="17">
        <f>SUM($G$702:AX702)</f>
        <v>2386.0573706266323</v>
      </c>
      <c r="AY703" s="17">
        <f>SUM($G$702:AY702)</f>
        <v>2386.0573706266323</v>
      </c>
      <c r="AZ703" s="17">
        <f>SUM($G$702:AZ702)</f>
        <v>2386.0573706266323</v>
      </c>
      <c r="BA703" s="17">
        <f>SUM($G$702:BA702)</f>
        <v>2386.0573706266323</v>
      </c>
      <c r="BB703" s="17">
        <f>SUM($G$702:BB702)</f>
        <v>2386.0573706266323</v>
      </c>
      <c r="BC703" s="17">
        <f>SUM($G$702:BC702)</f>
        <v>2386.0573706266323</v>
      </c>
      <c r="BD703" s="17">
        <f>SUM($G$702:BD702)</f>
        <v>2386.0573706266323</v>
      </c>
    </row>
    <row r="704" spans="3:56" ht="15" customHeight="1">
      <c r="C704" s="21"/>
      <c r="D704" s="22"/>
      <c r="E704" s="18"/>
      <c r="G704" s="17"/>
      <c r="H704" s="17"/>
      <c r="I704" s="17"/>
      <c r="J704" s="17"/>
      <c r="K704" s="17"/>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row>
    <row r="705" spans="1:57" ht="15" customHeight="1">
      <c r="C705" s="21">
        <f t="shared" ref="C705" si="401">SUM(G705:BD705)</f>
        <v>1341.3971535169821</v>
      </c>
      <c r="D705" s="22" t="str">
        <f>"Initial government benefits affected by sharing mechanism NPV"&amp;$E$678*100</f>
        <v>Initial government benefits affected by sharing mechanism NPV7.5</v>
      </c>
      <c r="E705" s="18" t="s">
        <v>333</v>
      </c>
      <c r="G705" s="17">
        <f>G696 * G$688</f>
        <v>0</v>
      </c>
      <c r="H705" s="17">
        <f t="shared" ref="H705:BD705" si="402">H696 * H$688</f>
        <v>0</v>
      </c>
      <c r="I705" s="17">
        <f t="shared" si="402"/>
        <v>0</v>
      </c>
      <c r="J705" s="17">
        <f t="shared" si="402"/>
        <v>0</v>
      </c>
      <c r="K705" s="17">
        <f t="shared" si="402"/>
        <v>0</v>
      </c>
      <c r="L705" s="17">
        <f t="shared" si="402"/>
        <v>0</v>
      </c>
      <c r="M705" s="17">
        <f t="shared" si="402"/>
        <v>0</v>
      </c>
      <c r="N705" s="17">
        <f t="shared" si="402"/>
        <v>89.047348588938661</v>
      </c>
      <c r="O705" s="17">
        <f t="shared" si="402"/>
        <v>84.450054438461379</v>
      </c>
      <c r="P705" s="17">
        <f t="shared" si="402"/>
        <v>96.706009549443792</v>
      </c>
      <c r="Q705" s="17">
        <f t="shared" si="402"/>
        <v>91.758260223658326</v>
      </c>
      <c r="R705" s="17">
        <f t="shared" si="402"/>
        <v>87.063651561052495</v>
      </c>
      <c r="S705" s="17">
        <f t="shared" si="402"/>
        <v>82.609232178859159</v>
      </c>
      <c r="T705" s="17">
        <f t="shared" si="402"/>
        <v>78.382713323196569</v>
      </c>
      <c r="U705" s="17">
        <f t="shared" si="402"/>
        <v>74.372434967126054</v>
      </c>
      <c r="V705" s="17">
        <f t="shared" si="402"/>
        <v>70.567333643226576</v>
      </c>
      <c r="W705" s="17">
        <f t="shared" si="402"/>
        <v>66.956911921945235</v>
      </c>
      <c r="X705" s="17">
        <f t="shared" si="402"/>
        <v>63.531209451520148</v>
      </c>
      <c r="Y705" s="17">
        <f t="shared" si="402"/>
        <v>59.989748968494432</v>
      </c>
      <c r="Z705" s="17">
        <f t="shared" si="402"/>
        <v>56.919863606029828</v>
      </c>
      <c r="AA705" s="17">
        <f t="shared" si="402"/>
        <v>54.006313335462501</v>
      </c>
      <c r="AB705" s="17">
        <f t="shared" si="402"/>
        <v>51.240961675120538</v>
      </c>
      <c r="AC705" s="17">
        <f t="shared" si="402"/>
        <v>48.615999647695133</v>
      </c>
      <c r="AD705" s="17">
        <f t="shared" si="402"/>
        <v>45.779172674141094</v>
      </c>
      <c r="AE705" s="17">
        <f t="shared" si="402"/>
        <v>43.429912862568202</v>
      </c>
      <c r="AF705" s="17">
        <f t="shared" si="402"/>
        <v>41.196867067008768</v>
      </c>
      <c r="AG705" s="17">
        <f t="shared" si="402"/>
        <v>40.444586213734922</v>
      </c>
      <c r="AH705" s="17">
        <f t="shared" si="402"/>
        <v>14.328567619298335</v>
      </c>
      <c r="AI705" s="17">
        <f t="shared" si="402"/>
        <v>0</v>
      </c>
      <c r="AJ705" s="17">
        <f t="shared" si="402"/>
        <v>0</v>
      </c>
      <c r="AK705" s="17">
        <f t="shared" si="402"/>
        <v>0</v>
      </c>
      <c r="AL705" s="17">
        <f t="shared" si="402"/>
        <v>0</v>
      </c>
      <c r="AM705" s="17">
        <f t="shared" si="402"/>
        <v>0</v>
      </c>
      <c r="AN705" s="17">
        <f t="shared" si="402"/>
        <v>0</v>
      </c>
      <c r="AO705" s="17">
        <f t="shared" si="402"/>
        <v>0</v>
      </c>
      <c r="AP705" s="17">
        <f t="shared" si="402"/>
        <v>0</v>
      </c>
      <c r="AQ705" s="17">
        <f t="shared" si="402"/>
        <v>0</v>
      </c>
      <c r="AR705" s="17">
        <f t="shared" si="402"/>
        <v>0</v>
      </c>
      <c r="AS705" s="17">
        <f t="shared" si="402"/>
        <v>0</v>
      </c>
      <c r="AT705" s="17">
        <f t="shared" si="402"/>
        <v>0</v>
      </c>
      <c r="AU705" s="17">
        <f t="shared" si="402"/>
        <v>0</v>
      </c>
      <c r="AV705" s="17">
        <f t="shared" si="402"/>
        <v>0</v>
      </c>
      <c r="AW705" s="17">
        <f t="shared" si="402"/>
        <v>0</v>
      </c>
      <c r="AX705" s="17">
        <f t="shared" si="402"/>
        <v>0</v>
      </c>
      <c r="AY705" s="17">
        <f t="shared" si="402"/>
        <v>0</v>
      </c>
      <c r="AZ705" s="17">
        <f t="shared" si="402"/>
        <v>0</v>
      </c>
      <c r="BA705" s="17">
        <f t="shared" si="402"/>
        <v>0</v>
      </c>
      <c r="BB705" s="17">
        <f t="shared" si="402"/>
        <v>0</v>
      </c>
      <c r="BC705" s="17">
        <f t="shared" si="402"/>
        <v>0</v>
      </c>
      <c r="BD705" s="17">
        <f t="shared" si="402"/>
        <v>0</v>
      </c>
    </row>
    <row r="706" spans="1:57" ht="15" customHeight="1">
      <c r="C706" s="21"/>
      <c r="D706" s="22" t="str">
        <f>"Initial government share of annual benefits affected by sharing mechanism NPV"&amp;$E$678*100</f>
        <v>Initial government share of annual benefits affected by sharing mechanism NPV7.5</v>
      </c>
      <c r="E706" s="18" t="s">
        <v>30</v>
      </c>
      <c r="G706" s="6" t="str">
        <f>IFERROR(G705 / G702, "-")</f>
        <v>-</v>
      </c>
      <c r="H706" s="6" t="str">
        <f t="shared" ref="H706:BD706" si="403">IFERROR(H705 / H702, "-")</f>
        <v>-</v>
      </c>
      <c r="I706" s="6" t="str">
        <f t="shared" si="403"/>
        <v>-</v>
      </c>
      <c r="J706" s="6" t="str">
        <f t="shared" si="403"/>
        <v>-</v>
      </c>
      <c r="K706" s="6" t="str">
        <f t="shared" si="403"/>
        <v>-</v>
      </c>
      <c r="L706" s="6" t="str">
        <f t="shared" si="403"/>
        <v>-</v>
      </c>
      <c r="M706" s="6" t="str">
        <f t="shared" si="403"/>
        <v>-</v>
      </c>
      <c r="N706" s="6">
        <f t="shared" si="403"/>
        <v>0.55376986336544087</v>
      </c>
      <c r="O706" s="6">
        <f t="shared" si="403"/>
        <v>0.54553355904067624</v>
      </c>
      <c r="P706" s="6">
        <f t="shared" si="403"/>
        <v>0.56631333837972386</v>
      </c>
      <c r="Q706" s="6">
        <f t="shared" si="403"/>
        <v>0.56631333837972386</v>
      </c>
      <c r="R706" s="6">
        <f t="shared" si="403"/>
        <v>0.56631333837972386</v>
      </c>
      <c r="S706" s="6">
        <f t="shared" si="403"/>
        <v>0.56631333837972386</v>
      </c>
      <c r="T706" s="6">
        <f t="shared" si="403"/>
        <v>0.56631333837972386</v>
      </c>
      <c r="U706" s="6">
        <f t="shared" si="403"/>
        <v>0.56631333837972386</v>
      </c>
      <c r="V706" s="6">
        <f t="shared" si="403"/>
        <v>0.56631333837972397</v>
      </c>
      <c r="W706" s="6">
        <f t="shared" si="403"/>
        <v>0.56631333837972386</v>
      </c>
      <c r="X706" s="6">
        <f t="shared" si="403"/>
        <v>0.56631333837972397</v>
      </c>
      <c r="Y706" s="6">
        <f t="shared" si="403"/>
        <v>0.56687125270461092</v>
      </c>
      <c r="Z706" s="6">
        <f t="shared" si="403"/>
        <v>0.56687255821007876</v>
      </c>
      <c r="AA706" s="6">
        <f t="shared" si="403"/>
        <v>0.56687549523480329</v>
      </c>
      <c r="AB706" s="6">
        <f t="shared" si="403"/>
        <v>0.56688054768187257</v>
      </c>
      <c r="AC706" s="6">
        <f t="shared" si="403"/>
        <v>0.56688847539868437</v>
      </c>
      <c r="AD706" s="6">
        <f t="shared" si="403"/>
        <v>0.56777315276105966</v>
      </c>
      <c r="AE706" s="6">
        <f t="shared" si="403"/>
        <v>0.56779219023131633</v>
      </c>
      <c r="AF706" s="6">
        <f t="shared" si="403"/>
        <v>0.56782356798052946</v>
      </c>
      <c r="AG706" s="6">
        <f t="shared" si="403"/>
        <v>0.54727320925106004</v>
      </c>
      <c r="AH706" s="6">
        <f t="shared" si="403"/>
        <v>0.44692058410763297</v>
      </c>
      <c r="AI706" s="6" t="str">
        <f t="shared" si="403"/>
        <v>-</v>
      </c>
      <c r="AJ706" s="6" t="str">
        <f t="shared" si="403"/>
        <v>-</v>
      </c>
      <c r="AK706" s="6" t="str">
        <f t="shared" si="403"/>
        <v>-</v>
      </c>
      <c r="AL706" s="6" t="str">
        <f t="shared" si="403"/>
        <v>-</v>
      </c>
      <c r="AM706" s="6" t="str">
        <f t="shared" si="403"/>
        <v>-</v>
      </c>
      <c r="AN706" s="6" t="str">
        <f t="shared" si="403"/>
        <v>-</v>
      </c>
      <c r="AO706" s="6" t="str">
        <f t="shared" si="403"/>
        <v>-</v>
      </c>
      <c r="AP706" s="6" t="str">
        <f t="shared" si="403"/>
        <v>-</v>
      </c>
      <c r="AQ706" s="6" t="str">
        <f t="shared" si="403"/>
        <v>-</v>
      </c>
      <c r="AR706" s="6" t="str">
        <f t="shared" si="403"/>
        <v>-</v>
      </c>
      <c r="AS706" s="6" t="str">
        <f t="shared" si="403"/>
        <v>-</v>
      </c>
      <c r="AT706" s="6" t="str">
        <f t="shared" si="403"/>
        <v>-</v>
      </c>
      <c r="AU706" s="6" t="str">
        <f t="shared" si="403"/>
        <v>-</v>
      </c>
      <c r="AV706" s="6" t="str">
        <f t="shared" si="403"/>
        <v>-</v>
      </c>
      <c r="AW706" s="6" t="str">
        <f t="shared" si="403"/>
        <v>-</v>
      </c>
      <c r="AX706" s="6" t="str">
        <f t="shared" si="403"/>
        <v>-</v>
      </c>
      <c r="AY706" s="6" t="str">
        <f t="shared" si="403"/>
        <v>-</v>
      </c>
      <c r="AZ706" s="6" t="str">
        <f t="shared" si="403"/>
        <v>-</v>
      </c>
      <c r="BA706" s="6" t="str">
        <f t="shared" si="403"/>
        <v>-</v>
      </c>
      <c r="BB706" s="6" t="str">
        <f t="shared" si="403"/>
        <v>-</v>
      </c>
      <c r="BC706" s="6" t="str">
        <f t="shared" si="403"/>
        <v>-</v>
      </c>
      <c r="BD706" s="6" t="str">
        <f t="shared" si="403"/>
        <v>-</v>
      </c>
    </row>
    <row r="707" spans="1:57" ht="15" customHeight="1">
      <c r="C707" s="21"/>
      <c r="D707" s="22" t="str">
        <f>"Cumulative initial government benefits affected by sharing mechanism NPV"&amp;$E$678*100</f>
        <v>Cumulative initial government benefits affected by sharing mechanism NPV7.5</v>
      </c>
      <c r="E707" s="18" t="s">
        <v>333</v>
      </c>
      <c r="G707" s="17">
        <f>SUM($G$705:G705)</f>
        <v>0</v>
      </c>
      <c r="H707" s="17">
        <f>SUM($G$705:H705)</f>
        <v>0</v>
      </c>
      <c r="I707" s="17">
        <f>SUM($G$705:I705)</f>
        <v>0</v>
      </c>
      <c r="J707" s="17">
        <f>SUM($G$705:J705)</f>
        <v>0</v>
      </c>
      <c r="K707" s="17">
        <f>SUM($G$705:K705)</f>
        <v>0</v>
      </c>
      <c r="L707" s="17">
        <f>SUM($G$705:L705)</f>
        <v>0</v>
      </c>
      <c r="M707" s="17">
        <f>SUM($G$705:M705)</f>
        <v>0</v>
      </c>
      <c r="N707" s="17">
        <f>SUM($G$705:N705)</f>
        <v>89.047348588938661</v>
      </c>
      <c r="O707" s="17">
        <f>SUM($G$705:O705)</f>
        <v>173.49740302740003</v>
      </c>
      <c r="P707" s="17">
        <f>SUM($G$705:P705)</f>
        <v>270.20341257684379</v>
      </c>
      <c r="Q707" s="17">
        <f>SUM($G$705:Q705)</f>
        <v>361.96167280050213</v>
      </c>
      <c r="R707" s="17">
        <f>SUM($G$705:R705)</f>
        <v>449.02532436155462</v>
      </c>
      <c r="S707" s="17">
        <f>SUM($G$705:S705)</f>
        <v>531.63455654041377</v>
      </c>
      <c r="T707" s="17">
        <f>SUM($G$705:T705)</f>
        <v>610.0172698636103</v>
      </c>
      <c r="U707" s="17">
        <f>SUM($G$705:U705)</f>
        <v>684.38970483073638</v>
      </c>
      <c r="V707" s="17">
        <f>SUM($G$705:V705)</f>
        <v>754.95703847396294</v>
      </c>
      <c r="W707" s="17">
        <f>SUM($G$705:W705)</f>
        <v>821.91395039590816</v>
      </c>
      <c r="X707" s="17">
        <f>SUM($G$705:X705)</f>
        <v>885.44515984742827</v>
      </c>
      <c r="Y707" s="17">
        <f>SUM($G$705:Y705)</f>
        <v>945.43490881592265</v>
      </c>
      <c r="Z707" s="17">
        <f>SUM($G$705:Z705)</f>
        <v>1002.3547724219525</v>
      </c>
      <c r="AA707" s="17">
        <f>SUM($G$705:AA705)</f>
        <v>1056.3610857574149</v>
      </c>
      <c r="AB707" s="17">
        <f>SUM($G$705:AB705)</f>
        <v>1107.6020474325355</v>
      </c>
      <c r="AC707" s="17">
        <f>SUM($G$705:AC705)</f>
        <v>1156.2180470802307</v>
      </c>
      <c r="AD707" s="17">
        <f>SUM($G$705:AD705)</f>
        <v>1201.9972197543718</v>
      </c>
      <c r="AE707" s="17">
        <f>SUM($G$705:AE705)</f>
        <v>1245.4271326169401</v>
      </c>
      <c r="AF707" s="17">
        <f>SUM($G$705:AF705)</f>
        <v>1286.6239996839488</v>
      </c>
      <c r="AG707" s="17">
        <f>SUM($G$705:AG705)</f>
        <v>1327.0685858976838</v>
      </c>
      <c r="AH707" s="17">
        <f>SUM($G$705:AH705)</f>
        <v>1341.3971535169821</v>
      </c>
      <c r="AI707" s="17">
        <f>SUM($G$705:AI705)</f>
        <v>1341.3971535169821</v>
      </c>
      <c r="AJ707" s="17">
        <f>SUM($G$705:AJ705)</f>
        <v>1341.3971535169821</v>
      </c>
      <c r="AK707" s="17">
        <f>SUM($G$705:AK705)</f>
        <v>1341.3971535169821</v>
      </c>
      <c r="AL707" s="17">
        <f>SUM($G$705:AL705)</f>
        <v>1341.3971535169821</v>
      </c>
      <c r="AM707" s="17">
        <f>SUM($G$705:AM705)</f>
        <v>1341.3971535169821</v>
      </c>
      <c r="AN707" s="17">
        <f>SUM($G$705:AN705)</f>
        <v>1341.3971535169821</v>
      </c>
      <c r="AO707" s="17">
        <f>SUM($G$705:AO705)</f>
        <v>1341.3971535169821</v>
      </c>
      <c r="AP707" s="17">
        <f>SUM($G$705:AP705)</f>
        <v>1341.3971535169821</v>
      </c>
      <c r="AQ707" s="17">
        <f>SUM($G$705:AQ705)</f>
        <v>1341.3971535169821</v>
      </c>
      <c r="AR707" s="17">
        <f>SUM($G$705:AR705)</f>
        <v>1341.3971535169821</v>
      </c>
      <c r="AS707" s="17">
        <f>SUM($G$705:AS705)</f>
        <v>1341.3971535169821</v>
      </c>
      <c r="AT707" s="17">
        <f>SUM($G$705:AT705)</f>
        <v>1341.3971535169821</v>
      </c>
      <c r="AU707" s="17">
        <f>SUM($G$705:AU705)</f>
        <v>1341.3971535169821</v>
      </c>
      <c r="AV707" s="17">
        <f>SUM($G$705:AV705)</f>
        <v>1341.3971535169821</v>
      </c>
      <c r="AW707" s="17">
        <f>SUM($G$705:AW705)</f>
        <v>1341.3971535169821</v>
      </c>
      <c r="AX707" s="17">
        <f>SUM($G$705:AX705)</f>
        <v>1341.3971535169821</v>
      </c>
      <c r="AY707" s="17">
        <f>SUM($G$705:AY705)</f>
        <v>1341.3971535169821</v>
      </c>
      <c r="AZ707" s="17">
        <f>SUM($G$705:AZ705)</f>
        <v>1341.3971535169821</v>
      </c>
      <c r="BA707" s="17">
        <f>SUM($G$705:BA705)</f>
        <v>1341.3971535169821</v>
      </c>
      <c r="BB707" s="17">
        <f>SUM($G$705:BB705)</f>
        <v>1341.3971535169821</v>
      </c>
      <c r="BC707" s="17">
        <f>SUM($G$705:BC705)</f>
        <v>1341.3971535169821</v>
      </c>
      <c r="BD707" s="17">
        <f>SUM($G$705:BD705)</f>
        <v>1341.3971535169821</v>
      </c>
    </row>
    <row r="708" spans="1:57" ht="15" customHeight="1">
      <c r="C708" s="21"/>
      <c r="D708" s="22" t="str">
        <f>"Initial government share of cumulative benefits affected by sharing mechanism NPV"&amp;$E$678*100</f>
        <v>Initial government share of cumulative benefits affected by sharing mechanism NPV7.5</v>
      </c>
      <c r="E708" s="18" t="s">
        <v>30</v>
      </c>
      <c r="G708" s="415" t="str">
        <f t="shared" ref="G708:AL708" si="404">IFERROR(G707 / G703, "-")</f>
        <v>-</v>
      </c>
      <c r="H708" s="415" t="str">
        <f t="shared" si="404"/>
        <v>-</v>
      </c>
      <c r="I708" s="415" t="str">
        <f t="shared" si="404"/>
        <v>-</v>
      </c>
      <c r="J708" s="415" t="str">
        <f t="shared" si="404"/>
        <v>-</v>
      </c>
      <c r="K708" s="415" t="str">
        <f t="shared" si="404"/>
        <v>-</v>
      </c>
      <c r="L708" s="415" t="str">
        <f t="shared" si="404"/>
        <v>-</v>
      </c>
      <c r="M708" s="415" t="str">
        <f t="shared" si="404"/>
        <v>-</v>
      </c>
      <c r="N708" s="415">
        <f t="shared" si="404"/>
        <v>0.55376986336544087</v>
      </c>
      <c r="O708" s="415">
        <f t="shared" si="404"/>
        <v>0.54972999418391044</v>
      </c>
      <c r="P708" s="415">
        <f t="shared" si="404"/>
        <v>0.55555240695744701</v>
      </c>
      <c r="Q708" s="415">
        <f t="shared" si="404"/>
        <v>0.55824144989573021</v>
      </c>
      <c r="R708" s="415">
        <f t="shared" si="404"/>
        <v>0.55978851428254572</v>
      </c>
      <c r="S708" s="415">
        <f t="shared" si="404"/>
        <v>0.56079250477649922</v>
      </c>
      <c r="T708" s="415">
        <f t="shared" si="404"/>
        <v>0.56149585654819634</v>
      </c>
      <c r="U708" s="415">
        <f t="shared" si="404"/>
        <v>0.56201539780639109</v>
      </c>
      <c r="V708" s="415">
        <f t="shared" si="404"/>
        <v>0.56241436895692487</v>
      </c>
      <c r="W708" s="415">
        <f t="shared" si="404"/>
        <v>0.56272998724600121</v>
      </c>
      <c r="X708" s="415">
        <f t="shared" si="404"/>
        <v>0.5629855839830793</v>
      </c>
      <c r="Y708" s="415">
        <f t="shared" si="404"/>
        <v>0.56323055401277555</v>
      </c>
      <c r="Z708" s="415">
        <f t="shared" si="404"/>
        <v>0.56343611565466589</v>
      </c>
      <c r="AA708" s="415">
        <f t="shared" si="404"/>
        <v>0.56361094083192309</v>
      </c>
      <c r="AB708" s="415">
        <f t="shared" si="404"/>
        <v>0.56376137026405204</v>
      </c>
      <c r="AC708" s="415">
        <f t="shared" si="404"/>
        <v>0.56389216202557335</v>
      </c>
      <c r="AD708" s="415">
        <f t="shared" si="404"/>
        <v>0.56403900100737725</v>
      </c>
      <c r="AE708" s="415">
        <f t="shared" si="404"/>
        <v>0.56416904519162414</v>
      </c>
      <c r="AF708" s="415">
        <f t="shared" si="404"/>
        <v>0.56428533149450177</v>
      </c>
      <c r="AG708" s="415">
        <f t="shared" si="404"/>
        <v>0.5637512483763828</v>
      </c>
      <c r="AH708" s="415">
        <f t="shared" si="404"/>
        <v>0.56218143370320606</v>
      </c>
      <c r="AI708" s="415">
        <f t="shared" si="404"/>
        <v>0.56218143370320606</v>
      </c>
      <c r="AJ708" s="415">
        <f t="shared" si="404"/>
        <v>0.56218143370320606</v>
      </c>
      <c r="AK708" s="415">
        <f t="shared" si="404"/>
        <v>0.56218143370320606</v>
      </c>
      <c r="AL708" s="415">
        <f t="shared" si="404"/>
        <v>0.56218143370320606</v>
      </c>
      <c r="AM708" s="415">
        <f t="shared" ref="AM708:BD708" si="405">IFERROR(AM707 / AM703, "-")</f>
        <v>0.56218143370320606</v>
      </c>
      <c r="AN708" s="415">
        <f t="shared" si="405"/>
        <v>0.56218143370320606</v>
      </c>
      <c r="AO708" s="415">
        <f t="shared" si="405"/>
        <v>0.56218143370320606</v>
      </c>
      <c r="AP708" s="415">
        <f t="shared" si="405"/>
        <v>0.56218143370320606</v>
      </c>
      <c r="AQ708" s="415">
        <f t="shared" si="405"/>
        <v>0.56218143370320606</v>
      </c>
      <c r="AR708" s="415">
        <f t="shared" si="405"/>
        <v>0.56218143370320606</v>
      </c>
      <c r="AS708" s="415">
        <f t="shared" si="405"/>
        <v>0.56218143370320606</v>
      </c>
      <c r="AT708" s="415">
        <f t="shared" si="405"/>
        <v>0.56218143370320606</v>
      </c>
      <c r="AU708" s="415">
        <f t="shared" si="405"/>
        <v>0.56218143370320606</v>
      </c>
      <c r="AV708" s="415">
        <f t="shared" si="405"/>
        <v>0.56218143370320606</v>
      </c>
      <c r="AW708" s="415">
        <f t="shared" si="405"/>
        <v>0.56218143370320606</v>
      </c>
      <c r="AX708" s="415">
        <f t="shared" si="405"/>
        <v>0.56218143370320606</v>
      </c>
      <c r="AY708" s="415">
        <f t="shared" si="405"/>
        <v>0.56218143370320606</v>
      </c>
      <c r="AZ708" s="415">
        <f t="shared" si="405"/>
        <v>0.56218143370320606</v>
      </c>
      <c r="BA708" s="415">
        <f t="shared" si="405"/>
        <v>0.56218143370320606</v>
      </c>
      <c r="BB708" s="415">
        <f t="shared" si="405"/>
        <v>0.56218143370320606</v>
      </c>
      <c r="BC708" s="415">
        <f t="shared" si="405"/>
        <v>0.56218143370320606</v>
      </c>
      <c r="BD708" s="415">
        <f t="shared" si="405"/>
        <v>0.56218143370320606</v>
      </c>
    </row>
    <row r="709" spans="1:57" ht="15" customHeight="1">
      <c r="C709" s="21"/>
      <c r="D709" s="22"/>
      <c r="E709" s="18"/>
      <c r="G709" s="415"/>
      <c r="H709" s="415"/>
      <c r="I709" s="415"/>
      <c r="J709" s="415"/>
      <c r="K709" s="415"/>
      <c r="L709" s="415"/>
      <c r="M709" s="415"/>
      <c r="N709" s="415"/>
      <c r="O709" s="415"/>
      <c r="P709" s="415"/>
      <c r="Q709" s="415"/>
      <c r="R709" s="415"/>
      <c r="S709" s="415"/>
      <c r="T709" s="415"/>
      <c r="U709" s="415"/>
      <c r="V709" s="415"/>
      <c r="W709" s="415"/>
      <c r="X709" s="415"/>
      <c r="Y709" s="415"/>
      <c r="Z709" s="415"/>
      <c r="AA709" s="415"/>
      <c r="AB709" s="415"/>
      <c r="AC709" s="415"/>
      <c r="AD709" s="415"/>
      <c r="AE709" s="415"/>
      <c r="AF709" s="415"/>
      <c r="AG709" s="415"/>
      <c r="AH709" s="415"/>
      <c r="AI709" s="415"/>
      <c r="AJ709" s="415"/>
      <c r="AK709" s="415"/>
      <c r="AL709" s="415"/>
      <c r="AM709" s="415"/>
      <c r="AN709" s="415"/>
      <c r="AO709" s="415"/>
      <c r="AP709" s="415"/>
      <c r="AQ709" s="415"/>
      <c r="AR709" s="415"/>
      <c r="AS709" s="415"/>
      <c r="AT709" s="415"/>
      <c r="AU709" s="415"/>
      <c r="AV709" s="415"/>
      <c r="AW709" s="415"/>
      <c r="AX709" s="415"/>
      <c r="AY709" s="415"/>
      <c r="AZ709" s="415"/>
      <c r="BA709" s="415"/>
      <c r="BB709" s="415"/>
      <c r="BC709" s="415"/>
      <c r="BD709" s="415"/>
    </row>
    <row r="710" spans="1:57" s="90" customFormat="1" ht="15" customHeight="1">
      <c r="A710" s="45"/>
      <c r="B710" s="21"/>
      <c r="C710" s="21">
        <f t="shared" ref="C710:C712" si="406">SUM(G710:BD710)</f>
        <v>0</v>
      </c>
      <c r="D710" s="18" t="str">
        <f>Inputs!E86*100&amp;"% share of cumulative benefits NPV"&amp;$E$678*100</f>
        <v>0% share of cumulative benefits NPV7.5</v>
      </c>
      <c r="E710" s="18" t="s">
        <v>333</v>
      </c>
      <c r="F710" s="46"/>
      <c r="G710" s="448">
        <f>G703 * Inputs!$E$86</f>
        <v>0</v>
      </c>
      <c r="H710" s="448">
        <f>H703 * Inputs!$E$86</f>
        <v>0</v>
      </c>
      <c r="I710" s="448">
        <f>I703 * Inputs!$E$86</f>
        <v>0</v>
      </c>
      <c r="J710" s="448">
        <f>J703 * Inputs!$E$86</f>
        <v>0</v>
      </c>
      <c r="K710" s="448">
        <f>K703 * Inputs!$E$86</f>
        <v>0</v>
      </c>
      <c r="L710" s="448">
        <f>L703 * Inputs!$E$86</f>
        <v>0</v>
      </c>
      <c r="M710" s="448">
        <f>M703 * Inputs!$E$86</f>
        <v>0</v>
      </c>
      <c r="N710" s="448">
        <f>N703 * Inputs!$E$86</f>
        <v>0</v>
      </c>
      <c r="O710" s="448">
        <f>O703 * Inputs!$E$86</f>
        <v>0</v>
      </c>
      <c r="P710" s="448">
        <f>P703 * Inputs!$E$86</f>
        <v>0</v>
      </c>
      <c r="Q710" s="448">
        <f>Q703 * Inputs!$E$86</f>
        <v>0</v>
      </c>
      <c r="R710" s="448">
        <f>R703 * Inputs!$E$86</f>
        <v>0</v>
      </c>
      <c r="S710" s="448">
        <f>S703 * Inputs!$E$86</f>
        <v>0</v>
      </c>
      <c r="T710" s="448">
        <f>T703 * Inputs!$E$86</f>
        <v>0</v>
      </c>
      <c r="U710" s="448">
        <f>U703 * Inputs!$E$86</f>
        <v>0</v>
      </c>
      <c r="V710" s="448">
        <f>V703 * Inputs!$E$86</f>
        <v>0</v>
      </c>
      <c r="W710" s="448">
        <f>W703 * Inputs!$E$86</f>
        <v>0</v>
      </c>
      <c r="X710" s="448">
        <f>X703 * Inputs!$E$86</f>
        <v>0</v>
      </c>
      <c r="Y710" s="448">
        <f>Y703 * Inputs!$E$86</f>
        <v>0</v>
      </c>
      <c r="Z710" s="448">
        <f>Z703 * Inputs!$E$86</f>
        <v>0</v>
      </c>
      <c r="AA710" s="448">
        <f>AA703 * Inputs!$E$86</f>
        <v>0</v>
      </c>
      <c r="AB710" s="448">
        <f>AB703 * Inputs!$E$86</f>
        <v>0</v>
      </c>
      <c r="AC710" s="448">
        <f>AC703 * Inputs!$E$86</f>
        <v>0</v>
      </c>
      <c r="AD710" s="448">
        <f>AD703 * Inputs!$E$86</f>
        <v>0</v>
      </c>
      <c r="AE710" s="448">
        <f>AE703 * Inputs!$E$86</f>
        <v>0</v>
      </c>
      <c r="AF710" s="448">
        <f>AF703 * Inputs!$E$86</f>
        <v>0</v>
      </c>
      <c r="AG710" s="448">
        <f>AG703 * Inputs!$E$86</f>
        <v>0</v>
      </c>
      <c r="AH710" s="448">
        <f>AH703 * Inputs!$E$86</f>
        <v>0</v>
      </c>
      <c r="AI710" s="448">
        <f>AI703 * Inputs!$E$86</f>
        <v>0</v>
      </c>
      <c r="AJ710" s="448">
        <f>AJ703 * Inputs!$E$86</f>
        <v>0</v>
      </c>
      <c r="AK710" s="448">
        <f>AK703 * Inputs!$E$86</f>
        <v>0</v>
      </c>
      <c r="AL710" s="448">
        <f>AL703 * Inputs!$E$86</f>
        <v>0</v>
      </c>
      <c r="AM710" s="448">
        <f>AM703 * Inputs!$E$86</f>
        <v>0</v>
      </c>
      <c r="AN710" s="448">
        <f>AN703 * Inputs!$E$86</f>
        <v>0</v>
      </c>
      <c r="AO710" s="448">
        <f>AO703 * Inputs!$E$86</f>
        <v>0</v>
      </c>
      <c r="AP710" s="448">
        <f>AP703 * Inputs!$E$86</f>
        <v>0</v>
      </c>
      <c r="AQ710" s="448">
        <f>AQ703 * Inputs!$E$86</f>
        <v>0</v>
      </c>
      <c r="AR710" s="448">
        <f>AR703 * Inputs!$E$86</f>
        <v>0</v>
      </c>
      <c r="AS710" s="448">
        <f>AS703 * Inputs!$E$86</f>
        <v>0</v>
      </c>
      <c r="AT710" s="448">
        <f>AT703 * Inputs!$E$86</f>
        <v>0</v>
      </c>
      <c r="AU710" s="448">
        <f>AU703 * Inputs!$E$86</f>
        <v>0</v>
      </c>
      <c r="AV710" s="448">
        <f>AV703 * Inputs!$E$86</f>
        <v>0</v>
      </c>
      <c r="AW710" s="448">
        <f>AW703 * Inputs!$E$86</f>
        <v>0</v>
      </c>
      <c r="AX710" s="448">
        <f>AX703 * Inputs!$E$86</f>
        <v>0</v>
      </c>
      <c r="AY710" s="448">
        <f>AY703 * Inputs!$E$86</f>
        <v>0</v>
      </c>
      <c r="AZ710" s="448">
        <f>AZ703 * Inputs!$E$86</f>
        <v>0</v>
      </c>
      <c r="BA710" s="448">
        <f>BA703 * Inputs!$E$86</f>
        <v>0</v>
      </c>
      <c r="BB710" s="448">
        <f>BB703 * Inputs!$E$86</f>
        <v>0</v>
      </c>
      <c r="BC710" s="448">
        <f>BC703 * Inputs!$E$86</f>
        <v>0</v>
      </c>
      <c r="BD710" s="448">
        <f>BD703 * Inputs!$E$86</f>
        <v>0</v>
      </c>
      <c r="BE710" s="46"/>
    </row>
    <row r="711" spans="1:57" s="90" customFormat="1" ht="15" customHeight="1">
      <c r="A711" s="45"/>
      <c r="B711" s="21"/>
      <c r="C711" s="21">
        <f t="shared" si="406"/>
        <v>46813.315171658927</v>
      </c>
      <c r="D711" s="18" t="str">
        <f>"Difference between initial government share and "&amp;Inputs!E86*100&amp;"% share of cumulative benefits"</f>
        <v>Difference between initial government share and 0% share of cumulative benefits</v>
      </c>
      <c r="E711" s="18" t="s">
        <v>333</v>
      </c>
      <c r="F711" s="46"/>
      <c r="G711" s="448">
        <f>IFERROR(G707 - G710, "-")</f>
        <v>0</v>
      </c>
      <c r="H711" s="448">
        <f t="shared" ref="H711:BD711" si="407">IFERROR(H707 - H710, "-")</f>
        <v>0</v>
      </c>
      <c r="I711" s="448">
        <f t="shared" si="407"/>
        <v>0</v>
      </c>
      <c r="J711" s="448">
        <f t="shared" si="407"/>
        <v>0</v>
      </c>
      <c r="K711" s="448">
        <f t="shared" si="407"/>
        <v>0</v>
      </c>
      <c r="L711" s="448">
        <f t="shared" si="407"/>
        <v>0</v>
      </c>
      <c r="M711" s="448">
        <f t="shared" si="407"/>
        <v>0</v>
      </c>
      <c r="N711" s="448">
        <f t="shared" si="407"/>
        <v>89.047348588938661</v>
      </c>
      <c r="O711" s="448">
        <f t="shared" si="407"/>
        <v>173.49740302740003</v>
      </c>
      <c r="P711" s="448">
        <f t="shared" si="407"/>
        <v>270.20341257684379</v>
      </c>
      <c r="Q711" s="448">
        <f t="shared" si="407"/>
        <v>361.96167280050213</v>
      </c>
      <c r="R711" s="448">
        <f t="shared" si="407"/>
        <v>449.02532436155462</v>
      </c>
      <c r="S711" s="448">
        <f t="shared" si="407"/>
        <v>531.63455654041377</v>
      </c>
      <c r="T711" s="448">
        <f t="shared" si="407"/>
        <v>610.0172698636103</v>
      </c>
      <c r="U711" s="448">
        <f t="shared" si="407"/>
        <v>684.38970483073638</v>
      </c>
      <c r="V711" s="448">
        <f t="shared" si="407"/>
        <v>754.95703847396294</v>
      </c>
      <c r="W711" s="448">
        <f t="shared" si="407"/>
        <v>821.91395039590816</v>
      </c>
      <c r="X711" s="448">
        <f t="shared" si="407"/>
        <v>885.44515984742827</v>
      </c>
      <c r="Y711" s="448">
        <f t="shared" si="407"/>
        <v>945.43490881592265</v>
      </c>
      <c r="Z711" s="448">
        <f t="shared" si="407"/>
        <v>1002.3547724219525</v>
      </c>
      <c r="AA711" s="448">
        <f t="shared" si="407"/>
        <v>1056.3610857574149</v>
      </c>
      <c r="AB711" s="448">
        <f t="shared" si="407"/>
        <v>1107.6020474325355</v>
      </c>
      <c r="AC711" s="448">
        <f t="shared" si="407"/>
        <v>1156.2180470802307</v>
      </c>
      <c r="AD711" s="448">
        <f t="shared" si="407"/>
        <v>1201.9972197543718</v>
      </c>
      <c r="AE711" s="448">
        <f t="shared" si="407"/>
        <v>1245.4271326169401</v>
      </c>
      <c r="AF711" s="448">
        <f t="shared" si="407"/>
        <v>1286.6239996839488</v>
      </c>
      <c r="AG711" s="448">
        <f t="shared" si="407"/>
        <v>1327.0685858976838</v>
      </c>
      <c r="AH711" s="448">
        <f t="shared" si="407"/>
        <v>1341.3971535169821</v>
      </c>
      <c r="AI711" s="448">
        <f t="shared" si="407"/>
        <v>1341.3971535169821</v>
      </c>
      <c r="AJ711" s="448">
        <f t="shared" si="407"/>
        <v>1341.3971535169821</v>
      </c>
      <c r="AK711" s="448">
        <f t="shared" si="407"/>
        <v>1341.3971535169821</v>
      </c>
      <c r="AL711" s="448">
        <f t="shared" si="407"/>
        <v>1341.3971535169821</v>
      </c>
      <c r="AM711" s="448">
        <f t="shared" si="407"/>
        <v>1341.3971535169821</v>
      </c>
      <c r="AN711" s="448">
        <f t="shared" si="407"/>
        <v>1341.3971535169821</v>
      </c>
      <c r="AO711" s="448">
        <f t="shared" si="407"/>
        <v>1341.3971535169821</v>
      </c>
      <c r="AP711" s="448">
        <f t="shared" si="407"/>
        <v>1341.3971535169821</v>
      </c>
      <c r="AQ711" s="448">
        <f t="shared" si="407"/>
        <v>1341.3971535169821</v>
      </c>
      <c r="AR711" s="448">
        <f t="shared" si="407"/>
        <v>1341.3971535169821</v>
      </c>
      <c r="AS711" s="448">
        <f t="shared" si="407"/>
        <v>1341.3971535169821</v>
      </c>
      <c r="AT711" s="448">
        <f t="shared" si="407"/>
        <v>1341.3971535169821</v>
      </c>
      <c r="AU711" s="448">
        <f t="shared" si="407"/>
        <v>1341.3971535169821</v>
      </c>
      <c r="AV711" s="448">
        <f t="shared" si="407"/>
        <v>1341.3971535169821</v>
      </c>
      <c r="AW711" s="448">
        <f t="shared" si="407"/>
        <v>1341.3971535169821</v>
      </c>
      <c r="AX711" s="448">
        <f t="shared" si="407"/>
        <v>1341.3971535169821</v>
      </c>
      <c r="AY711" s="448">
        <f t="shared" si="407"/>
        <v>1341.3971535169821</v>
      </c>
      <c r="AZ711" s="448">
        <f t="shared" si="407"/>
        <v>1341.3971535169821</v>
      </c>
      <c r="BA711" s="448">
        <f t="shared" si="407"/>
        <v>1341.3971535169821</v>
      </c>
      <c r="BB711" s="448">
        <f t="shared" si="407"/>
        <v>1341.3971535169821</v>
      </c>
      <c r="BC711" s="448">
        <f t="shared" si="407"/>
        <v>1341.3971535169821</v>
      </c>
      <c r="BD711" s="448">
        <f t="shared" si="407"/>
        <v>1341.3971535169821</v>
      </c>
      <c r="BE711" s="46"/>
    </row>
    <row r="712" spans="1:57" ht="15" customHeight="1">
      <c r="C712" s="21">
        <f t="shared" si="406"/>
        <v>0</v>
      </c>
      <c r="D712" s="11" t="s">
        <v>648</v>
      </c>
      <c r="E712" s="18" t="s">
        <v>333</v>
      </c>
      <c r="G712" s="21">
        <f t="shared" ref="G712:AL712" si="408">-MIN(G711, 0) * G687</f>
        <v>0</v>
      </c>
      <c r="H712" s="21">
        <f t="shared" si="408"/>
        <v>0</v>
      </c>
      <c r="I712" s="21">
        <f t="shared" si="408"/>
        <v>0</v>
      </c>
      <c r="J712" s="21">
        <f t="shared" si="408"/>
        <v>0</v>
      </c>
      <c r="K712" s="21">
        <f t="shared" si="408"/>
        <v>0</v>
      </c>
      <c r="L712" s="21">
        <f t="shared" si="408"/>
        <v>0</v>
      </c>
      <c r="M712" s="21">
        <f t="shared" si="408"/>
        <v>0</v>
      </c>
      <c r="N712" s="21">
        <f t="shared" si="408"/>
        <v>0</v>
      </c>
      <c r="O712" s="21">
        <f t="shared" si="408"/>
        <v>0</v>
      </c>
      <c r="P712" s="21">
        <f t="shared" si="408"/>
        <v>0</v>
      </c>
      <c r="Q712" s="21">
        <f t="shared" si="408"/>
        <v>0</v>
      </c>
      <c r="R712" s="21">
        <f t="shared" si="408"/>
        <v>0</v>
      </c>
      <c r="S712" s="21">
        <f t="shared" si="408"/>
        <v>0</v>
      </c>
      <c r="T712" s="21">
        <f t="shared" si="408"/>
        <v>0</v>
      </c>
      <c r="U712" s="21">
        <f t="shared" si="408"/>
        <v>0</v>
      </c>
      <c r="V712" s="21">
        <f t="shared" si="408"/>
        <v>0</v>
      </c>
      <c r="W712" s="21">
        <f t="shared" si="408"/>
        <v>0</v>
      </c>
      <c r="X712" s="21">
        <f t="shared" si="408"/>
        <v>0</v>
      </c>
      <c r="Y712" s="21">
        <f t="shared" si="408"/>
        <v>0</v>
      </c>
      <c r="Z712" s="21">
        <f t="shared" si="408"/>
        <v>0</v>
      </c>
      <c r="AA712" s="21">
        <f t="shared" si="408"/>
        <v>0</v>
      </c>
      <c r="AB712" s="21">
        <f t="shared" si="408"/>
        <v>0</v>
      </c>
      <c r="AC712" s="21">
        <f t="shared" si="408"/>
        <v>0</v>
      </c>
      <c r="AD712" s="21">
        <f t="shared" si="408"/>
        <v>0</v>
      </c>
      <c r="AE712" s="21">
        <f t="shared" si="408"/>
        <v>0</v>
      </c>
      <c r="AF712" s="21">
        <f t="shared" si="408"/>
        <v>0</v>
      </c>
      <c r="AG712" s="21">
        <f t="shared" si="408"/>
        <v>0</v>
      </c>
      <c r="AH712" s="21">
        <f t="shared" si="408"/>
        <v>0</v>
      </c>
      <c r="AI712" s="21">
        <f t="shared" si="408"/>
        <v>0</v>
      </c>
      <c r="AJ712" s="21">
        <f t="shared" si="408"/>
        <v>0</v>
      </c>
      <c r="AK712" s="21">
        <f t="shared" si="408"/>
        <v>0</v>
      </c>
      <c r="AL712" s="21">
        <f t="shared" si="408"/>
        <v>0</v>
      </c>
      <c r="AM712" s="21">
        <f t="shared" ref="AM712:BD712" si="409">-MIN(AM711, 0) * AM687</f>
        <v>0</v>
      </c>
      <c r="AN712" s="21">
        <f t="shared" si="409"/>
        <v>0</v>
      </c>
      <c r="AO712" s="21">
        <f t="shared" si="409"/>
        <v>0</v>
      </c>
      <c r="AP712" s="21">
        <f t="shared" si="409"/>
        <v>0</v>
      </c>
      <c r="AQ712" s="21">
        <f t="shared" si="409"/>
        <v>0</v>
      </c>
      <c r="AR712" s="21">
        <f t="shared" si="409"/>
        <v>0</v>
      </c>
      <c r="AS712" s="21">
        <f t="shared" si="409"/>
        <v>0</v>
      </c>
      <c r="AT712" s="21">
        <f t="shared" si="409"/>
        <v>0</v>
      </c>
      <c r="AU712" s="21">
        <f t="shared" si="409"/>
        <v>0</v>
      </c>
      <c r="AV712" s="21">
        <f t="shared" si="409"/>
        <v>0</v>
      </c>
      <c r="AW712" s="21">
        <f t="shared" si="409"/>
        <v>0</v>
      </c>
      <c r="AX712" s="21">
        <f t="shared" si="409"/>
        <v>0</v>
      </c>
      <c r="AY712" s="21">
        <f t="shared" si="409"/>
        <v>0</v>
      </c>
      <c r="AZ712" s="21">
        <f t="shared" si="409"/>
        <v>0</v>
      </c>
      <c r="BA712" s="21">
        <f t="shared" si="409"/>
        <v>0</v>
      </c>
      <c r="BB712" s="21">
        <f t="shared" si="409"/>
        <v>0</v>
      </c>
      <c r="BC712" s="21">
        <f t="shared" si="409"/>
        <v>0</v>
      </c>
      <c r="BD712" s="21">
        <f t="shared" si="409"/>
        <v>0</v>
      </c>
    </row>
    <row r="713" spans="1:57" ht="15" customHeight="1">
      <c r="C713" s="21"/>
      <c r="E713" s="18"/>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row>
    <row r="714" spans="1:57" ht="15" customHeight="1">
      <c r="C714" s="21">
        <f t="shared" ref="C714:C715" si="410">SUM(G714:BD714)</f>
        <v>1341.3971535169821</v>
      </c>
      <c r="D714" s="11" t="s">
        <v>649</v>
      </c>
      <c r="E714" s="18" t="s">
        <v>333</v>
      </c>
      <c r="G714" s="21">
        <f t="shared" ref="G714:AL714" si="411">G705 + G712</f>
        <v>0</v>
      </c>
      <c r="H714" s="21">
        <f t="shared" si="411"/>
        <v>0</v>
      </c>
      <c r="I714" s="21">
        <f t="shared" si="411"/>
        <v>0</v>
      </c>
      <c r="J714" s="21">
        <f t="shared" si="411"/>
        <v>0</v>
      </c>
      <c r="K714" s="21">
        <f t="shared" si="411"/>
        <v>0</v>
      </c>
      <c r="L714" s="21">
        <f t="shared" si="411"/>
        <v>0</v>
      </c>
      <c r="M714" s="21">
        <f t="shared" si="411"/>
        <v>0</v>
      </c>
      <c r="N714" s="21">
        <f t="shared" si="411"/>
        <v>89.047348588938661</v>
      </c>
      <c r="O714" s="21">
        <f t="shared" si="411"/>
        <v>84.450054438461379</v>
      </c>
      <c r="P714" s="21">
        <f t="shared" si="411"/>
        <v>96.706009549443792</v>
      </c>
      <c r="Q714" s="21">
        <f t="shared" si="411"/>
        <v>91.758260223658326</v>
      </c>
      <c r="R714" s="21">
        <f t="shared" si="411"/>
        <v>87.063651561052495</v>
      </c>
      <c r="S714" s="21">
        <f t="shared" si="411"/>
        <v>82.609232178859159</v>
      </c>
      <c r="T714" s="21">
        <f t="shared" si="411"/>
        <v>78.382713323196569</v>
      </c>
      <c r="U714" s="21">
        <f t="shared" si="411"/>
        <v>74.372434967126054</v>
      </c>
      <c r="V714" s="21">
        <f t="shared" si="411"/>
        <v>70.567333643226576</v>
      </c>
      <c r="W714" s="21">
        <f t="shared" si="411"/>
        <v>66.956911921945235</v>
      </c>
      <c r="X714" s="21">
        <f t="shared" si="411"/>
        <v>63.531209451520148</v>
      </c>
      <c r="Y714" s="21">
        <f t="shared" si="411"/>
        <v>59.989748968494432</v>
      </c>
      <c r="Z714" s="21">
        <f t="shared" si="411"/>
        <v>56.919863606029828</v>
      </c>
      <c r="AA714" s="21">
        <f t="shared" si="411"/>
        <v>54.006313335462501</v>
      </c>
      <c r="AB714" s="21">
        <f t="shared" si="411"/>
        <v>51.240961675120538</v>
      </c>
      <c r="AC714" s="21">
        <f t="shared" si="411"/>
        <v>48.615999647695133</v>
      </c>
      <c r="AD714" s="21">
        <f t="shared" si="411"/>
        <v>45.779172674141094</v>
      </c>
      <c r="AE714" s="21">
        <f t="shared" si="411"/>
        <v>43.429912862568202</v>
      </c>
      <c r="AF714" s="21">
        <f t="shared" si="411"/>
        <v>41.196867067008768</v>
      </c>
      <c r="AG714" s="21">
        <f t="shared" si="411"/>
        <v>40.444586213734922</v>
      </c>
      <c r="AH714" s="21">
        <f t="shared" si="411"/>
        <v>14.328567619298335</v>
      </c>
      <c r="AI714" s="21">
        <f t="shared" si="411"/>
        <v>0</v>
      </c>
      <c r="AJ714" s="21">
        <f t="shared" si="411"/>
        <v>0</v>
      </c>
      <c r="AK714" s="21">
        <f t="shared" si="411"/>
        <v>0</v>
      </c>
      <c r="AL714" s="21">
        <f t="shared" si="411"/>
        <v>0</v>
      </c>
      <c r="AM714" s="21">
        <f t="shared" ref="AM714:BD714" si="412">AM705 + AM712</f>
        <v>0</v>
      </c>
      <c r="AN714" s="21">
        <f t="shared" si="412"/>
        <v>0</v>
      </c>
      <c r="AO714" s="21">
        <f t="shared" si="412"/>
        <v>0</v>
      </c>
      <c r="AP714" s="21">
        <f t="shared" si="412"/>
        <v>0</v>
      </c>
      <c r="AQ714" s="21">
        <f t="shared" si="412"/>
        <v>0</v>
      </c>
      <c r="AR714" s="21">
        <f t="shared" si="412"/>
        <v>0</v>
      </c>
      <c r="AS714" s="21">
        <f t="shared" si="412"/>
        <v>0</v>
      </c>
      <c r="AT714" s="21">
        <f t="shared" si="412"/>
        <v>0</v>
      </c>
      <c r="AU714" s="21">
        <f t="shared" si="412"/>
        <v>0</v>
      </c>
      <c r="AV714" s="21">
        <f t="shared" si="412"/>
        <v>0</v>
      </c>
      <c r="AW714" s="21">
        <f t="shared" si="412"/>
        <v>0</v>
      </c>
      <c r="AX714" s="21">
        <f t="shared" si="412"/>
        <v>0</v>
      </c>
      <c r="AY714" s="21">
        <f t="shared" si="412"/>
        <v>0</v>
      </c>
      <c r="AZ714" s="21">
        <f t="shared" si="412"/>
        <v>0</v>
      </c>
      <c r="BA714" s="21">
        <f t="shared" si="412"/>
        <v>0</v>
      </c>
      <c r="BB714" s="21">
        <f t="shared" si="412"/>
        <v>0</v>
      </c>
      <c r="BC714" s="21">
        <f t="shared" si="412"/>
        <v>0</v>
      </c>
      <c r="BD714" s="21">
        <f t="shared" si="412"/>
        <v>0</v>
      </c>
    </row>
    <row r="715" spans="1:57" ht="15" customHeight="1">
      <c r="C715" s="21">
        <f t="shared" si="410"/>
        <v>46813.315171658927</v>
      </c>
      <c r="D715" s="11" t="str">
        <f>"Cumulative final government benefits NPV"&amp;$E$735*100</f>
        <v>Cumulative final government benefits NPV7.5</v>
      </c>
      <c r="E715" s="18" t="s">
        <v>333</v>
      </c>
      <c r="G715" s="21">
        <f>SUM($G714:G$714)</f>
        <v>0</v>
      </c>
      <c r="H715" s="21">
        <f>SUM($G714:H$714)</f>
        <v>0</v>
      </c>
      <c r="I715" s="21">
        <f>SUM($G714:I$714)</f>
        <v>0</v>
      </c>
      <c r="J715" s="21">
        <f>SUM($G714:J$714)</f>
        <v>0</v>
      </c>
      <c r="K715" s="21">
        <f>SUM($G714:K$714)</f>
        <v>0</v>
      </c>
      <c r="L715" s="21">
        <f>SUM($G714:L$714)</f>
        <v>0</v>
      </c>
      <c r="M715" s="21">
        <f>SUM($G714:M$714)</f>
        <v>0</v>
      </c>
      <c r="N715" s="21">
        <f>SUM($G714:N$714)</f>
        <v>89.047348588938661</v>
      </c>
      <c r="O715" s="21">
        <f>SUM($G714:O$714)</f>
        <v>173.49740302740003</v>
      </c>
      <c r="P715" s="21">
        <f>SUM($G714:P$714)</f>
        <v>270.20341257684379</v>
      </c>
      <c r="Q715" s="21">
        <f>SUM($G714:Q$714)</f>
        <v>361.96167280050213</v>
      </c>
      <c r="R715" s="21">
        <f>SUM($G714:R$714)</f>
        <v>449.02532436155462</v>
      </c>
      <c r="S715" s="21">
        <f>SUM($G714:S$714)</f>
        <v>531.63455654041377</v>
      </c>
      <c r="T715" s="21">
        <f>SUM($G714:T$714)</f>
        <v>610.0172698636103</v>
      </c>
      <c r="U715" s="21">
        <f>SUM($G714:U$714)</f>
        <v>684.38970483073638</v>
      </c>
      <c r="V715" s="21">
        <f>SUM($G714:V$714)</f>
        <v>754.95703847396294</v>
      </c>
      <c r="W715" s="21">
        <f>SUM($G714:W$714)</f>
        <v>821.91395039590816</v>
      </c>
      <c r="X715" s="21">
        <f>SUM($G714:X$714)</f>
        <v>885.44515984742827</v>
      </c>
      <c r="Y715" s="21">
        <f>SUM($G714:Y$714)</f>
        <v>945.43490881592265</v>
      </c>
      <c r="Z715" s="21">
        <f>SUM($G714:Z$714)</f>
        <v>1002.3547724219525</v>
      </c>
      <c r="AA715" s="21">
        <f>SUM($G714:AA$714)</f>
        <v>1056.3610857574149</v>
      </c>
      <c r="AB715" s="21">
        <f>SUM($G714:AB$714)</f>
        <v>1107.6020474325355</v>
      </c>
      <c r="AC715" s="21">
        <f>SUM($G714:AC$714)</f>
        <v>1156.2180470802307</v>
      </c>
      <c r="AD715" s="21">
        <f>SUM($G714:AD$714)</f>
        <v>1201.9972197543718</v>
      </c>
      <c r="AE715" s="21">
        <f>SUM($G714:AE$714)</f>
        <v>1245.4271326169401</v>
      </c>
      <c r="AF715" s="21">
        <f>SUM($G714:AF$714)</f>
        <v>1286.6239996839488</v>
      </c>
      <c r="AG715" s="21">
        <f>SUM($G714:AG$714)</f>
        <v>1327.0685858976838</v>
      </c>
      <c r="AH715" s="21">
        <f>SUM($G714:AH$714)</f>
        <v>1341.3971535169821</v>
      </c>
      <c r="AI715" s="21">
        <f>SUM($G714:AI$714)</f>
        <v>1341.3971535169821</v>
      </c>
      <c r="AJ715" s="21">
        <f>SUM($G714:AJ$714)</f>
        <v>1341.3971535169821</v>
      </c>
      <c r="AK715" s="21">
        <f>SUM($G714:AK$714)</f>
        <v>1341.3971535169821</v>
      </c>
      <c r="AL715" s="21">
        <f>SUM($G714:AL$714)</f>
        <v>1341.3971535169821</v>
      </c>
      <c r="AM715" s="21">
        <f>SUM($G714:AM$714)</f>
        <v>1341.3971535169821</v>
      </c>
      <c r="AN715" s="21">
        <f>SUM($G714:AN$714)</f>
        <v>1341.3971535169821</v>
      </c>
      <c r="AO715" s="21">
        <f>SUM($G714:AO$714)</f>
        <v>1341.3971535169821</v>
      </c>
      <c r="AP715" s="21">
        <f>SUM($G714:AP$714)</f>
        <v>1341.3971535169821</v>
      </c>
      <c r="AQ715" s="21">
        <f>SUM($G714:AQ$714)</f>
        <v>1341.3971535169821</v>
      </c>
      <c r="AR715" s="21">
        <f>SUM($G714:AR$714)</f>
        <v>1341.3971535169821</v>
      </c>
      <c r="AS715" s="21">
        <f>SUM($G714:AS$714)</f>
        <v>1341.3971535169821</v>
      </c>
      <c r="AT715" s="21">
        <f>SUM($G714:AT$714)</f>
        <v>1341.3971535169821</v>
      </c>
      <c r="AU715" s="21">
        <f>SUM($G714:AU$714)</f>
        <v>1341.3971535169821</v>
      </c>
      <c r="AV715" s="21">
        <f>SUM($G714:AV$714)</f>
        <v>1341.3971535169821</v>
      </c>
      <c r="AW715" s="21">
        <f>SUM($G714:AW$714)</f>
        <v>1341.3971535169821</v>
      </c>
      <c r="AX715" s="21">
        <f>SUM($G714:AX$714)</f>
        <v>1341.3971535169821</v>
      </c>
      <c r="AY715" s="21">
        <f>SUM($G714:AY$714)</f>
        <v>1341.3971535169821</v>
      </c>
      <c r="AZ715" s="21">
        <f>SUM($G714:AZ$714)</f>
        <v>1341.3971535169821</v>
      </c>
      <c r="BA715" s="21">
        <f>SUM($G714:BA$714)</f>
        <v>1341.3971535169821</v>
      </c>
      <c r="BB715" s="21">
        <f>SUM($G714:BB$714)</f>
        <v>1341.3971535169821</v>
      </c>
      <c r="BC715" s="21">
        <f>SUM($G714:BC$714)</f>
        <v>1341.3971535169821</v>
      </c>
      <c r="BD715" s="21">
        <f>SUM($G714:BD$714)</f>
        <v>1341.3971535169821</v>
      </c>
    </row>
    <row r="716" spans="1:57" ht="15" customHeight="1">
      <c r="C716" s="21"/>
      <c r="D716" s="11" t="s">
        <v>650</v>
      </c>
      <c r="E716" s="18" t="s">
        <v>30</v>
      </c>
      <c r="G716" s="359" t="str">
        <f t="shared" ref="G716:AL716" si="413">IFERROR(G715/G703, "-")</f>
        <v>-</v>
      </c>
      <c r="H716" s="359" t="str">
        <f t="shared" si="413"/>
        <v>-</v>
      </c>
      <c r="I716" s="359" t="str">
        <f t="shared" si="413"/>
        <v>-</v>
      </c>
      <c r="J716" s="359" t="str">
        <f t="shared" si="413"/>
        <v>-</v>
      </c>
      <c r="K716" s="359" t="str">
        <f t="shared" si="413"/>
        <v>-</v>
      </c>
      <c r="L716" s="359" t="str">
        <f t="shared" si="413"/>
        <v>-</v>
      </c>
      <c r="M716" s="359" t="str">
        <f t="shared" si="413"/>
        <v>-</v>
      </c>
      <c r="N716" s="359">
        <f t="shared" si="413"/>
        <v>0.55376986336544087</v>
      </c>
      <c r="O716" s="359">
        <f t="shared" si="413"/>
        <v>0.54972999418391044</v>
      </c>
      <c r="P716" s="359">
        <f t="shared" si="413"/>
        <v>0.55555240695744701</v>
      </c>
      <c r="Q716" s="359">
        <f t="shared" si="413"/>
        <v>0.55824144989573021</v>
      </c>
      <c r="R716" s="359">
        <f t="shared" si="413"/>
        <v>0.55978851428254572</v>
      </c>
      <c r="S716" s="359">
        <f t="shared" si="413"/>
        <v>0.56079250477649922</v>
      </c>
      <c r="T716" s="359">
        <f t="shared" si="413"/>
        <v>0.56149585654819634</v>
      </c>
      <c r="U716" s="359">
        <f t="shared" si="413"/>
        <v>0.56201539780639109</v>
      </c>
      <c r="V716" s="359">
        <f t="shared" si="413"/>
        <v>0.56241436895692487</v>
      </c>
      <c r="W716" s="359">
        <f t="shared" si="413"/>
        <v>0.56272998724600121</v>
      </c>
      <c r="X716" s="359">
        <f t="shared" si="413"/>
        <v>0.5629855839830793</v>
      </c>
      <c r="Y716" s="359">
        <f t="shared" si="413"/>
        <v>0.56323055401277555</v>
      </c>
      <c r="Z716" s="359">
        <f t="shared" si="413"/>
        <v>0.56343611565466589</v>
      </c>
      <c r="AA716" s="359">
        <f t="shared" si="413"/>
        <v>0.56361094083192309</v>
      </c>
      <c r="AB716" s="359">
        <f t="shared" si="413"/>
        <v>0.56376137026405204</v>
      </c>
      <c r="AC716" s="359">
        <f t="shared" si="413"/>
        <v>0.56389216202557335</v>
      </c>
      <c r="AD716" s="359">
        <f t="shared" si="413"/>
        <v>0.56403900100737725</v>
      </c>
      <c r="AE716" s="359">
        <f t="shared" si="413"/>
        <v>0.56416904519162414</v>
      </c>
      <c r="AF716" s="359">
        <f t="shared" si="413"/>
        <v>0.56428533149450177</v>
      </c>
      <c r="AG716" s="359">
        <f t="shared" si="413"/>
        <v>0.5637512483763828</v>
      </c>
      <c r="AH716" s="359">
        <f t="shared" si="413"/>
        <v>0.56218143370320606</v>
      </c>
      <c r="AI716" s="359">
        <f t="shared" si="413"/>
        <v>0.56218143370320606</v>
      </c>
      <c r="AJ716" s="359">
        <f t="shared" si="413"/>
        <v>0.56218143370320606</v>
      </c>
      <c r="AK716" s="359">
        <f t="shared" si="413"/>
        <v>0.56218143370320606</v>
      </c>
      <c r="AL716" s="359">
        <f t="shared" si="413"/>
        <v>0.56218143370320606</v>
      </c>
      <c r="AM716" s="359">
        <f t="shared" ref="AM716:BD716" si="414">IFERROR(AM715/AM703, "-")</f>
        <v>0.56218143370320606</v>
      </c>
      <c r="AN716" s="359">
        <f t="shared" si="414"/>
        <v>0.56218143370320606</v>
      </c>
      <c r="AO716" s="359">
        <f t="shared" si="414"/>
        <v>0.56218143370320606</v>
      </c>
      <c r="AP716" s="359">
        <f t="shared" si="414"/>
        <v>0.56218143370320606</v>
      </c>
      <c r="AQ716" s="359">
        <f t="shared" si="414"/>
        <v>0.56218143370320606</v>
      </c>
      <c r="AR716" s="359">
        <f t="shared" si="414"/>
        <v>0.56218143370320606</v>
      </c>
      <c r="AS716" s="359">
        <f t="shared" si="414"/>
        <v>0.56218143370320606</v>
      </c>
      <c r="AT716" s="359">
        <f t="shared" si="414"/>
        <v>0.56218143370320606</v>
      </c>
      <c r="AU716" s="359">
        <f t="shared" si="414"/>
        <v>0.56218143370320606</v>
      </c>
      <c r="AV716" s="359">
        <f t="shared" si="414"/>
        <v>0.56218143370320606</v>
      </c>
      <c r="AW716" s="359">
        <f t="shared" si="414"/>
        <v>0.56218143370320606</v>
      </c>
      <c r="AX716" s="359">
        <f t="shared" si="414"/>
        <v>0.56218143370320606</v>
      </c>
      <c r="AY716" s="359">
        <f t="shared" si="414"/>
        <v>0.56218143370320606</v>
      </c>
      <c r="AZ716" s="359">
        <f t="shared" si="414"/>
        <v>0.56218143370320606</v>
      </c>
      <c r="BA716" s="359">
        <f t="shared" si="414"/>
        <v>0.56218143370320606</v>
      </c>
      <c r="BB716" s="359">
        <f t="shared" si="414"/>
        <v>0.56218143370320606</v>
      </c>
      <c r="BC716" s="359">
        <f t="shared" si="414"/>
        <v>0.56218143370320606</v>
      </c>
      <c r="BD716" s="359">
        <f t="shared" si="414"/>
        <v>0.56218143370320606</v>
      </c>
    </row>
    <row r="717" spans="1:57" ht="15" customHeight="1">
      <c r="B717" s="94"/>
      <c r="C717" s="20"/>
      <c r="D717" s="112"/>
      <c r="E717" s="18"/>
      <c r="G717" s="17"/>
      <c r="H717" s="17"/>
      <c r="I717" s="17"/>
      <c r="J717" s="17"/>
      <c r="K717" s="17"/>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row>
    <row r="718" spans="1:57" ht="15" customHeight="1">
      <c r="C718" s="20"/>
      <c r="D718" s="112" t="s">
        <v>651</v>
      </c>
      <c r="E718" s="18"/>
      <c r="G718" s="17"/>
      <c r="H718" s="17"/>
      <c r="I718" s="17"/>
      <c r="J718" s="17"/>
      <c r="K718" s="17"/>
      <c r="L718" s="17"/>
      <c r="M718" s="17"/>
      <c r="N718" s="17"/>
      <c r="O718" s="17"/>
      <c r="P718" s="17"/>
      <c r="Q718" s="17"/>
      <c r="R718" s="17"/>
      <c r="S718" s="17"/>
      <c r="T718" s="17"/>
      <c r="U718" s="17"/>
      <c r="V718" s="17"/>
      <c r="W718" s="17"/>
      <c r="X718" s="17"/>
      <c r="Y718" s="17"/>
      <c r="Z718" s="17"/>
      <c r="AA718" s="17"/>
      <c r="AB718" s="17"/>
      <c r="AC718" s="17"/>
      <c r="AD718" s="17"/>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row>
    <row r="719" spans="1:57" ht="15" customHeight="1">
      <c r="C719" s="20"/>
      <c r="D719" s="112"/>
      <c r="E719" s="18"/>
      <c r="G719" s="17"/>
      <c r="H719" s="17"/>
      <c r="I719" s="17"/>
      <c r="J719" s="17"/>
      <c r="K719" s="17"/>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row>
    <row r="720" spans="1:57" ht="15" customHeight="1">
      <c r="C720" s="20"/>
      <c r="D720" s="401" t="s">
        <v>606</v>
      </c>
      <c r="E720" s="18"/>
      <c r="G720" s="17"/>
      <c r="H720" s="17"/>
      <c r="I720" s="17"/>
      <c r="J720" s="17"/>
      <c r="K720" s="17"/>
      <c r="L720" s="17"/>
      <c r="M720" s="17"/>
      <c r="N720" s="17"/>
      <c r="O720" s="17"/>
      <c r="P720" s="17"/>
      <c r="Q720" s="17"/>
      <c r="R720" s="17"/>
      <c r="S720" s="17"/>
      <c r="T720" s="17"/>
      <c r="U720" s="17"/>
      <c r="V720" s="17"/>
      <c r="W720" s="17"/>
      <c r="X720" s="17"/>
      <c r="Y720" s="17"/>
      <c r="Z720" s="17"/>
      <c r="AA720" s="17"/>
      <c r="AB720" s="17"/>
      <c r="AC720" s="17"/>
      <c r="AD720" s="17"/>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row>
    <row r="721" spans="2:56" ht="15" customHeight="1">
      <c r="C721" s="20"/>
      <c r="D721" s="22" t="s">
        <v>610</v>
      </c>
      <c r="E721" s="18" t="s">
        <v>333</v>
      </c>
      <c r="G721" s="17">
        <f t="shared" ref="G721:AL721" si="415">G224</f>
        <v>1</v>
      </c>
      <c r="H721" s="17">
        <f t="shared" si="415"/>
        <v>1</v>
      </c>
      <c r="I721" s="17">
        <f t="shared" si="415"/>
        <v>1</v>
      </c>
      <c r="J721" s="17">
        <f t="shared" si="415"/>
        <v>1</v>
      </c>
      <c r="K721" s="17">
        <f t="shared" si="415"/>
        <v>1</v>
      </c>
      <c r="L721" s="17">
        <f t="shared" si="415"/>
        <v>1</v>
      </c>
      <c r="M721" s="17">
        <f t="shared" si="415"/>
        <v>1</v>
      </c>
      <c r="N721" s="17">
        <f t="shared" si="415"/>
        <v>1</v>
      </c>
      <c r="O721" s="17">
        <f t="shared" si="415"/>
        <v>1</v>
      </c>
      <c r="P721" s="17">
        <f t="shared" si="415"/>
        <v>1</v>
      </c>
      <c r="Q721" s="17">
        <f t="shared" si="415"/>
        <v>1</v>
      </c>
      <c r="R721" s="17">
        <f t="shared" si="415"/>
        <v>1</v>
      </c>
      <c r="S721" s="17">
        <f t="shared" si="415"/>
        <v>1</v>
      </c>
      <c r="T721" s="17">
        <f t="shared" si="415"/>
        <v>1</v>
      </c>
      <c r="U721" s="17">
        <f t="shared" si="415"/>
        <v>1</v>
      </c>
      <c r="V721" s="17">
        <f t="shared" si="415"/>
        <v>1</v>
      </c>
      <c r="W721" s="17">
        <f t="shared" si="415"/>
        <v>1</v>
      </c>
      <c r="X721" s="17">
        <f t="shared" si="415"/>
        <v>1</v>
      </c>
      <c r="Y721" s="17">
        <f t="shared" si="415"/>
        <v>1</v>
      </c>
      <c r="Z721" s="17">
        <f t="shared" si="415"/>
        <v>1</v>
      </c>
      <c r="AA721" s="17">
        <f t="shared" si="415"/>
        <v>1</v>
      </c>
      <c r="AB721" s="17">
        <f t="shared" si="415"/>
        <v>1</v>
      </c>
      <c r="AC721" s="17">
        <f t="shared" si="415"/>
        <v>1</v>
      </c>
      <c r="AD721" s="17">
        <f t="shared" si="415"/>
        <v>1</v>
      </c>
      <c r="AE721" s="17">
        <f t="shared" si="415"/>
        <v>1</v>
      </c>
      <c r="AF721" s="17">
        <f t="shared" si="415"/>
        <v>1</v>
      </c>
      <c r="AG721" s="17">
        <f t="shared" si="415"/>
        <v>1</v>
      </c>
      <c r="AH721" s="17">
        <f t="shared" si="415"/>
        <v>1</v>
      </c>
      <c r="AI721" s="17">
        <f t="shared" si="415"/>
        <v>1</v>
      </c>
      <c r="AJ721" s="17">
        <f t="shared" si="415"/>
        <v>1</v>
      </c>
      <c r="AK721" s="17">
        <f t="shared" si="415"/>
        <v>1</v>
      </c>
      <c r="AL721" s="17">
        <f t="shared" si="415"/>
        <v>1</v>
      </c>
      <c r="AM721" s="17">
        <f t="shared" ref="AM721:BD721" si="416">AM224</f>
        <v>1</v>
      </c>
      <c r="AN721" s="17">
        <f t="shared" si="416"/>
        <v>1</v>
      </c>
      <c r="AO721" s="17">
        <f t="shared" si="416"/>
        <v>1</v>
      </c>
      <c r="AP721" s="17">
        <f t="shared" si="416"/>
        <v>1</v>
      </c>
      <c r="AQ721" s="17">
        <f t="shared" si="416"/>
        <v>1</v>
      </c>
      <c r="AR721" s="17">
        <f t="shared" si="416"/>
        <v>1</v>
      </c>
      <c r="AS721" s="17">
        <f t="shared" si="416"/>
        <v>1</v>
      </c>
      <c r="AT721" s="17">
        <f t="shared" si="416"/>
        <v>1</v>
      </c>
      <c r="AU721" s="17">
        <f t="shared" si="416"/>
        <v>1</v>
      </c>
      <c r="AV721" s="17">
        <f t="shared" si="416"/>
        <v>1</v>
      </c>
      <c r="AW721" s="17">
        <f t="shared" si="416"/>
        <v>1</v>
      </c>
      <c r="AX721" s="17">
        <f t="shared" si="416"/>
        <v>1</v>
      </c>
      <c r="AY721" s="17">
        <f t="shared" si="416"/>
        <v>1</v>
      </c>
      <c r="AZ721" s="17">
        <f t="shared" si="416"/>
        <v>1</v>
      </c>
      <c r="BA721" s="17">
        <f t="shared" si="416"/>
        <v>1</v>
      </c>
      <c r="BB721" s="17">
        <f t="shared" si="416"/>
        <v>1</v>
      </c>
      <c r="BC721" s="17">
        <f t="shared" si="416"/>
        <v>1</v>
      </c>
      <c r="BD721" s="17">
        <f t="shared" si="416"/>
        <v>1</v>
      </c>
    </row>
    <row r="722" spans="2:56" ht="15" customHeight="1">
      <c r="C722" s="20"/>
      <c r="D722" s="22"/>
      <c r="E722" s="18"/>
      <c r="G722" s="17"/>
      <c r="H722" s="17"/>
      <c r="I722" s="17"/>
      <c r="J722" s="17"/>
      <c r="K722" s="17"/>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row>
    <row r="723" spans="2:56" ht="15" customHeight="1">
      <c r="C723" s="20"/>
      <c r="D723" s="401" t="s">
        <v>611</v>
      </c>
      <c r="E723" s="18"/>
      <c r="G723" s="17"/>
      <c r="H723" s="17"/>
      <c r="I723" s="17"/>
      <c r="J723" s="17"/>
      <c r="K723" s="17"/>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row>
    <row r="724" spans="2:56" ht="15" customHeight="1">
      <c r="C724" s="21"/>
      <c r="D724" s="22" t="s">
        <v>652</v>
      </c>
      <c r="E724" s="18" t="s">
        <v>333</v>
      </c>
      <c r="F724" s="400"/>
      <c r="G724" s="17">
        <f t="shared" ref="G724:AL724" si="417">MAX(G51 - G52 - G53 - G54 - G55 - G56 - (G66 + G78 + G79 + G80) - (G96 - G610), 0)</f>
        <v>0</v>
      </c>
      <c r="H724" s="17">
        <f t="shared" si="417"/>
        <v>0</v>
      </c>
      <c r="I724" s="17">
        <f t="shared" si="417"/>
        <v>0</v>
      </c>
      <c r="J724" s="17">
        <f t="shared" si="417"/>
        <v>0</v>
      </c>
      <c r="K724" s="17">
        <f t="shared" si="417"/>
        <v>49.384188216000034</v>
      </c>
      <c r="L724" s="17">
        <f t="shared" si="417"/>
        <v>290.40321850704009</v>
      </c>
      <c r="M724" s="17">
        <f t="shared" si="417"/>
        <v>299.46740661017287</v>
      </c>
      <c r="N724" s="17">
        <f t="shared" si="417"/>
        <v>308.65257988772021</v>
      </c>
      <c r="O724" s="17">
        <f t="shared" si="417"/>
        <v>317.96115804317066</v>
      </c>
      <c r="P724" s="17">
        <f t="shared" si="417"/>
        <v>327.3956091740821</v>
      </c>
      <c r="Q724" s="17">
        <f t="shared" si="417"/>
        <v>333.94352135756378</v>
      </c>
      <c r="R724" s="17">
        <f t="shared" si="417"/>
        <v>340.62239178471492</v>
      </c>
      <c r="S724" s="17">
        <f t="shared" si="417"/>
        <v>347.43483962040938</v>
      </c>
      <c r="T724" s="17">
        <f t="shared" si="417"/>
        <v>354.38353641281748</v>
      </c>
      <c r="U724" s="17">
        <f t="shared" si="417"/>
        <v>361.47120714107388</v>
      </c>
      <c r="V724" s="17">
        <f t="shared" si="417"/>
        <v>368.70063128389523</v>
      </c>
      <c r="W724" s="17">
        <f t="shared" si="417"/>
        <v>376.07464390957324</v>
      </c>
      <c r="X724" s="17">
        <f t="shared" si="417"/>
        <v>383.59613678776481</v>
      </c>
      <c r="Y724" s="17">
        <f t="shared" si="417"/>
        <v>388.99584958419416</v>
      </c>
      <c r="Z724" s="17">
        <f t="shared" si="417"/>
        <v>396.77037489127611</v>
      </c>
      <c r="AA724" s="17">
        <f t="shared" si="417"/>
        <v>404.69341054666546</v>
      </c>
      <c r="AB724" s="17">
        <f t="shared" si="417"/>
        <v>412.76557211741851</v>
      </c>
      <c r="AC724" s="17">
        <f t="shared" si="417"/>
        <v>420.98614750715677</v>
      </c>
      <c r="AD724" s="17">
        <f t="shared" si="417"/>
        <v>425.48843927095157</v>
      </c>
      <c r="AE724" s="17">
        <f t="shared" si="417"/>
        <v>433.91302358989412</v>
      </c>
      <c r="AF724" s="17">
        <f t="shared" si="417"/>
        <v>442.44814854725649</v>
      </c>
      <c r="AG724" s="17">
        <f t="shared" si="417"/>
        <v>484.48047412544298</v>
      </c>
      <c r="AH724" s="17">
        <f t="shared" si="417"/>
        <v>225.9440736792433</v>
      </c>
      <c r="AI724" s="17">
        <f t="shared" si="417"/>
        <v>0</v>
      </c>
      <c r="AJ724" s="17">
        <f t="shared" si="417"/>
        <v>0</v>
      </c>
      <c r="AK724" s="17">
        <f t="shared" si="417"/>
        <v>0</v>
      </c>
      <c r="AL724" s="17">
        <f t="shared" si="417"/>
        <v>0</v>
      </c>
      <c r="AM724" s="17">
        <f t="shared" ref="AM724:BD724" si="418">MAX(AM51 - AM52 - AM53 - AM54 - AM55 - AM56 - (AM66 + AM78 + AM79 + AM80) - (AM96 - AM610), 0)</f>
        <v>0</v>
      </c>
      <c r="AN724" s="17">
        <f t="shared" si="418"/>
        <v>0</v>
      </c>
      <c r="AO724" s="17">
        <f t="shared" si="418"/>
        <v>0</v>
      </c>
      <c r="AP724" s="17">
        <f t="shared" si="418"/>
        <v>0</v>
      </c>
      <c r="AQ724" s="17">
        <f t="shared" si="418"/>
        <v>0</v>
      </c>
      <c r="AR724" s="17">
        <f t="shared" si="418"/>
        <v>0</v>
      </c>
      <c r="AS724" s="17">
        <f t="shared" si="418"/>
        <v>0</v>
      </c>
      <c r="AT724" s="17">
        <f t="shared" si="418"/>
        <v>0</v>
      </c>
      <c r="AU724" s="17">
        <f t="shared" si="418"/>
        <v>0</v>
      </c>
      <c r="AV724" s="17">
        <f t="shared" si="418"/>
        <v>0</v>
      </c>
      <c r="AW724" s="17">
        <f t="shared" si="418"/>
        <v>0</v>
      </c>
      <c r="AX724" s="17">
        <f t="shared" si="418"/>
        <v>0</v>
      </c>
      <c r="AY724" s="17">
        <f t="shared" si="418"/>
        <v>0</v>
      </c>
      <c r="AZ724" s="17">
        <f t="shared" si="418"/>
        <v>0</v>
      </c>
      <c r="BA724" s="17">
        <f t="shared" si="418"/>
        <v>0</v>
      </c>
      <c r="BB724" s="17">
        <f t="shared" si="418"/>
        <v>0</v>
      </c>
      <c r="BC724" s="17">
        <f t="shared" si="418"/>
        <v>0</v>
      </c>
      <c r="BD724" s="17">
        <f t="shared" si="418"/>
        <v>0</v>
      </c>
    </row>
    <row r="725" spans="2:56" ht="15" customHeight="1">
      <c r="C725" s="20"/>
      <c r="D725" s="22"/>
      <c r="E725" s="18"/>
      <c r="F725" s="400"/>
      <c r="G725" s="17"/>
      <c r="H725" s="17"/>
      <c r="I725" s="17"/>
      <c r="J725" s="17"/>
      <c r="K725" s="17"/>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row>
    <row r="726" spans="2:56" ht="15" customHeight="1">
      <c r="C726" s="20"/>
      <c r="D726" s="401" t="s">
        <v>623</v>
      </c>
      <c r="E726" s="18"/>
      <c r="G726" s="17"/>
      <c r="H726" s="17"/>
      <c r="I726" s="17"/>
      <c r="J726" s="17"/>
      <c r="K726" s="17"/>
      <c r="L726" s="17"/>
      <c r="M726" s="17"/>
      <c r="N726" s="17"/>
      <c r="O726" s="17"/>
      <c r="P726" s="17"/>
      <c r="Q726" s="17"/>
      <c r="R726" s="17"/>
      <c r="S726" s="17"/>
      <c r="T726" s="17"/>
      <c r="U726" s="17"/>
      <c r="V726" s="17"/>
      <c r="W726" s="17"/>
      <c r="X726" s="17"/>
      <c r="Y726" s="17"/>
      <c r="Z726" s="17"/>
      <c r="AA726" s="17"/>
      <c r="AB726" s="17"/>
      <c r="AC726" s="17"/>
      <c r="AD726" s="17"/>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row>
    <row r="727" spans="2:56" ht="15" customHeight="1">
      <c r="C727" s="21">
        <f>SUM(G727:BD727)</f>
        <v>4611.0556263166563</v>
      </c>
      <c r="D727" s="22" t="s">
        <v>615</v>
      </c>
      <c r="E727" s="18" t="s">
        <v>333</v>
      </c>
      <c r="G727" s="17">
        <f t="shared" ref="G727:AL727" si="419">G210 + G236 + G241 + G244 + G311 + G313 + G319 + G512 + G519 + G595 + G604 + G610</f>
        <v>0</v>
      </c>
      <c r="H727" s="17">
        <f t="shared" si="419"/>
        <v>0</v>
      </c>
      <c r="I727" s="17">
        <f t="shared" si="419"/>
        <v>2.9261250000000003</v>
      </c>
      <c r="J727" s="17">
        <f t="shared" si="419"/>
        <v>11.93859</v>
      </c>
      <c r="K727" s="17">
        <f t="shared" si="419"/>
        <v>26.654788940400003</v>
      </c>
      <c r="L727" s="17">
        <f t="shared" si="419"/>
        <v>93.647078124470454</v>
      </c>
      <c r="M727" s="17">
        <f t="shared" si="419"/>
        <v>116.16067358343437</v>
      </c>
      <c r="N727" s="17">
        <f t="shared" si="419"/>
        <v>147.73392710086779</v>
      </c>
      <c r="O727" s="17">
        <f t="shared" si="419"/>
        <v>150.61479945847225</v>
      </c>
      <c r="P727" s="17">
        <f t="shared" si="419"/>
        <v>185.40850040223782</v>
      </c>
      <c r="Q727" s="17">
        <f t="shared" si="419"/>
        <v>189.11667041028258</v>
      </c>
      <c r="R727" s="17">
        <f t="shared" si="419"/>
        <v>192.89900381848813</v>
      </c>
      <c r="S727" s="17">
        <f t="shared" si="419"/>
        <v>196.756983894858</v>
      </c>
      <c r="T727" s="17">
        <f t="shared" si="419"/>
        <v>200.69212357275512</v>
      </c>
      <c r="U727" s="17">
        <f t="shared" si="419"/>
        <v>204.70596604421021</v>
      </c>
      <c r="V727" s="17">
        <f t="shared" si="419"/>
        <v>208.80008536509439</v>
      </c>
      <c r="W727" s="17">
        <f t="shared" si="419"/>
        <v>212.97608707239635</v>
      </c>
      <c r="X727" s="17">
        <f t="shared" si="419"/>
        <v>217.23560881384429</v>
      </c>
      <c r="Y727" s="17">
        <f t="shared" si="419"/>
        <v>220.51056455068652</v>
      </c>
      <c r="Z727" s="17">
        <f t="shared" si="419"/>
        <v>224.91823743658969</v>
      </c>
      <c r="AA727" s="17">
        <f t="shared" si="419"/>
        <v>229.4107775219025</v>
      </c>
      <c r="AB727" s="17">
        <f t="shared" si="419"/>
        <v>233.98877358614371</v>
      </c>
      <c r="AC727" s="17">
        <f t="shared" si="419"/>
        <v>238.65219532429771</v>
      </c>
      <c r="AD727" s="17">
        <f t="shared" si="419"/>
        <v>241.58091262825087</v>
      </c>
      <c r="AE727" s="17">
        <f t="shared" si="419"/>
        <v>246.37242603399878</v>
      </c>
      <c r="AF727" s="17">
        <f t="shared" si="419"/>
        <v>251.23248635448252</v>
      </c>
      <c r="AG727" s="17">
        <f t="shared" si="419"/>
        <v>265.14318389410641</v>
      </c>
      <c r="AH727" s="17">
        <f t="shared" si="419"/>
        <v>100.97905738438547</v>
      </c>
      <c r="AI727" s="17">
        <f t="shared" si="419"/>
        <v>0</v>
      </c>
      <c r="AJ727" s="17">
        <f t="shared" si="419"/>
        <v>0</v>
      </c>
      <c r="AK727" s="17">
        <f t="shared" si="419"/>
        <v>0</v>
      </c>
      <c r="AL727" s="17">
        <f t="shared" si="419"/>
        <v>0</v>
      </c>
      <c r="AM727" s="17">
        <f t="shared" ref="AM727:BD727" si="420">AM210 + AM236 + AM241 + AM244 + AM311 + AM313 + AM319 + AM512 + AM519 + AM595 + AM604 + AM610</f>
        <v>0</v>
      </c>
      <c r="AN727" s="17">
        <f t="shared" si="420"/>
        <v>0</v>
      </c>
      <c r="AO727" s="17">
        <f t="shared" si="420"/>
        <v>0</v>
      </c>
      <c r="AP727" s="17">
        <f t="shared" si="420"/>
        <v>0</v>
      </c>
      <c r="AQ727" s="17">
        <f t="shared" si="420"/>
        <v>0</v>
      </c>
      <c r="AR727" s="17">
        <f t="shared" si="420"/>
        <v>0</v>
      </c>
      <c r="AS727" s="17">
        <f t="shared" si="420"/>
        <v>0</v>
      </c>
      <c r="AT727" s="17">
        <f t="shared" si="420"/>
        <v>0</v>
      </c>
      <c r="AU727" s="17">
        <f t="shared" si="420"/>
        <v>0</v>
      </c>
      <c r="AV727" s="17">
        <f t="shared" si="420"/>
        <v>0</v>
      </c>
      <c r="AW727" s="17">
        <f t="shared" si="420"/>
        <v>0</v>
      </c>
      <c r="AX727" s="17">
        <f t="shared" si="420"/>
        <v>0</v>
      </c>
      <c r="AY727" s="17">
        <f t="shared" si="420"/>
        <v>0</v>
      </c>
      <c r="AZ727" s="17">
        <f t="shared" si="420"/>
        <v>0</v>
      </c>
      <c r="BA727" s="17">
        <f t="shared" si="420"/>
        <v>0</v>
      </c>
      <c r="BB727" s="17">
        <f t="shared" si="420"/>
        <v>0</v>
      </c>
      <c r="BC727" s="17">
        <f t="shared" si="420"/>
        <v>0</v>
      </c>
      <c r="BD727" s="17">
        <f t="shared" si="420"/>
        <v>0</v>
      </c>
    </row>
    <row r="728" spans="2:56" ht="15" customHeight="1">
      <c r="B728" s="21"/>
      <c r="C728" s="20"/>
      <c r="D728" s="22" t="s">
        <v>616</v>
      </c>
      <c r="E728" s="18" t="s">
        <v>30</v>
      </c>
      <c r="G728" s="6" t="str">
        <f>IFERROR(G727 / G724, "-")</f>
        <v>-</v>
      </c>
      <c r="H728" s="6" t="str">
        <f t="shared" ref="H728:BD728" si="421">IFERROR(H727 / H724, "-")</f>
        <v>-</v>
      </c>
      <c r="I728" s="6" t="str">
        <f t="shared" si="421"/>
        <v>-</v>
      </c>
      <c r="J728" s="6" t="str">
        <f t="shared" si="421"/>
        <v>-</v>
      </c>
      <c r="K728" s="6">
        <f t="shared" si="421"/>
        <v>0.53974338555116896</v>
      </c>
      <c r="L728" s="6">
        <f t="shared" si="421"/>
        <v>0.32247259037247972</v>
      </c>
      <c r="M728" s="6">
        <f t="shared" si="421"/>
        <v>0.3878908723266995</v>
      </c>
      <c r="N728" s="6">
        <f t="shared" si="421"/>
        <v>0.47864147824265574</v>
      </c>
      <c r="O728" s="6">
        <f t="shared" si="421"/>
        <v>0.47368930338976428</v>
      </c>
      <c r="P728" s="6">
        <f t="shared" si="421"/>
        <v>0.56631333837972397</v>
      </c>
      <c r="Q728" s="6">
        <f t="shared" si="421"/>
        <v>0.56631333837972397</v>
      </c>
      <c r="R728" s="6">
        <f t="shared" si="421"/>
        <v>0.56631333837972386</v>
      </c>
      <c r="S728" s="6">
        <f t="shared" si="421"/>
        <v>0.56631333837972386</v>
      </c>
      <c r="T728" s="6">
        <f t="shared" si="421"/>
        <v>0.56631333837972397</v>
      </c>
      <c r="U728" s="6">
        <f t="shared" si="421"/>
        <v>0.56631333837972386</v>
      </c>
      <c r="V728" s="6">
        <f t="shared" si="421"/>
        <v>0.56631333837972397</v>
      </c>
      <c r="W728" s="6">
        <f t="shared" si="421"/>
        <v>0.56631333837972397</v>
      </c>
      <c r="X728" s="6">
        <f t="shared" si="421"/>
        <v>0.56631333837972386</v>
      </c>
      <c r="Y728" s="6">
        <f t="shared" si="421"/>
        <v>0.56687125270461081</v>
      </c>
      <c r="Z728" s="6">
        <f t="shared" si="421"/>
        <v>0.56687255821007876</v>
      </c>
      <c r="AA728" s="6">
        <f t="shared" si="421"/>
        <v>0.56687549523480318</v>
      </c>
      <c r="AB728" s="6">
        <f t="shared" si="421"/>
        <v>0.56688054768187268</v>
      </c>
      <c r="AC728" s="6">
        <f t="shared" si="421"/>
        <v>0.56688847539868426</v>
      </c>
      <c r="AD728" s="6">
        <f t="shared" si="421"/>
        <v>0.56777315276105977</v>
      </c>
      <c r="AE728" s="6">
        <f t="shared" si="421"/>
        <v>0.56779219023131622</v>
      </c>
      <c r="AF728" s="6">
        <f t="shared" si="421"/>
        <v>0.56782356798052946</v>
      </c>
      <c r="AG728" s="6">
        <f t="shared" si="421"/>
        <v>0.54727320925106016</v>
      </c>
      <c r="AH728" s="6">
        <f t="shared" si="421"/>
        <v>0.44692058410763291</v>
      </c>
      <c r="AI728" s="6" t="str">
        <f t="shared" si="421"/>
        <v>-</v>
      </c>
      <c r="AJ728" s="6" t="str">
        <f t="shared" si="421"/>
        <v>-</v>
      </c>
      <c r="AK728" s="6" t="str">
        <f t="shared" si="421"/>
        <v>-</v>
      </c>
      <c r="AL728" s="6" t="str">
        <f t="shared" si="421"/>
        <v>-</v>
      </c>
      <c r="AM728" s="6" t="str">
        <f t="shared" si="421"/>
        <v>-</v>
      </c>
      <c r="AN728" s="6" t="str">
        <f t="shared" si="421"/>
        <v>-</v>
      </c>
      <c r="AO728" s="6" t="str">
        <f t="shared" si="421"/>
        <v>-</v>
      </c>
      <c r="AP728" s="6" t="str">
        <f t="shared" si="421"/>
        <v>-</v>
      </c>
      <c r="AQ728" s="6" t="str">
        <f t="shared" si="421"/>
        <v>-</v>
      </c>
      <c r="AR728" s="6" t="str">
        <f t="shared" si="421"/>
        <v>-</v>
      </c>
      <c r="AS728" s="6" t="str">
        <f t="shared" si="421"/>
        <v>-</v>
      </c>
      <c r="AT728" s="6" t="str">
        <f t="shared" si="421"/>
        <v>-</v>
      </c>
      <c r="AU728" s="6" t="str">
        <f t="shared" si="421"/>
        <v>-</v>
      </c>
      <c r="AV728" s="6" t="str">
        <f t="shared" si="421"/>
        <v>-</v>
      </c>
      <c r="AW728" s="6" t="str">
        <f t="shared" si="421"/>
        <v>-</v>
      </c>
      <c r="AX728" s="6" t="str">
        <f t="shared" si="421"/>
        <v>-</v>
      </c>
      <c r="AY728" s="6" t="str">
        <f t="shared" si="421"/>
        <v>-</v>
      </c>
      <c r="AZ728" s="6" t="str">
        <f t="shared" si="421"/>
        <v>-</v>
      </c>
      <c r="BA728" s="6" t="str">
        <f t="shared" si="421"/>
        <v>-</v>
      </c>
      <c r="BB728" s="6" t="str">
        <f t="shared" si="421"/>
        <v>-</v>
      </c>
      <c r="BC728" s="6" t="str">
        <f t="shared" si="421"/>
        <v>-</v>
      </c>
      <c r="BD728" s="6" t="str">
        <f t="shared" si="421"/>
        <v>-</v>
      </c>
    </row>
    <row r="729" spans="2:56" ht="15" customHeight="1">
      <c r="C729" s="21"/>
      <c r="D729" s="11" t="s">
        <v>653</v>
      </c>
      <c r="E729" s="18" t="s">
        <v>30</v>
      </c>
      <c r="G729" s="6" t="str">
        <f>IFERROR(MAX(Inputs!$E$90 - G728, 0%) * G721, "-")</f>
        <v>-</v>
      </c>
      <c r="H729" s="6" t="str">
        <f>IFERROR(MAX(Inputs!$E$90 - H728, 0%) * H721, "-")</f>
        <v>-</v>
      </c>
      <c r="I729" s="6" t="str">
        <f>IFERROR(MAX(Inputs!$E$90 - I728, 0%) * I721, "-")</f>
        <v>-</v>
      </c>
      <c r="J729" s="6" t="str">
        <f>IFERROR(MAX(Inputs!$E$90 - J728, 0%) * J721, "-")</f>
        <v>-</v>
      </c>
      <c r="K729" s="6">
        <f>IFERROR(MAX(Inputs!$E$90 - K728, 0%) * K721, "-")</f>
        <v>0</v>
      </c>
      <c r="L729" s="6">
        <f>IFERROR(MAX(Inputs!$E$90 - L728, 0%) * L721, "-")</f>
        <v>0</v>
      </c>
      <c r="M729" s="6">
        <f>IFERROR(MAX(Inputs!$E$90 - M728, 0%) * M721, "-")</f>
        <v>0</v>
      </c>
      <c r="N729" s="6">
        <f>IFERROR(MAX(Inputs!$E$90 - N728, 0%) * N721, "-")</f>
        <v>0</v>
      </c>
      <c r="O729" s="6">
        <f>IFERROR(MAX(Inputs!$E$90 - O728, 0%) * O721, "-")</f>
        <v>0</v>
      </c>
      <c r="P729" s="6">
        <f>IFERROR(MAX(Inputs!$E$90 - P728, 0%) * P721, "-")</f>
        <v>0</v>
      </c>
      <c r="Q729" s="6">
        <f>IFERROR(MAX(Inputs!$E$90 - Q728, 0%) * Q721, "-")</f>
        <v>0</v>
      </c>
      <c r="R729" s="6">
        <f>IFERROR(MAX(Inputs!$E$90 - R728, 0%) * R721, "-")</f>
        <v>0</v>
      </c>
      <c r="S729" s="6">
        <f>IFERROR(MAX(Inputs!$E$90 - S728, 0%) * S721, "-")</f>
        <v>0</v>
      </c>
      <c r="T729" s="6">
        <f>IFERROR(MAX(Inputs!$E$90 - T728, 0%) * T721, "-")</f>
        <v>0</v>
      </c>
      <c r="U729" s="6">
        <f>IFERROR(MAX(Inputs!$E$90 - U728, 0%) * U721, "-")</f>
        <v>0</v>
      </c>
      <c r="V729" s="6">
        <f>IFERROR(MAX(Inputs!$E$90 - V728, 0%) * V721, "-")</f>
        <v>0</v>
      </c>
      <c r="W729" s="6">
        <f>IFERROR(MAX(Inputs!$E$90 - W728, 0%) * W721, "-")</f>
        <v>0</v>
      </c>
      <c r="X729" s="6">
        <f>IFERROR(MAX(Inputs!$E$90 - X728, 0%) * X721, "-")</f>
        <v>0</v>
      </c>
      <c r="Y729" s="6">
        <f>IFERROR(MAX(Inputs!$E$90 - Y728, 0%) * Y721, "-")</f>
        <v>0</v>
      </c>
      <c r="Z729" s="6">
        <f>IFERROR(MAX(Inputs!$E$90 - Z728, 0%) * Z721, "-")</f>
        <v>0</v>
      </c>
      <c r="AA729" s="6">
        <f>IFERROR(MAX(Inputs!$E$90 - AA728, 0%) * AA721, "-")</f>
        <v>0</v>
      </c>
      <c r="AB729" s="6">
        <f>IFERROR(MAX(Inputs!$E$90 - AB728, 0%) * AB721, "-")</f>
        <v>0</v>
      </c>
      <c r="AC729" s="6">
        <f>IFERROR(MAX(Inputs!$E$90 - AC728, 0%) * AC721, "-")</f>
        <v>0</v>
      </c>
      <c r="AD729" s="6">
        <f>IFERROR(MAX(Inputs!$E$90 - AD728, 0%) * AD721, "-")</f>
        <v>0</v>
      </c>
      <c r="AE729" s="6">
        <f>IFERROR(MAX(Inputs!$E$90 - AE728, 0%) * AE721, "-")</f>
        <v>0</v>
      </c>
      <c r="AF729" s="6">
        <f>IFERROR(MAX(Inputs!$E$90 - AF728, 0%) * AF721, "-")</f>
        <v>0</v>
      </c>
      <c r="AG729" s="6">
        <f>IFERROR(MAX(Inputs!$E$90 - AG728, 0%) * AG721, "-")</f>
        <v>0</v>
      </c>
      <c r="AH729" s="6">
        <f>IFERROR(MAX(Inputs!$E$90 - AH728, 0%) * AH721, "-")</f>
        <v>0</v>
      </c>
      <c r="AI729" s="6" t="str">
        <f>IFERROR(MAX(Inputs!$E$90 - AI728, 0%) * AI721, "-")</f>
        <v>-</v>
      </c>
      <c r="AJ729" s="6" t="str">
        <f>IFERROR(MAX(Inputs!$E$90 - AJ728, 0%) * AJ721, "-")</f>
        <v>-</v>
      </c>
      <c r="AK729" s="6" t="str">
        <f>IFERROR(MAX(Inputs!$E$90 - AK728, 0%) * AK721, "-")</f>
        <v>-</v>
      </c>
      <c r="AL729" s="6" t="str">
        <f>IFERROR(MAX(Inputs!$E$90 - AL728, 0%) * AL721, "-")</f>
        <v>-</v>
      </c>
      <c r="AM729" s="6" t="str">
        <f>IFERROR(MAX(Inputs!$E$90 - AM728, 0%) * AM721, "-")</f>
        <v>-</v>
      </c>
      <c r="AN729" s="6" t="str">
        <f>IFERROR(MAX(Inputs!$E$90 - AN728, 0%) * AN721, "-")</f>
        <v>-</v>
      </c>
      <c r="AO729" s="6" t="str">
        <f>IFERROR(MAX(Inputs!$E$90 - AO728, 0%) * AO721, "-")</f>
        <v>-</v>
      </c>
      <c r="AP729" s="6" t="str">
        <f>IFERROR(MAX(Inputs!$E$90 - AP728, 0%) * AP721, "-")</f>
        <v>-</v>
      </c>
      <c r="AQ729" s="6" t="str">
        <f>IFERROR(MAX(Inputs!$E$90 - AQ728, 0%) * AQ721, "-")</f>
        <v>-</v>
      </c>
      <c r="AR729" s="6" t="str">
        <f>IFERROR(MAX(Inputs!$E$90 - AR728, 0%) * AR721, "-")</f>
        <v>-</v>
      </c>
      <c r="AS729" s="6" t="str">
        <f>IFERROR(MAX(Inputs!$E$90 - AS728, 0%) * AS721, "-")</f>
        <v>-</v>
      </c>
      <c r="AT729" s="6" t="str">
        <f>IFERROR(MAX(Inputs!$E$90 - AT728, 0%) * AT721, "-")</f>
        <v>-</v>
      </c>
      <c r="AU729" s="6" t="str">
        <f>IFERROR(MAX(Inputs!$E$90 - AU728, 0%) * AU721, "-")</f>
        <v>-</v>
      </c>
      <c r="AV729" s="6" t="str">
        <f>IFERROR(MAX(Inputs!$E$90 - AV728, 0%) * AV721, "-")</f>
        <v>-</v>
      </c>
      <c r="AW729" s="6" t="str">
        <f>IFERROR(MAX(Inputs!$E$90 - AW728, 0%) * AW721, "-")</f>
        <v>-</v>
      </c>
      <c r="AX729" s="6" t="str">
        <f>IFERROR(MAX(Inputs!$E$90 - AX728, 0%) * AX721, "-")</f>
        <v>-</v>
      </c>
      <c r="AY729" s="6" t="str">
        <f>IFERROR(MAX(Inputs!$E$90 - AY728, 0%) * AY721, "-")</f>
        <v>-</v>
      </c>
      <c r="AZ729" s="6" t="str">
        <f>IFERROR(MAX(Inputs!$E$90 - AZ728, 0%) * AZ721, "-")</f>
        <v>-</v>
      </c>
      <c r="BA729" s="6" t="str">
        <f>IFERROR(MAX(Inputs!$E$90 - BA728, 0%) * BA721, "-")</f>
        <v>-</v>
      </c>
      <c r="BB729" s="6" t="str">
        <f>IFERROR(MAX(Inputs!$E$90 - BB728, 0%) * BB721, "-")</f>
        <v>-</v>
      </c>
      <c r="BC729" s="6" t="str">
        <f>IFERROR(MAX(Inputs!$E$90 - BC728, 0%) * BC721, "-")</f>
        <v>-</v>
      </c>
      <c r="BD729" s="6" t="str">
        <f>IFERROR(MAX(Inputs!$E$90 - BD728, 0%) * BD721, "-")</f>
        <v>-</v>
      </c>
    </row>
    <row r="730" spans="2:56" ht="15" customHeight="1">
      <c r="C730" s="21">
        <f>SUM(G730:BD730)</f>
        <v>0</v>
      </c>
      <c r="D730" s="11" t="s">
        <v>648</v>
      </c>
      <c r="E730" s="18" t="s">
        <v>333</v>
      </c>
      <c r="G730" s="21">
        <f t="shared" ref="G730:AL730" si="422">IFERROR(G729 * G724, 0)</f>
        <v>0</v>
      </c>
      <c r="H730" s="21">
        <f t="shared" si="422"/>
        <v>0</v>
      </c>
      <c r="I730" s="21">
        <f t="shared" si="422"/>
        <v>0</v>
      </c>
      <c r="J730" s="21">
        <f t="shared" si="422"/>
        <v>0</v>
      </c>
      <c r="K730" s="21">
        <f t="shared" si="422"/>
        <v>0</v>
      </c>
      <c r="L730" s="21">
        <f t="shared" si="422"/>
        <v>0</v>
      </c>
      <c r="M730" s="21">
        <f t="shared" si="422"/>
        <v>0</v>
      </c>
      <c r="N730" s="21">
        <f t="shared" si="422"/>
        <v>0</v>
      </c>
      <c r="O730" s="21">
        <f t="shared" si="422"/>
        <v>0</v>
      </c>
      <c r="P730" s="21">
        <f t="shared" si="422"/>
        <v>0</v>
      </c>
      <c r="Q730" s="21">
        <f t="shared" si="422"/>
        <v>0</v>
      </c>
      <c r="R730" s="21">
        <f t="shared" si="422"/>
        <v>0</v>
      </c>
      <c r="S730" s="21">
        <f t="shared" si="422"/>
        <v>0</v>
      </c>
      <c r="T730" s="21">
        <f t="shared" si="422"/>
        <v>0</v>
      </c>
      <c r="U730" s="21">
        <f t="shared" si="422"/>
        <v>0</v>
      </c>
      <c r="V730" s="21">
        <f t="shared" si="422"/>
        <v>0</v>
      </c>
      <c r="W730" s="21">
        <f t="shared" si="422"/>
        <v>0</v>
      </c>
      <c r="X730" s="21">
        <f t="shared" si="422"/>
        <v>0</v>
      </c>
      <c r="Y730" s="21">
        <f t="shared" si="422"/>
        <v>0</v>
      </c>
      <c r="Z730" s="21">
        <f t="shared" si="422"/>
        <v>0</v>
      </c>
      <c r="AA730" s="21">
        <f t="shared" si="422"/>
        <v>0</v>
      </c>
      <c r="AB730" s="21">
        <f t="shared" si="422"/>
        <v>0</v>
      </c>
      <c r="AC730" s="21">
        <f t="shared" si="422"/>
        <v>0</v>
      </c>
      <c r="AD730" s="21">
        <f t="shared" si="422"/>
        <v>0</v>
      </c>
      <c r="AE730" s="21">
        <f t="shared" si="422"/>
        <v>0</v>
      </c>
      <c r="AF730" s="21">
        <f t="shared" si="422"/>
        <v>0</v>
      </c>
      <c r="AG730" s="21">
        <f t="shared" si="422"/>
        <v>0</v>
      </c>
      <c r="AH730" s="21">
        <f t="shared" si="422"/>
        <v>0</v>
      </c>
      <c r="AI730" s="21">
        <f t="shared" si="422"/>
        <v>0</v>
      </c>
      <c r="AJ730" s="21">
        <f t="shared" si="422"/>
        <v>0</v>
      </c>
      <c r="AK730" s="21">
        <f t="shared" si="422"/>
        <v>0</v>
      </c>
      <c r="AL730" s="21">
        <f t="shared" si="422"/>
        <v>0</v>
      </c>
      <c r="AM730" s="21">
        <f t="shared" ref="AM730:BD730" si="423">IFERROR(AM729 * AM724, 0)</f>
        <v>0</v>
      </c>
      <c r="AN730" s="21">
        <f t="shared" si="423"/>
        <v>0</v>
      </c>
      <c r="AO730" s="21">
        <f t="shared" si="423"/>
        <v>0</v>
      </c>
      <c r="AP730" s="21">
        <f t="shared" si="423"/>
        <v>0</v>
      </c>
      <c r="AQ730" s="21">
        <f t="shared" si="423"/>
        <v>0</v>
      </c>
      <c r="AR730" s="21">
        <f t="shared" si="423"/>
        <v>0</v>
      </c>
      <c r="AS730" s="21">
        <f t="shared" si="423"/>
        <v>0</v>
      </c>
      <c r="AT730" s="21">
        <f t="shared" si="423"/>
        <v>0</v>
      </c>
      <c r="AU730" s="21">
        <f t="shared" si="423"/>
        <v>0</v>
      </c>
      <c r="AV730" s="21">
        <f t="shared" si="423"/>
        <v>0</v>
      </c>
      <c r="AW730" s="21">
        <f t="shared" si="423"/>
        <v>0</v>
      </c>
      <c r="AX730" s="21">
        <f t="shared" si="423"/>
        <v>0</v>
      </c>
      <c r="AY730" s="21">
        <f t="shared" si="423"/>
        <v>0</v>
      </c>
      <c r="AZ730" s="21">
        <f t="shared" si="423"/>
        <v>0</v>
      </c>
      <c r="BA730" s="21">
        <f t="shared" si="423"/>
        <v>0</v>
      </c>
      <c r="BB730" s="21">
        <f t="shared" si="423"/>
        <v>0</v>
      </c>
      <c r="BC730" s="21">
        <f t="shared" si="423"/>
        <v>0</v>
      </c>
      <c r="BD730" s="21">
        <f t="shared" si="423"/>
        <v>0</v>
      </c>
    </row>
    <row r="731" spans="2:56" ht="15" customHeight="1">
      <c r="C731" s="21"/>
      <c r="E731" s="18"/>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row>
    <row r="732" spans="2:56" ht="15" customHeight="1">
      <c r="C732" s="20"/>
      <c r="D732" s="112" t="s">
        <v>654</v>
      </c>
      <c r="E732" s="18"/>
      <c r="G732" s="17"/>
      <c r="H732" s="17"/>
      <c r="I732" s="17"/>
      <c r="J732" s="17"/>
      <c r="K732" s="17"/>
      <c r="L732" s="17"/>
      <c r="M732" s="17"/>
      <c r="N732" s="17"/>
      <c r="O732" s="17"/>
      <c r="P732" s="17"/>
      <c r="Q732" s="17"/>
      <c r="R732" s="17"/>
      <c r="S732" s="17"/>
      <c r="T732" s="17"/>
      <c r="U732" s="17"/>
      <c r="V732" s="17"/>
      <c r="W732" s="17"/>
      <c r="X732" s="17"/>
      <c r="Y732" s="17"/>
      <c r="Z732" s="17"/>
      <c r="AA732" s="17"/>
      <c r="AB732" s="17"/>
      <c r="AC732" s="17"/>
      <c r="AD732" s="17"/>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row>
    <row r="733" spans="2:56" ht="15" customHeight="1">
      <c r="C733" s="20"/>
      <c r="D733" s="112"/>
      <c r="E733" s="18"/>
      <c r="G733" s="17"/>
      <c r="H733" s="17"/>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row>
    <row r="734" spans="2:56" ht="15" customHeight="1">
      <c r="C734" s="20"/>
      <c r="D734" s="401" t="s">
        <v>645</v>
      </c>
      <c r="E734" s="18"/>
      <c r="G734" s="17"/>
      <c r="H734" s="17"/>
      <c r="I734" s="17"/>
      <c r="J734" s="17"/>
      <c r="K734" s="17"/>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row>
    <row r="735" spans="2:56" ht="15" customHeight="1">
      <c r="C735" s="20"/>
      <c r="D735" s="22" t="s">
        <v>646</v>
      </c>
      <c r="E735" s="440">
        <f>(((SUM(C53:C54) * Inputs!E195) * (Inputs!E198 + Inputs!E202)) + (((SUM(C53:C54) * ( 1- Inputs!E195)) * (Inputs!E200 + Inputs!E202)) * (1 - (Inputs!$E$76 * Inputs!$E$77)) * (1 - (IF(Inputs!$E$46=0, Inputs!$E$44, IF(G33 &lt; Inputs!$E$46, Inputs!$E$44, Inputs!$E$45))))))/SUM(C53:C54)</f>
        <v>7.4999999999999997E-2</v>
      </c>
      <c r="G735" s="17"/>
      <c r="H735" s="17"/>
      <c r="I735" s="17"/>
      <c r="J735" s="17"/>
      <c r="K735" s="17"/>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row>
    <row r="736" spans="2:56" ht="15" customHeight="1">
      <c r="C736" s="21"/>
      <c r="D736" s="22" t="s">
        <v>645</v>
      </c>
      <c r="E736" s="18"/>
      <c r="G736" s="439">
        <f t="shared" ref="G736:AL736" si="424">(1 + $E$735)^(G6-1)</f>
        <v>1</v>
      </c>
      <c r="H736" s="439">
        <f t="shared" si="424"/>
        <v>1.075</v>
      </c>
      <c r="I736" s="439">
        <f t="shared" si="424"/>
        <v>1.1556249999999999</v>
      </c>
      <c r="J736" s="439">
        <f t="shared" si="424"/>
        <v>1.2422968749999999</v>
      </c>
      <c r="K736" s="439">
        <f t="shared" si="424"/>
        <v>1.3354691406249999</v>
      </c>
      <c r="L736" s="439">
        <f t="shared" si="424"/>
        <v>1.4356293261718749</v>
      </c>
      <c r="M736" s="439">
        <f t="shared" si="424"/>
        <v>1.5433015256347653</v>
      </c>
      <c r="N736" s="439">
        <f t="shared" si="424"/>
        <v>1.6590491400573728</v>
      </c>
      <c r="O736" s="439">
        <f t="shared" si="424"/>
        <v>1.7834778255616757</v>
      </c>
      <c r="P736" s="439">
        <f t="shared" si="424"/>
        <v>1.9172386624788014</v>
      </c>
      <c r="Q736" s="439">
        <f t="shared" si="424"/>
        <v>2.0610315621647111</v>
      </c>
      <c r="R736" s="439">
        <f t="shared" si="424"/>
        <v>2.2156089293270647</v>
      </c>
      <c r="S736" s="439">
        <f t="shared" si="424"/>
        <v>2.3817795990265944</v>
      </c>
      <c r="T736" s="439">
        <f t="shared" si="424"/>
        <v>2.5604130689535891</v>
      </c>
      <c r="U736" s="439">
        <f t="shared" si="424"/>
        <v>2.7524440491251081</v>
      </c>
      <c r="V736" s="439">
        <f t="shared" si="424"/>
        <v>2.9588773528094912</v>
      </c>
      <c r="W736" s="439">
        <f t="shared" si="424"/>
        <v>3.1807931542702028</v>
      </c>
      <c r="X736" s="439">
        <f t="shared" si="424"/>
        <v>3.4193526408404677</v>
      </c>
      <c r="Y736" s="439">
        <f t="shared" si="424"/>
        <v>3.6758040889035026</v>
      </c>
      <c r="Z736" s="439">
        <f t="shared" si="424"/>
        <v>3.9514893955712656</v>
      </c>
      <c r="AA736" s="439">
        <f t="shared" si="424"/>
        <v>4.2478511002391102</v>
      </c>
      <c r="AB736" s="439">
        <f t="shared" si="424"/>
        <v>4.566439932757044</v>
      </c>
      <c r="AC736" s="439">
        <f t="shared" si="424"/>
        <v>4.9089229277138218</v>
      </c>
      <c r="AD736" s="439">
        <f t="shared" si="424"/>
        <v>5.2770921472923584</v>
      </c>
      <c r="AE736" s="439">
        <f t="shared" si="424"/>
        <v>5.6728740583392847</v>
      </c>
      <c r="AF736" s="439">
        <f t="shared" si="424"/>
        <v>6.0983396127147316</v>
      </c>
      <c r="AG736" s="439">
        <f t="shared" si="424"/>
        <v>6.5557150836683347</v>
      </c>
      <c r="AH736" s="439">
        <f t="shared" si="424"/>
        <v>7.0473937149434605</v>
      </c>
      <c r="AI736" s="439">
        <f t="shared" si="424"/>
        <v>7.5759482435642198</v>
      </c>
      <c r="AJ736" s="439">
        <f t="shared" si="424"/>
        <v>8.1441443618315379</v>
      </c>
      <c r="AK736" s="439">
        <f t="shared" si="424"/>
        <v>8.7549551889689017</v>
      </c>
      <c r="AL736" s="439">
        <f t="shared" si="424"/>
        <v>9.4115768281415697</v>
      </c>
      <c r="AM736" s="439">
        <f t="shared" ref="AM736:BD736" si="425">(1 + $E$735)^(AM6-1)</f>
        <v>10.117445090252186</v>
      </c>
      <c r="AN736" s="439">
        <f t="shared" si="425"/>
        <v>10.8762534720211</v>
      </c>
      <c r="AO736" s="439">
        <f t="shared" si="425"/>
        <v>11.691972482422681</v>
      </c>
      <c r="AP736" s="439">
        <f t="shared" si="425"/>
        <v>12.568870418604382</v>
      </c>
      <c r="AQ736" s="439">
        <f t="shared" si="425"/>
        <v>13.511535699999712</v>
      </c>
      <c r="AR736" s="439">
        <f t="shared" si="425"/>
        <v>14.524900877499689</v>
      </c>
      <c r="AS736" s="439">
        <f t="shared" si="425"/>
        <v>15.614268443312165</v>
      </c>
      <c r="AT736" s="439">
        <f t="shared" si="425"/>
        <v>16.785338576560576</v>
      </c>
      <c r="AU736" s="439">
        <f t="shared" si="425"/>
        <v>18.04423896980262</v>
      </c>
      <c r="AV736" s="439">
        <f t="shared" si="425"/>
        <v>19.397556892537818</v>
      </c>
      <c r="AW736" s="439">
        <f t="shared" si="425"/>
        <v>20.85237365947815</v>
      </c>
      <c r="AX736" s="439">
        <f t="shared" si="425"/>
        <v>22.416301683939015</v>
      </c>
      <c r="AY736" s="439">
        <f t="shared" si="425"/>
        <v>24.097524310234437</v>
      </c>
      <c r="AZ736" s="439">
        <f t="shared" si="425"/>
        <v>25.904838633502024</v>
      </c>
      <c r="BA736" s="439">
        <f t="shared" si="425"/>
        <v>27.847701531014671</v>
      </c>
      <c r="BB736" s="439">
        <f t="shared" si="425"/>
        <v>29.936279145840771</v>
      </c>
      <c r="BC736" s="439">
        <f t="shared" si="425"/>
        <v>32.181500081778829</v>
      </c>
      <c r="BD736" s="439">
        <f t="shared" si="425"/>
        <v>34.59511258791224</v>
      </c>
    </row>
    <row r="737" spans="3:56" ht="15" customHeight="1">
      <c r="C737" s="20"/>
      <c r="D737" s="22"/>
      <c r="E737" s="440"/>
      <c r="G737" s="17"/>
      <c r="H737" s="17"/>
      <c r="I737" s="17"/>
      <c r="J737" s="17"/>
      <c r="K737" s="17"/>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row>
    <row r="738" spans="3:56" ht="15" customHeight="1">
      <c r="C738" s="20"/>
      <c r="D738" s="401" t="s">
        <v>606</v>
      </c>
      <c r="E738" s="18"/>
      <c r="AQ738" s="17"/>
      <c r="AR738" s="17"/>
      <c r="AS738" s="17"/>
      <c r="AT738" s="17"/>
      <c r="AU738" s="17"/>
      <c r="AV738" s="17"/>
      <c r="AW738" s="17"/>
      <c r="AX738" s="17"/>
      <c r="AY738" s="17"/>
      <c r="AZ738" s="17"/>
      <c r="BA738" s="17"/>
      <c r="BB738" s="17"/>
      <c r="BC738" s="17"/>
      <c r="BD738" s="17"/>
    </row>
    <row r="739" spans="3:56" ht="15" customHeight="1">
      <c r="C739" s="21">
        <f>SUM(G739:BD739)</f>
        <v>4668.4365154377783</v>
      </c>
      <c r="D739" s="22" t="s">
        <v>655</v>
      </c>
      <c r="E739" s="18" t="s">
        <v>333</v>
      </c>
      <c r="G739" s="17">
        <f>G414 - G512 + G327 + G330 + G388 + (G96 * (1 - (Inputs!$E$76 * Inputs!$E$77)) * (1 - (IF(Inputs!$E$46=0, Inputs!$E$44, IF(G33 &lt; Inputs!$E$46, Inputs!$E$44, Inputs!$E$45))))) - SUM(G52:G55)</f>
        <v>-20</v>
      </c>
      <c r="H739" s="17">
        <f>H414 - H512 + H327 + H330 + H388 + (H96 * (1 - (Inputs!$E$76 * Inputs!$E$77)) * (1 - (IF(Inputs!$E$46=0, Inputs!$E$44, IF(H33 &lt; Inputs!$E$46, Inputs!$E$44, Inputs!$E$45))))) - SUM(H52:H55)</f>
        <v>-20.399999999999999</v>
      </c>
      <c r="I739" s="17">
        <f>I414 - I512 + I327 + I330 + I388 + (I96 * (1 - (Inputs!$E$76 * Inputs!$E$77)) * (1 - (IF(Inputs!$E$46=0, Inputs!$E$44, IF(I33 &lt; Inputs!$E$46, Inputs!$E$44, Inputs!$E$45))))) - SUM(I52:I55)</f>
        <v>-80.956125</v>
      </c>
      <c r="J739" s="17">
        <f>J414 - J512 + J327 + J330 + J388 + (J96 * (1 - (Inputs!$E$76 * Inputs!$E$77)) * (1 - (IF(Inputs!$E$46=0, Inputs!$E$44, IF(J33 &lt; Inputs!$E$46, Inputs!$E$44, Inputs!$E$45))))) - SUM(J52:J55)</f>
        <v>-330.30098999999996</v>
      </c>
      <c r="K739" s="17">
        <f>K414 - K512 + K327 + K330 + K388 + (K96 * (1 - (Inputs!$E$76 * Inputs!$E$77)) * (1 - (IF(Inputs!$E$46=0, Inputs!$E$44, IF(K33 &lt; Inputs!$E$46, Inputs!$E$44, Inputs!$E$45))))) - SUM(K52:K55)</f>
        <v>51.203732331600037</v>
      </c>
      <c r="L739" s="17">
        <f>L414 - L512 + L327 + L330 + L388 + (L96 * (1 - (Inputs!$E$76 * Inputs!$E$77)) * (1 - (IF(Inputs!$E$46=0, Inputs!$E$44, IF(L33 &lt; Inputs!$E$46, Inputs!$E$44, Inputs!$E$45))))) - SUM(L52:L55)</f>
        <v>219.53560682736963</v>
      </c>
      <c r="M739" s="17">
        <f>M414 - M512 + M327 + M330 + M388 + (M96 * (1 - (Inputs!$E$76 * Inputs!$E$77)) * (1 - (IF(Inputs!$E$46=0, Inputs!$E$44, IF(M33 &lt; Inputs!$E$46, Inputs!$E$44, Inputs!$E$45))))) - SUM(M52:M55)</f>
        <v>208.04354082425064</v>
      </c>
      <c r="N739" s="17">
        <f>N414 - N512 + N327 + N330 + N388 + (N96 * (1 - (Inputs!$E$76 * Inputs!$E$77)) * (1 - (IF(Inputs!$E$46=0, Inputs!$E$44, IF(N33 &lt; Inputs!$E$46, Inputs!$E$44, Inputs!$E$45))))) - SUM(N52:N55)</f>
        <v>210.73019896585558</v>
      </c>
      <c r="O739" s="17">
        <f>O414 - O512 + O327 + O330 + O388 + (O96 * (1 - (Inputs!$E$76 * Inputs!$E$77)) * (1 - (IF(Inputs!$E$46=0, Inputs!$E$44, IF(O33 &lt; Inputs!$E$46, Inputs!$E$44, Inputs!$E$45))))) - SUM(O52:O55)</f>
        <v>213.53758870101268</v>
      </c>
      <c r="P739" s="17">
        <f>P414 - P512 + P327 + P330 + P388 + (P96 * (1 - (Inputs!$E$76 * Inputs!$E$77)) * (1 - (IF(Inputs!$E$46=0, Inputs!$E$44, IF(P33 &lt; Inputs!$E$46, Inputs!$E$44, Inputs!$E$45))))) - SUM(P52:P55)</f>
        <v>187.81363594159305</v>
      </c>
      <c r="Q739" s="17">
        <f>Q414 - Q512 + Q327 + Q330 + Q388 + (Q96 * (1 - (Inputs!$E$76 * Inputs!$E$77)) * (1 - (IF(Inputs!$E$46=0, Inputs!$E$44, IF(Q33 &lt; Inputs!$E$46, Inputs!$E$44, Inputs!$E$45))))) - SUM(Q52:Q55)</f>
        <v>191.56990866042497</v>
      </c>
      <c r="R739" s="17">
        <f>R414 - R512 + R327 + R330 + R388 + (R96 * (1 - (Inputs!$E$76 * Inputs!$E$77)) * (1 - (IF(Inputs!$E$46=0, Inputs!$E$44, IF(R33 &lt; Inputs!$E$46, Inputs!$E$44, Inputs!$E$45))))) - SUM(R52:R55)</f>
        <v>195.40130683363327</v>
      </c>
      <c r="S739" s="17">
        <f>S414 - S512 + S327 + S330 + S388 + (S96 * (1 - (Inputs!$E$76 * Inputs!$E$77)) * (1 - (IF(Inputs!$E$46=0, Inputs!$E$44, IF(S33 &lt; Inputs!$E$46, Inputs!$E$44, Inputs!$E$45))))) - SUM(S52:S55)</f>
        <v>199.309332970306</v>
      </c>
      <c r="T739" s="17">
        <f>T414 - T512 + T327 + T330 + T388 + (T96 * (1 - (Inputs!$E$76 * Inputs!$E$77)) * (1 - (IF(Inputs!$E$46=0, Inputs!$E$44, IF(T33 &lt; Inputs!$E$46, Inputs!$E$44, Inputs!$E$45))))) - SUM(T52:T55)</f>
        <v>203.29551962971217</v>
      </c>
      <c r="U739" s="17">
        <f>U414 - U512 + U327 + U330 + U388 + (U96 * (1 - (Inputs!$E$76 * Inputs!$E$77)) * (1 - (IF(Inputs!$E$46=0, Inputs!$E$44, IF(U33 &lt; Inputs!$E$46, Inputs!$E$44, Inputs!$E$45))))) - SUM(U52:U55)</f>
        <v>207.36143002230637</v>
      </c>
      <c r="V739" s="17">
        <f>V414 - V512 + V327 + V330 + V388 + (V96 * (1 - (Inputs!$E$76 * Inputs!$E$77)) * (1 - (IF(Inputs!$E$46=0, Inputs!$E$44, IF(V33 &lt; Inputs!$E$46, Inputs!$E$44, Inputs!$E$45))))) - SUM(V52:V55)</f>
        <v>211.50865862275248</v>
      </c>
      <c r="W739" s="17">
        <f>W414 - W512 + W327 + W330 + W388 + (W96 * (1 - (Inputs!$E$76 * Inputs!$E$77)) * (1 - (IF(Inputs!$E$46=0, Inputs!$E$44, IF(W33 &lt; Inputs!$E$46, Inputs!$E$44, Inputs!$E$45))))) - SUM(W52:W55)</f>
        <v>215.7388317952076</v>
      </c>
      <c r="X739" s="17">
        <f>X414 - X512 + X327 + X330 + X388 + (X96 * (1 - (Inputs!$E$76 * Inputs!$E$77)) * (1 - (IF(Inputs!$E$46=0, Inputs!$E$44, IF(X33 &lt; Inputs!$E$46, Inputs!$E$44, Inputs!$E$45))))) - SUM(X52:X55)</f>
        <v>220.05360843111174</v>
      </c>
      <c r="Y739" s="17">
        <f>Y414 - Y512 + Y327 + Y330 + Y388 + (Y96 * (1 - (Inputs!$E$76 * Inputs!$E$77)) * (1 - (IF(Inputs!$E$46=0, Inputs!$E$44, IF(Y33 &lt; Inputs!$E$46, Inputs!$E$44, Inputs!$E$45))))) - SUM(Y52:Y55)</f>
        <v>225.13634358153172</v>
      </c>
      <c r="Z739" s="17">
        <f>Z414 - Z512 + Z327 + Z330 + Z388 + (Z96 * (1 - (Inputs!$E$76 * Inputs!$E$77)) * (1 - (IF(Inputs!$E$46=0, Inputs!$E$44, IF(Z33 &lt; Inputs!$E$46, Inputs!$E$44, Inputs!$E$45))))) - SUM(Z52:Z55)</f>
        <v>229.64068795854288</v>
      </c>
      <c r="AA739" s="17">
        <f>AA414 - AA512 + AA327 + AA330 + AA388 + (AA96 * (1 - (Inputs!$E$76 * Inputs!$E$77)) * (1 - (IF(Inputs!$E$46=0, Inputs!$E$44, IF(AA33 &lt; Inputs!$E$46, Inputs!$E$44, Inputs!$E$45))))) - SUM(AA52:AA55)</f>
        <v>234.23721327044456</v>
      </c>
      <c r="AB739" s="17">
        <f>AB414 - AB512 + AB327 + AB330 + AB388 + (AB96 * (1 - (Inputs!$E$76 * Inputs!$E$77)) * (1 - (IF(Inputs!$E$46=0, Inputs!$E$44, IF(AB33 &lt; Inputs!$E$46, Inputs!$E$44, Inputs!$E$45))))) - SUM(AB52:AB55)</f>
        <v>238.92846952790762</v>
      </c>
      <c r="AC739" s="17">
        <f>AC414 - AC512 + AC327 + AC330 + AC388 + (AC96 * (1 - (Inputs!$E$76 * Inputs!$E$77)) * (1 - (IF(Inputs!$E$46=0, Inputs!$E$44, IF(AC33 &lt; Inputs!$E$46, Inputs!$E$44, Inputs!$E$45))))) - SUM(AC52:AC55)</f>
        <v>243.71745973424885</v>
      </c>
      <c r="AD739" s="17">
        <f>AD414 - AD512 + AD327 + AD330 + AD388 + (AD96 * (1 - (Inputs!$E$76 * Inputs!$E$77)) * (1 - (IF(Inputs!$E$46=0, Inputs!$E$44, IF(AD33 &lt; Inputs!$E$46, Inputs!$E$44, Inputs!$E$45))))) - SUM(AD52:AD55)</f>
        <v>245.90363508756923</v>
      </c>
      <c r="AE739" s="17">
        <f>AE414 - AE512 + AE327 + AE330 + AE388 + (AE96 * (1 - (Inputs!$E$76 * Inputs!$E$77)) * (1 - (IF(Inputs!$E$46=0, Inputs!$E$44, IF(AE33 &lt; Inputs!$E$46, Inputs!$E$44, Inputs!$E$45))))) - SUM(AE52:AE55)</f>
        <v>250.8472631292635</v>
      </c>
      <c r="AF739" s="17">
        <f>AF414 - AF512 + AF327 + AF330 + AF388 + (AF96 * (1 - (Inputs!$E$76 * Inputs!$E$77)) * (1 - (IF(Inputs!$E$46=0, Inputs!$E$44, IF(AF33 &lt; Inputs!$E$46, Inputs!$E$44, Inputs!$E$45))))) - SUM(AF52:AF55)</f>
        <v>255.90714904617943</v>
      </c>
      <c r="AG739" s="17">
        <f>AG414 - AG512 + AG327 + AG330 + AG388 + (AG96 * (1 - (Inputs!$E$76 * Inputs!$E$77)) * (1 - (IF(Inputs!$E$46=0, Inputs!$E$44, IF(AG33 &lt; Inputs!$E$46, Inputs!$E$44, Inputs!$E$45))))) - SUM(AG52:AG55)</f>
        <v>293.44959699094642</v>
      </c>
      <c r="AH739" s="17">
        <f>AH414 - AH512 + AH327 + AH330 + AH388 + (AH96 * (1 - (Inputs!$E$76 * Inputs!$E$77)) * (1 - (IF(Inputs!$E$46=0, Inputs!$E$44, IF(AH33 &lt; Inputs!$E$46, Inputs!$E$44, Inputs!$E$45))))) - SUM(AH52:AH55)</f>
        <v>167.22291155400796</v>
      </c>
      <c r="AI739" s="17">
        <f>AI414 - AI512 + AI327 + AI330 + AI388 + (AI96 * (1 - (Inputs!$E$76 * Inputs!$E$77)) * (1 - (IF(Inputs!$E$46=0, Inputs!$E$44, IF(AI33 &lt; Inputs!$E$46, Inputs!$E$44, Inputs!$E$45))))) - SUM(AI52:AI55)</f>
        <v>0</v>
      </c>
      <c r="AJ739" s="17">
        <f>AJ414 - AJ512 + AJ327 + AJ330 + AJ388 + (AJ96 * (1 - (Inputs!$E$76 * Inputs!$E$77)) * (1 - (IF(Inputs!$E$46=0, Inputs!$E$44, IF(AJ33 &lt; Inputs!$E$46, Inputs!$E$44, Inputs!$E$45))))) - SUM(AJ52:AJ55)</f>
        <v>0</v>
      </c>
      <c r="AK739" s="17">
        <f>AK414 - AK512 + AK327 + AK330 + AK388 + (AK96 * (1 - (Inputs!$E$76 * Inputs!$E$77)) * (1 - (IF(Inputs!$E$46=0, Inputs!$E$44, IF(AK33 &lt; Inputs!$E$46, Inputs!$E$44, Inputs!$E$45))))) - SUM(AK52:AK55)</f>
        <v>0</v>
      </c>
      <c r="AL739" s="17">
        <f>AL414 - AL512 + AL327 + AL330 + AL388 + (AL96 * (1 - (Inputs!$E$76 * Inputs!$E$77)) * (1 - (IF(Inputs!$E$46=0, Inputs!$E$44, IF(AL33 &lt; Inputs!$E$46, Inputs!$E$44, Inputs!$E$45))))) - SUM(AL52:AL55)</f>
        <v>0</v>
      </c>
      <c r="AM739" s="17">
        <f>AM414 - AM512 + AM327 + AM330 + AM388 + (AM96 * (1 - (Inputs!$E$76 * Inputs!$E$77)) * (1 - (IF(Inputs!$E$46=0, Inputs!$E$44, IF(AM33 &lt; Inputs!$E$46, Inputs!$E$44, Inputs!$E$45))))) - SUM(AM52:AM55)</f>
        <v>0</v>
      </c>
      <c r="AN739" s="17">
        <f>AN414 - AN512 + AN327 + AN330 + AN388 + (AN96 * (1 - (Inputs!$E$76 * Inputs!$E$77)) * (1 - (IF(Inputs!$E$46=0, Inputs!$E$44, IF(AN33 &lt; Inputs!$E$46, Inputs!$E$44, Inputs!$E$45))))) - SUM(AN52:AN55)</f>
        <v>0</v>
      </c>
      <c r="AO739" s="17">
        <f>AO414 - AO512 + AO327 + AO330 + AO388 + (AO96 * (1 - (Inputs!$E$76 * Inputs!$E$77)) * (1 - (IF(Inputs!$E$46=0, Inputs!$E$44, IF(AO33 &lt; Inputs!$E$46, Inputs!$E$44, Inputs!$E$45))))) - SUM(AO52:AO55)</f>
        <v>0</v>
      </c>
      <c r="AP739" s="17">
        <f>AP414 - AP512 + AP327 + AP330 + AP388 + (AP96 * (1 - (Inputs!$E$76 * Inputs!$E$77)) * (1 - (IF(Inputs!$E$46=0, Inputs!$E$44, IF(AP33 &lt; Inputs!$E$46, Inputs!$E$44, Inputs!$E$45))))) - SUM(AP52:AP55)</f>
        <v>0</v>
      </c>
      <c r="AQ739" s="17">
        <f>AQ414 - AQ512 + AQ327 + AQ330 + AQ388 + (AQ96 * (1 - (Inputs!$E$76 * Inputs!$E$77)) * (1 - (IF(Inputs!$E$46=0, Inputs!$E$44, IF(AQ33 &lt; Inputs!$E$46, Inputs!$E$44, Inputs!$E$45))))) - SUM(AQ52:AQ55)</f>
        <v>0</v>
      </c>
      <c r="AR739" s="17">
        <f>AR414 - AR512 + AR327 + AR330 + AR388 + (AR96 * (1 - (Inputs!$E$76 * Inputs!$E$77)) * (1 - (IF(Inputs!$E$46=0, Inputs!$E$44, IF(AR33 &lt; Inputs!$E$46, Inputs!$E$44, Inputs!$E$45))))) - SUM(AR52:AR55)</f>
        <v>0</v>
      </c>
      <c r="AS739" s="17">
        <f>AS414 - AS512 + AS327 + AS330 + AS388 + (AS96 * (1 - (Inputs!$E$76 * Inputs!$E$77)) * (1 - (IF(Inputs!$E$46=0, Inputs!$E$44, IF(AS33 &lt; Inputs!$E$46, Inputs!$E$44, Inputs!$E$45))))) - SUM(AS52:AS55)</f>
        <v>0</v>
      </c>
      <c r="AT739" s="17">
        <f>AT414 - AT512 + AT327 + AT330 + AT388 + (AT96 * (1 - (Inputs!$E$76 * Inputs!$E$77)) * (1 - (IF(Inputs!$E$46=0, Inputs!$E$44, IF(AT33 &lt; Inputs!$E$46, Inputs!$E$44, Inputs!$E$45))))) - SUM(AT52:AT55)</f>
        <v>0</v>
      </c>
      <c r="AU739" s="17">
        <f>AU414 - AU512 + AU327 + AU330 + AU388 + (AU96 * (1 - (Inputs!$E$76 * Inputs!$E$77)) * (1 - (IF(Inputs!$E$46=0, Inputs!$E$44, IF(AU33 &lt; Inputs!$E$46, Inputs!$E$44, Inputs!$E$45))))) - SUM(AU52:AU55)</f>
        <v>0</v>
      </c>
      <c r="AV739" s="17">
        <f>AV414 - AV512 + AV327 + AV330 + AV388 + (AV96 * (1 - (Inputs!$E$76 * Inputs!$E$77)) * (1 - (IF(Inputs!$E$46=0, Inputs!$E$44, IF(AV33 &lt; Inputs!$E$46, Inputs!$E$44, Inputs!$E$45))))) - SUM(AV52:AV55)</f>
        <v>0</v>
      </c>
      <c r="AW739" s="17">
        <f>AW414 - AW512 + AW327 + AW330 + AW388 + (AW96 * (1 - (Inputs!$E$76 * Inputs!$E$77)) * (1 - (IF(Inputs!$E$46=0, Inputs!$E$44, IF(AW33 &lt; Inputs!$E$46, Inputs!$E$44, Inputs!$E$45))))) - SUM(AW52:AW55)</f>
        <v>0</v>
      </c>
      <c r="AX739" s="17">
        <f>AX414 - AX512 + AX327 + AX330 + AX388 + (AX96 * (1 - (Inputs!$E$76 * Inputs!$E$77)) * (1 - (IF(Inputs!$E$46=0, Inputs!$E$44, IF(AX33 &lt; Inputs!$E$46, Inputs!$E$44, Inputs!$E$45))))) - SUM(AX52:AX55)</f>
        <v>0</v>
      </c>
      <c r="AY739" s="17">
        <f>AY414 - AY512 + AY327 + AY330 + AY388 + (AY96 * (1 - (Inputs!$E$76 * Inputs!$E$77)) * (1 - (IF(Inputs!$E$46=0, Inputs!$E$44, IF(AY33 &lt; Inputs!$E$46, Inputs!$E$44, Inputs!$E$45))))) - SUM(AY52:AY55)</f>
        <v>0</v>
      </c>
      <c r="AZ739" s="17">
        <f>AZ414 - AZ512 + AZ327 + AZ330 + AZ388 + (AZ96 * (1 - (Inputs!$E$76 * Inputs!$E$77)) * (1 - (IF(Inputs!$E$46=0, Inputs!$E$44, IF(AZ33 &lt; Inputs!$E$46, Inputs!$E$44, Inputs!$E$45))))) - SUM(AZ52:AZ55)</f>
        <v>0</v>
      </c>
      <c r="BA739" s="17">
        <f>BA414 - BA512 + BA327 + BA330 + BA388 + (BA96 * (1 - (Inputs!$E$76 * Inputs!$E$77)) * (1 - (IF(Inputs!$E$46=0, Inputs!$E$44, IF(BA33 &lt; Inputs!$E$46, Inputs!$E$44, Inputs!$E$45))))) - SUM(BA52:BA55)</f>
        <v>0</v>
      </c>
      <c r="BB739" s="17">
        <f>BB414 - BB512 + BB327 + BB330 + BB388 + (BB96 * (1 - (Inputs!$E$76 * Inputs!$E$77)) * (1 - (IF(Inputs!$E$46=0, Inputs!$E$44, IF(BB33 &lt; Inputs!$E$46, Inputs!$E$44, Inputs!$E$45))))) - SUM(BB52:BB55)</f>
        <v>0</v>
      </c>
      <c r="BC739" s="17">
        <f>BC414 - BC512 + BC327 + BC330 + BC388 + (BC96 * (1 - (Inputs!$E$76 * Inputs!$E$77)) * (1 - (IF(Inputs!$E$46=0, Inputs!$E$44, IF(BC33 &lt; Inputs!$E$46, Inputs!$E$44, Inputs!$E$45))))) - SUM(BC52:BC55)</f>
        <v>0</v>
      </c>
      <c r="BD739" s="17">
        <f>BD414 - BD512 + BD327 + BD330 + BD388 + (BD96 * (1 - (Inputs!$E$76 * Inputs!$E$77)) * (1 - (IF(Inputs!$E$46=0, Inputs!$E$44, IF(BD33 &lt; Inputs!$E$46, Inputs!$E$44, Inputs!$E$45))))) - SUM(BD52:BD55)</f>
        <v>0</v>
      </c>
    </row>
    <row r="740" spans="3:56" ht="15" customHeight="1">
      <c r="C740" s="21">
        <f t="shared" ref="C740:C741" si="426">SUM(G740:BD740)</f>
        <v>1396.8353207724858</v>
      </c>
      <c r="D740" s="22" t="str">
        <f>"Free cash flow NPV"&amp;$E$735*100</f>
        <v>Free cash flow NPV7.5</v>
      </c>
      <c r="E740" s="18" t="s">
        <v>333</v>
      </c>
      <c r="G740" s="17">
        <f t="shared" ref="G740:AL740" si="427">G$739/G736</f>
        <v>-20</v>
      </c>
      <c r="H740" s="17">
        <f t="shared" si="427"/>
        <v>-18.97674418604651</v>
      </c>
      <c r="I740" s="17">
        <f t="shared" si="427"/>
        <v>-70.053975121687401</v>
      </c>
      <c r="J740" s="17">
        <f t="shared" si="427"/>
        <v>-265.87927301998565</v>
      </c>
      <c r="K740" s="17">
        <f t="shared" si="427"/>
        <v>38.341381896429802</v>
      </c>
      <c r="L740" s="17">
        <f t="shared" si="427"/>
        <v>152.91942204382542</v>
      </c>
      <c r="M740" s="17">
        <f t="shared" si="427"/>
        <v>134.80420861936335</v>
      </c>
      <c r="N740" s="17">
        <f t="shared" si="427"/>
        <v>127.01866019385548</v>
      </c>
      <c r="O740" s="17">
        <f t="shared" si="427"/>
        <v>119.73100289809473</v>
      </c>
      <c r="P740" s="17">
        <f t="shared" si="427"/>
        <v>97.960488496913811</v>
      </c>
      <c r="Q740" s="17">
        <f t="shared" si="427"/>
        <v>92.948556527304319</v>
      </c>
      <c r="R740" s="17">
        <f t="shared" si="427"/>
        <v>88.193048984046783</v>
      </c>
      <c r="S740" s="17">
        <f t="shared" si="427"/>
        <v>83.680846477886291</v>
      </c>
      <c r="T740" s="17">
        <f t="shared" si="427"/>
        <v>79.399500844133982</v>
      </c>
      <c r="U740" s="17">
        <f t="shared" si="427"/>
        <v>75.337200800945723</v>
      </c>
      <c r="V740" s="17">
        <f t="shared" si="427"/>
        <v>71.482739364618254</v>
      </c>
      <c r="W740" s="17">
        <f t="shared" si="427"/>
        <v>67.825482932009905</v>
      </c>
      <c r="X740" s="17">
        <f t="shared" si="427"/>
        <v>64.355341944790794</v>
      </c>
      <c r="Y740" s="17">
        <f t="shared" si="427"/>
        <v>61.248189004732893</v>
      </c>
      <c r="Z740" s="17">
        <f t="shared" si="427"/>
        <v>58.114970070758297</v>
      </c>
      <c r="AA740" s="17">
        <f t="shared" si="427"/>
        <v>55.142519768939032</v>
      </c>
      <c r="AB740" s="17">
        <f t="shared" si="427"/>
        <v>52.32270062592319</v>
      </c>
      <c r="AC740" s="17">
        <f t="shared" si="427"/>
        <v>49.647848076472584</v>
      </c>
      <c r="AD740" s="17">
        <f t="shared" si="427"/>
        <v>46.598321239044644</v>
      </c>
      <c r="AE740" s="17">
        <f t="shared" si="427"/>
        <v>44.218725913809237</v>
      </c>
      <c r="AF740" s="17">
        <f t="shared" si="427"/>
        <v>41.963413863115441</v>
      </c>
      <c r="AG740" s="17">
        <f t="shared" si="427"/>
        <v>44.762408561957045</v>
      </c>
      <c r="AH740" s="17">
        <f t="shared" si="427"/>
        <v>23.728333951234276</v>
      </c>
      <c r="AI740" s="17">
        <f t="shared" si="427"/>
        <v>0</v>
      </c>
      <c r="AJ740" s="17">
        <f t="shared" si="427"/>
        <v>0</v>
      </c>
      <c r="AK740" s="17">
        <f t="shared" si="427"/>
        <v>0</v>
      </c>
      <c r="AL740" s="17">
        <f t="shared" si="427"/>
        <v>0</v>
      </c>
      <c r="AM740" s="17">
        <f t="shared" ref="AM740:BD740" si="428">AM$739/AM736</f>
        <v>0</v>
      </c>
      <c r="AN740" s="17">
        <f t="shared" si="428"/>
        <v>0</v>
      </c>
      <c r="AO740" s="17">
        <f t="shared" si="428"/>
        <v>0</v>
      </c>
      <c r="AP740" s="17">
        <f t="shared" si="428"/>
        <v>0</v>
      </c>
      <c r="AQ740" s="17">
        <f t="shared" si="428"/>
        <v>0</v>
      </c>
      <c r="AR740" s="17">
        <f t="shared" si="428"/>
        <v>0</v>
      </c>
      <c r="AS740" s="17">
        <f t="shared" si="428"/>
        <v>0</v>
      </c>
      <c r="AT740" s="17">
        <f t="shared" si="428"/>
        <v>0</v>
      </c>
      <c r="AU740" s="17">
        <f t="shared" si="428"/>
        <v>0</v>
      </c>
      <c r="AV740" s="17">
        <f t="shared" si="428"/>
        <v>0</v>
      </c>
      <c r="AW740" s="17">
        <f t="shared" si="428"/>
        <v>0</v>
      </c>
      <c r="AX740" s="17">
        <f t="shared" si="428"/>
        <v>0</v>
      </c>
      <c r="AY740" s="17">
        <f t="shared" si="428"/>
        <v>0</v>
      </c>
      <c r="AZ740" s="17">
        <f t="shared" si="428"/>
        <v>0</v>
      </c>
      <c r="BA740" s="17">
        <f t="shared" si="428"/>
        <v>0</v>
      </c>
      <c r="BB740" s="17">
        <f t="shared" si="428"/>
        <v>0</v>
      </c>
      <c r="BC740" s="17">
        <f t="shared" si="428"/>
        <v>0</v>
      </c>
      <c r="BD740" s="17">
        <f t="shared" si="428"/>
        <v>0</v>
      </c>
    </row>
    <row r="741" spans="3:56" ht="15" customHeight="1">
      <c r="C741" s="21">
        <f t="shared" si="426"/>
        <v>47613.779011179933</v>
      </c>
      <c r="D741" s="22" t="str">
        <f>"Cumulative free cash flow NPV"&amp;$E$735*100</f>
        <v>Cumulative free cash flow NPV7.5</v>
      </c>
      <c r="E741" s="18" t="s">
        <v>333</v>
      </c>
      <c r="G741" s="17">
        <f>SUM($G740:G$740)</f>
        <v>-20</v>
      </c>
      <c r="H741" s="17">
        <f>SUM($G740:H$740)</f>
        <v>-38.97674418604651</v>
      </c>
      <c r="I741" s="17">
        <f>SUM($G740:I$740)</f>
        <v>-109.0307193077339</v>
      </c>
      <c r="J741" s="17">
        <f>SUM($G740:J$740)</f>
        <v>-374.90999232771958</v>
      </c>
      <c r="K741" s="17">
        <f>SUM($G740:K$740)</f>
        <v>-336.56861043128976</v>
      </c>
      <c r="L741" s="17">
        <f>SUM($G740:L$740)</f>
        <v>-183.64918838746433</v>
      </c>
      <c r="M741" s="17">
        <f>SUM($G740:M$740)</f>
        <v>-48.844979768100984</v>
      </c>
      <c r="N741" s="17">
        <f>SUM($G740:N$740)</f>
        <v>78.173680425754497</v>
      </c>
      <c r="O741" s="17">
        <f>SUM($G740:O$740)</f>
        <v>197.90468332384921</v>
      </c>
      <c r="P741" s="17">
        <f>SUM($G740:P$740)</f>
        <v>295.86517182076301</v>
      </c>
      <c r="Q741" s="17">
        <f>SUM($G740:Q$740)</f>
        <v>388.81372834806734</v>
      </c>
      <c r="R741" s="17">
        <f>SUM($G740:R$740)</f>
        <v>477.0067773321141</v>
      </c>
      <c r="S741" s="17">
        <f>SUM($G740:S$740)</f>
        <v>560.68762381000033</v>
      </c>
      <c r="T741" s="17">
        <f>SUM($G740:T$740)</f>
        <v>640.0871246541343</v>
      </c>
      <c r="U741" s="17">
        <f>SUM($G740:U$740)</f>
        <v>715.42432545508007</v>
      </c>
      <c r="V741" s="17">
        <f>SUM($G740:V$740)</f>
        <v>786.90706481969835</v>
      </c>
      <c r="W741" s="17">
        <f>SUM($G740:W$740)</f>
        <v>854.73254775170824</v>
      </c>
      <c r="X741" s="17">
        <f>SUM($G740:X$740)</f>
        <v>919.08788969649902</v>
      </c>
      <c r="Y741" s="17">
        <f>SUM($G740:Y$740)</f>
        <v>980.33607870123194</v>
      </c>
      <c r="Z741" s="17">
        <f>SUM($G740:Z$740)</f>
        <v>1038.4510487719901</v>
      </c>
      <c r="AA741" s="17">
        <f>SUM($G740:AA$740)</f>
        <v>1093.5935685409293</v>
      </c>
      <c r="AB741" s="17">
        <f>SUM($G740:AB$740)</f>
        <v>1145.9162691668525</v>
      </c>
      <c r="AC741" s="17">
        <f>SUM($G740:AC$740)</f>
        <v>1195.5641172433252</v>
      </c>
      <c r="AD741" s="17">
        <f>SUM($G740:AD$740)</f>
        <v>1242.1624384823699</v>
      </c>
      <c r="AE741" s="17">
        <f>SUM($G740:AE$740)</f>
        <v>1286.3811643961792</v>
      </c>
      <c r="AF741" s="17">
        <f>SUM($G740:AF$740)</f>
        <v>1328.3445782592946</v>
      </c>
      <c r="AG741" s="17">
        <f>SUM($G740:AG$740)</f>
        <v>1373.1069868212517</v>
      </c>
      <c r="AH741" s="17">
        <f>SUM($G740:AH$740)</f>
        <v>1396.8353207724858</v>
      </c>
      <c r="AI741" s="17">
        <f>SUM($G740:AI$740)</f>
        <v>1396.8353207724858</v>
      </c>
      <c r="AJ741" s="17">
        <f>SUM($G740:AJ$740)</f>
        <v>1396.8353207724858</v>
      </c>
      <c r="AK741" s="17">
        <f>SUM($G740:AK$740)</f>
        <v>1396.8353207724858</v>
      </c>
      <c r="AL741" s="17">
        <f>SUM($G740:AL$740)</f>
        <v>1396.8353207724858</v>
      </c>
      <c r="AM741" s="17">
        <f>SUM($G740:AM$740)</f>
        <v>1396.8353207724858</v>
      </c>
      <c r="AN741" s="17">
        <f>SUM($G740:AN$740)</f>
        <v>1396.8353207724858</v>
      </c>
      <c r="AO741" s="17">
        <f>SUM($G740:AO$740)</f>
        <v>1396.8353207724858</v>
      </c>
      <c r="AP741" s="17">
        <f>SUM($G740:AP$740)</f>
        <v>1396.8353207724858</v>
      </c>
      <c r="AQ741" s="17">
        <f>SUM($G740:AQ$740)</f>
        <v>1396.8353207724858</v>
      </c>
      <c r="AR741" s="17">
        <f>SUM($G740:AR$740)</f>
        <v>1396.8353207724858</v>
      </c>
      <c r="AS741" s="17">
        <f>SUM($G740:AS$740)</f>
        <v>1396.8353207724858</v>
      </c>
      <c r="AT741" s="17">
        <f>SUM($G740:AT$740)</f>
        <v>1396.8353207724858</v>
      </c>
      <c r="AU741" s="17">
        <f>SUM($G740:AU$740)</f>
        <v>1396.8353207724858</v>
      </c>
      <c r="AV741" s="17">
        <f>SUM($G740:AV$740)</f>
        <v>1396.8353207724858</v>
      </c>
      <c r="AW741" s="17">
        <f>SUM($G740:AW$740)</f>
        <v>1396.8353207724858</v>
      </c>
      <c r="AX741" s="17">
        <f>SUM($G740:AX$740)</f>
        <v>1396.8353207724858</v>
      </c>
      <c r="AY741" s="17">
        <f>SUM($G740:AY$740)</f>
        <v>1396.8353207724858</v>
      </c>
      <c r="AZ741" s="17">
        <f>SUM($G740:AZ$740)</f>
        <v>1396.8353207724858</v>
      </c>
      <c r="BA741" s="17">
        <f>SUM($G740:BA$740)</f>
        <v>1396.8353207724858</v>
      </c>
      <c r="BB741" s="17">
        <f>SUM($G740:BB$740)</f>
        <v>1396.8353207724858</v>
      </c>
      <c r="BC741" s="17">
        <f>SUM($G740:BC$740)</f>
        <v>1396.8353207724858</v>
      </c>
      <c r="BD741" s="17">
        <f>SUM($G740:BD$740)</f>
        <v>1396.8353207724858</v>
      </c>
    </row>
    <row r="742" spans="3:56" ht="15" customHeight="1">
      <c r="C742" s="20"/>
      <c r="D742" s="22" t="str">
        <f>"Positive cumulative free cash flow NPV"&amp;$E$735*100</f>
        <v>Positive cumulative free cash flow NPV7.5</v>
      </c>
      <c r="E742" s="159" t="s">
        <v>427</v>
      </c>
      <c r="G742" s="21">
        <f t="shared" ref="G742:AL742" si="429">(SUM(G741:G741) &gt; 0) * 1</f>
        <v>0</v>
      </c>
      <c r="H742" s="21">
        <f t="shared" si="429"/>
        <v>0</v>
      </c>
      <c r="I742" s="21">
        <f t="shared" si="429"/>
        <v>0</v>
      </c>
      <c r="J742" s="21">
        <f t="shared" si="429"/>
        <v>0</v>
      </c>
      <c r="K742" s="21">
        <f t="shared" si="429"/>
        <v>0</v>
      </c>
      <c r="L742" s="21">
        <f t="shared" si="429"/>
        <v>0</v>
      </c>
      <c r="M742" s="21">
        <f t="shared" si="429"/>
        <v>0</v>
      </c>
      <c r="N742" s="21">
        <f t="shared" si="429"/>
        <v>1</v>
      </c>
      <c r="O742" s="21">
        <f t="shared" si="429"/>
        <v>1</v>
      </c>
      <c r="P742" s="21">
        <f t="shared" si="429"/>
        <v>1</v>
      </c>
      <c r="Q742" s="21">
        <f t="shared" si="429"/>
        <v>1</v>
      </c>
      <c r="R742" s="21">
        <f t="shared" si="429"/>
        <v>1</v>
      </c>
      <c r="S742" s="21">
        <f t="shared" si="429"/>
        <v>1</v>
      </c>
      <c r="T742" s="21">
        <f t="shared" si="429"/>
        <v>1</v>
      </c>
      <c r="U742" s="21">
        <f t="shared" si="429"/>
        <v>1</v>
      </c>
      <c r="V742" s="21">
        <f t="shared" si="429"/>
        <v>1</v>
      </c>
      <c r="W742" s="21">
        <f t="shared" si="429"/>
        <v>1</v>
      </c>
      <c r="X742" s="21">
        <f t="shared" si="429"/>
        <v>1</v>
      </c>
      <c r="Y742" s="21">
        <f t="shared" si="429"/>
        <v>1</v>
      </c>
      <c r="Z742" s="21">
        <f t="shared" si="429"/>
        <v>1</v>
      </c>
      <c r="AA742" s="21">
        <f t="shared" si="429"/>
        <v>1</v>
      </c>
      <c r="AB742" s="21">
        <f t="shared" si="429"/>
        <v>1</v>
      </c>
      <c r="AC742" s="21">
        <f t="shared" si="429"/>
        <v>1</v>
      </c>
      <c r="AD742" s="21">
        <f t="shared" si="429"/>
        <v>1</v>
      </c>
      <c r="AE742" s="21">
        <f t="shared" si="429"/>
        <v>1</v>
      </c>
      <c r="AF742" s="21">
        <f t="shared" si="429"/>
        <v>1</v>
      </c>
      <c r="AG742" s="21">
        <f t="shared" si="429"/>
        <v>1</v>
      </c>
      <c r="AH742" s="21">
        <f t="shared" si="429"/>
        <v>1</v>
      </c>
      <c r="AI742" s="21">
        <f t="shared" si="429"/>
        <v>1</v>
      </c>
      <c r="AJ742" s="21">
        <f t="shared" si="429"/>
        <v>1</v>
      </c>
      <c r="AK742" s="21">
        <f t="shared" si="429"/>
        <v>1</v>
      </c>
      <c r="AL742" s="21">
        <f t="shared" si="429"/>
        <v>1</v>
      </c>
      <c r="AM742" s="21">
        <f t="shared" ref="AM742:BD742" si="430">(SUM(AM741:AM741) &gt; 0) * 1</f>
        <v>1</v>
      </c>
      <c r="AN742" s="21">
        <f t="shared" si="430"/>
        <v>1</v>
      </c>
      <c r="AO742" s="21">
        <f t="shared" si="430"/>
        <v>1</v>
      </c>
      <c r="AP742" s="21">
        <f t="shared" si="430"/>
        <v>1</v>
      </c>
      <c r="AQ742" s="21">
        <f t="shared" si="430"/>
        <v>1</v>
      </c>
      <c r="AR742" s="21">
        <f t="shared" si="430"/>
        <v>1</v>
      </c>
      <c r="AS742" s="21">
        <f t="shared" si="430"/>
        <v>1</v>
      </c>
      <c r="AT742" s="21">
        <f t="shared" si="430"/>
        <v>1</v>
      </c>
      <c r="AU742" s="21">
        <f t="shared" si="430"/>
        <v>1</v>
      </c>
      <c r="AV742" s="21">
        <f t="shared" si="430"/>
        <v>1</v>
      </c>
      <c r="AW742" s="21">
        <f t="shared" si="430"/>
        <v>1</v>
      </c>
      <c r="AX742" s="21">
        <f t="shared" si="430"/>
        <v>1</v>
      </c>
      <c r="AY742" s="21">
        <f t="shared" si="430"/>
        <v>1</v>
      </c>
      <c r="AZ742" s="21">
        <f t="shared" si="430"/>
        <v>1</v>
      </c>
      <c r="BA742" s="21">
        <f t="shared" si="430"/>
        <v>1</v>
      </c>
      <c r="BB742" s="21">
        <f t="shared" si="430"/>
        <v>1</v>
      </c>
      <c r="BC742" s="21">
        <f t="shared" si="430"/>
        <v>1</v>
      </c>
      <c r="BD742" s="21">
        <f t="shared" si="430"/>
        <v>1</v>
      </c>
    </row>
    <row r="743" spans="3:56" ht="15" customHeight="1">
      <c r="C743" s="20"/>
      <c r="D743" s="22" t="s">
        <v>609</v>
      </c>
      <c r="E743" s="159">
        <f>IF(SUMPRODUCT(G743:BD743,G31:BD31) &gt; 0, SUMPRODUCT(G743:BD743,G31:BD31), 51)</f>
        <v>8</v>
      </c>
      <c r="G743" s="21">
        <f>IF(AND(G742 = 1, SUM($F$742:F742) = 0), 1, 0)</f>
        <v>0</v>
      </c>
      <c r="H743" s="21">
        <f>IF(AND(H742 = 1, SUM($F$742:G742) = 0), 1, 0)</f>
        <v>0</v>
      </c>
      <c r="I743" s="21">
        <f>IF(AND(I742 = 1, SUM($F$742:H742) = 0), 1, 0)</f>
        <v>0</v>
      </c>
      <c r="J743" s="21">
        <f>IF(AND(J742 = 1, SUM($F$742:I742) = 0), 1, 0)</f>
        <v>0</v>
      </c>
      <c r="K743" s="21">
        <f>IF(AND(K742 = 1, SUM($F$742:J742) = 0), 1, 0)</f>
        <v>0</v>
      </c>
      <c r="L743" s="21">
        <f>IF(AND(L742 = 1, SUM($F$742:K742) = 0), 1, 0)</f>
        <v>0</v>
      </c>
      <c r="M743" s="21">
        <f>IF(AND(M742 = 1, SUM($F$742:L742) = 0), 1, 0)</f>
        <v>0</v>
      </c>
      <c r="N743" s="21">
        <f>IF(AND(N742 = 1, SUM($F$742:M742) = 0), 1, 0)</f>
        <v>1</v>
      </c>
      <c r="O743" s="21">
        <f>IF(AND(O742 = 1, SUM($F$742:N742) = 0), 1, 0)</f>
        <v>0</v>
      </c>
      <c r="P743" s="21">
        <f>IF(AND(P742 = 1, SUM($F$742:O742) = 0), 1, 0)</f>
        <v>0</v>
      </c>
      <c r="Q743" s="21">
        <f>IF(AND(Q742 = 1, SUM($F$742:P742) = 0), 1, 0)</f>
        <v>0</v>
      </c>
      <c r="R743" s="21">
        <f>IF(AND(R742 = 1, SUM($F$742:Q742) = 0), 1, 0)</f>
        <v>0</v>
      </c>
      <c r="S743" s="21">
        <f>IF(AND(S742 = 1, SUM($F$742:R742) = 0), 1, 0)</f>
        <v>0</v>
      </c>
      <c r="T743" s="21">
        <f>IF(AND(T742 = 1, SUM($F$742:S742) = 0), 1, 0)</f>
        <v>0</v>
      </c>
      <c r="U743" s="21">
        <f>IF(AND(U742 = 1, SUM($F$742:T742) = 0), 1, 0)</f>
        <v>0</v>
      </c>
      <c r="V743" s="21">
        <f>IF(AND(V742 = 1, SUM($F$742:U742) = 0), 1, 0)</f>
        <v>0</v>
      </c>
      <c r="W743" s="21">
        <f>IF(AND(W742 = 1, SUM($F$742:V742) = 0), 1, 0)</f>
        <v>0</v>
      </c>
      <c r="X743" s="21">
        <f>IF(AND(X742 = 1, SUM($F$742:W742) = 0), 1, 0)</f>
        <v>0</v>
      </c>
      <c r="Y743" s="21">
        <f>IF(AND(Y742 = 1, SUM($F$742:X742) = 0), 1, 0)</f>
        <v>0</v>
      </c>
      <c r="Z743" s="21">
        <f>IF(AND(Z742 = 1, SUM($F$742:Y742) = 0), 1, 0)</f>
        <v>0</v>
      </c>
      <c r="AA743" s="21">
        <f>IF(AND(AA742 = 1, SUM($F$742:Z742) = 0), 1, 0)</f>
        <v>0</v>
      </c>
      <c r="AB743" s="21">
        <f>IF(AND(AB742 = 1, SUM($F$742:AA742) = 0), 1, 0)</f>
        <v>0</v>
      </c>
      <c r="AC743" s="21">
        <f>IF(AND(AC742 = 1, SUM($F$742:AB742) = 0), 1, 0)</f>
        <v>0</v>
      </c>
      <c r="AD743" s="21">
        <f>IF(AND(AD742 = 1, SUM($F$742:AC742) = 0), 1, 0)</f>
        <v>0</v>
      </c>
      <c r="AE743" s="21">
        <f>IF(AND(AE742 = 1, SUM($F$742:AD742) = 0), 1, 0)</f>
        <v>0</v>
      </c>
      <c r="AF743" s="21">
        <f>IF(AND(AF742 = 1, SUM($F$742:AE742) = 0), 1, 0)</f>
        <v>0</v>
      </c>
      <c r="AG743" s="21">
        <f>IF(AND(AG742 = 1, SUM($F$742:AF742) = 0), 1, 0)</f>
        <v>0</v>
      </c>
      <c r="AH743" s="21">
        <f>IF(AND(AH742 = 1, SUM($F$742:AG742) = 0), 1, 0)</f>
        <v>0</v>
      </c>
      <c r="AI743" s="21">
        <f>IF(AND(AI742 = 1, SUM($F$742:AH742) = 0), 1, 0)</f>
        <v>0</v>
      </c>
      <c r="AJ743" s="21">
        <f>IF(AND(AJ742 = 1, SUM($F$742:AI742) = 0), 1, 0)</f>
        <v>0</v>
      </c>
      <c r="AK743" s="21">
        <f>IF(AND(AK742 = 1, SUM($F$742:AJ742) = 0), 1, 0)</f>
        <v>0</v>
      </c>
      <c r="AL743" s="21">
        <f>IF(AND(AL742 = 1, SUM($F$742:AK742) = 0), 1, 0)</f>
        <v>0</v>
      </c>
      <c r="AM743" s="21">
        <f>IF(AND(AM742 = 1, SUM($F$742:AL742) = 0), 1, 0)</f>
        <v>0</v>
      </c>
      <c r="AN743" s="21">
        <f>IF(AND(AN742 = 1, SUM($F$742:AM742) = 0), 1, 0)</f>
        <v>0</v>
      </c>
      <c r="AO743" s="21">
        <f>IF(AND(AO742 = 1, SUM($F$742:AN742) = 0), 1, 0)</f>
        <v>0</v>
      </c>
      <c r="AP743" s="21">
        <f>IF(AND(AP742 = 1, SUM($F$742:AO742) = 0), 1, 0)</f>
        <v>0</v>
      </c>
      <c r="AQ743" s="21">
        <f>IF(AND(AQ742 = 1, SUM($F$742:AP742) = 0), 1, 0)</f>
        <v>0</v>
      </c>
      <c r="AR743" s="21">
        <f>IF(AND(AR742 = 1, SUM($F$742:AQ742) = 0), 1, 0)</f>
        <v>0</v>
      </c>
      <c r="AS743" s="21">
        <f>IF(AND(AS742 = 1, SUM($F$742:AR742) = 0), 1, 0)</f>
        <v>0</v>
      </c>
      <c r="AT743" s="21">
        <f>IF(AND(AT742 = 1, SUM($F$742:AS742) = 0), 1, 0)</f>
        <v>0</v>
      </c>
      <c r="AU743" s="21">
        <f>IF(AND(AU742 = 1, SUM($F$742:AT742) = 0), 1, 0)</f>
        <v>0</v>
      </c>
      <c r="AV743" s="21">
        <f>IF(AND(AV742 = 1, SUM($F$742:AU742) = 0), 1, 0)</f>
        <v>0</v>
      </c>
      <c r="AW743" s="21">
        <f>IF(AND(AW742 = 1, SUM($F$742:AV742) = 0), 1, 0)</f>
        <v>0</v>
      </c>
      <c r="AX743" s="21">
        <f>IF(AND(AX742 = 1, SUM($F$742:AW742) = 0), 1, 0)</f>
        <v>0</v>
      </c>
      <c r="AY743" s="21">
        <f>IF(AND(AY742 = 1, SUM($F$742:AX742) = 0), 1, 0)</f>
        <v>0</v>
      </c>
      <c r="AZ743" s="21">
        <f>IF(AND(AZ742 = 1, SUM($F$742:AY742) = 0), 1, 0)</f>
        <v>0</v>
      </c>
      <c r="BA743" s="21">
        <f>IF(AND(BA742 = 1, SUM($F$742:AZ742) = 0), 1, 0)</f>
        <v>0</v>
      </c>
      <c r="BB743" s="21">
        <f>IF(AND(BB742 = 1, SUM($F$742:BA742) = 0), 1, 0)</f>
        <v>0</v>
      </c>
      <c r="BC743" s="21">
        <f>IF(AND(BC742 = 1, SUM($F$742:BB742) = 0), 1, 0)</f>
        <v>0</v>
      </c>
      <c r="BD743" s="21">
        <f>IF(AND(BD742 = 1, SUM($F$742:BC742) = 0), 1, 0)</f>
        <v>0</v>
      </c>
    </row>
    <row r="744" spans="3:56" ht="15" customHeight="1">
      <c r="C744" s="20"/>
      <c r="D744" s="22" t="s">
        <v>610</v>
      </c>
      <c r="E744" s="18" t="s">
        <v>427</v>
      </c>
      <c r="G744" s="21">
        <f t="shared" ref="G744:AL744" si="431">IF(AND(G31 &gt;= $E$743, G31 &lt;= $C$36), 1, 0)</f>
        <v>0</v>
      </c>
      <c r="H744" s="21">
        <f t="shared" si="431"/>
        <v>0</v>
      </c>
      <c r="I744" s="21">
        <f t="shared" si="431"/>
        <v>0</v>
      </c>
      <c r="J744" s="21">
        <f t="shared" si="431"/>
        <v>0</v>
      </c>
      <c r="K744" s="21">
        <f t="shared" si="431"/>
        <v>0</v>
      </c>
      <c r="L744" s="21">
        <f t="shared" si="431"/>
        <v>0</v>
      </c>
      <c r="M744" s="21">
        <f t="shared" si="431"/>
        <v>0</v>
      </c>
      <c r="N744" s="21">
        <f t="shared" si="431"/>
        <v>1</v>
      </c>
      <c r="O744" s="21">
        <f t="shared" si="431"/>
        <v>1</v>
      </c>
      <c r="P744" s="21">
        <f t="shared" si="431"/>
        <v>1</v>
      </c>
      <c r="Q744" s="21">
        <f t="shared" si="431"/>
        <v>1</v>
      </c>
      <c r="R744" s="21">
        <f t="shared" si="431"/>
        <v>1</v>
      </c>
      <c r="S744" s="21">
        <f t="shared" si="431"/>
        <v>1</v>
      </c>
      <c r="T744" s="21">
        <f t="shared" si="431"/>
        <v>1</v>
      </c>
      <c r="U744" s="21">
        <f t="shared" si="431"/>
        <v>1</v>
      </c>
      <c r="V744" s="21">
        <f t="shared" si="431"/>
        <v>1</v>
      </c>
      <c r="W744" s="21">
        <f t="shared" si="431"/>
        <v>1</v>
      </c>
      <c r="X744" s="21">
        <f t="shared" si="431"/>
        <v>1</v>
      </c>
      <c r="Y744" s="21">
        <f t="shared" si="431"/>
        <v>1</v>
      </c>
      <c r="Z744" s="21">
        <f t="shared" si="431"/>
        <v>1</v>
      </c>
      <c r="AA744" s="21">
        <f t="shared" si="431"/>
        <v>1</v>
      </c>
      <c r="AB744" s="21">
        <f t="shared" si="431"/>
        <v>1</v>
      </c>
      <c r="AC744" s="21">
        <f t="shared" si="431"/>
        <v>1</v>
      </c>
      <c r="AD744" s="21">
        <f t="shared" si="431"/>
        <v>1</v>
      </c>
      <c r="AE744" s="21">
        <f t="shared" si="431"/>
        <v>1</v>
      </c>
      <c r="AF744" s="21">
        <f t="shared" si="431"/>
        <v>1</v>
      </c>
      <c r="AG744" s="21">
        <f t="shared" si="431"/>
        <v>1</v>
      </c>
      <c r="AH744" s="21">
        <f t="shared" si="431"/>
        <v>1</v>
      </c>
      <c r="AI744" s="21">
        <f t="shared" si="431"/>
        <v>0</v>
      </c>
      <c r="AJ744" s="21">
        <f t="shared" si="431"/>
        <v>0</v>
      </c>
      <c r="AK744" s="21">
        <f t="shared" si="431"/>
        <v>0</v>
      </c>
      <c r="AL744" s="21">
        <f t="shared" si="431"/>
        <v>0</v>
      </c>
      <c r="AM744" s="21">
        <f t="shared" ref="AM744:BD744" si="432">IF(AND(AM31 &gt;= $E$743, AM31 &lt;= $C$36), 1, 0)</f>
        <v>0</v>
      </c>
      <c r="AN744" s="21">
        <f t="shared" si="432"/>
        <v>0</v>
      </c>
      <c r="AO744" s="21">
        <f t="shared" si="432"/>
        <v>0</v>
      </c>
      <c r="AP744" s="21">
        <f t="shared" si="432"/>
        <v>0</v>
      </c>
      <c r="AQ744" s="21">
        <f t="shared" si="432"/>
        <v>0</v>
      </c>
      <c r="AR744" s="21">
        <f t="shared" si="432"/>
        <v>0</v>
      </c>
      <c r="AS744" s="21">
        <f t="shared" si="432"/>
        <v>0</v>
      </c>
      <c r="AT744" s="21">
        <f t="shared" si="432"/>
        <v>0</v>
      </c>
      <c r="AU744" s="21">
        <f t="shared" si="432"/>
        <v>0</v>
      </c>
      <c r="AV744" s="21">
        <f t="shared" si="432"/>
        <v>0</v>
      </c>
      <c r="AW744" s="21">
        <f t="shared" si="432"/>
        <v>0</v>
      </c>
      <c r="AX744" s="21">
        <f t="shared" si="432"/>
        <v>0</v>
      </c>
      <c r="AY744" s="21">
        <f t="shared" si="432"/>
        <v>0</v>
      </c>
      <c r="AZ744" s="21">
        <f t="shared" si="432"/>
        <v>0</v>
      </c>
      <c r="BA744" s="21">
        <f t="shared" si="432"/>
        <v>0</v>
      </c>
      <c r="BB744" s="21">
        <f t="shared" si="432"/>
        <v>0</v>
      </c>
      <c r="BC744" s="21">
        <f t="shared" si="432"/>
        <v>0</v>
      </c>
      <c r="BD744" s="21">
        <f t="shared" si="432"/>
        <v>0</v>
      </c>
    </row>
    <row r="745" spans="3:56" ht="15" customHeight="1">
      <c r="C745" s="20"/>
      <c r="D745" s="22"/>
      <c r="E745" s="18"/>
      <c r="G745" s="17"/>
      <c r="H745" s="17"/>
      <c r="I745" s="17"/>
      <c r="J745" s="17"/>
      <c r="K745" s="17"/>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row>
    <row r="746" spans="3:56" ht="15" customHeight="1">
      <c r="C746" s="20"/>
      <c r="D746" s="401" t="s">
        <v>611</v>
      </c>
      <c r="E746" s="18"/>
      <c r="G746" s="17"/>
      <c r="H746" s="17"/>
      <c r="I746" s="17"/>
      <c r="J746" s="17"/>
      <c r="K746" s="17"/>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row>
    <row r="747" spans="3:56" ht="15" customHeight="1">
      <c r="C747" s="21">
        <f>SUM(G747:BD747)</f>
        <v>4668.4365154377783</v>
      </c>
      <c r="D747" s="22" t="s">
        <v>655</v>
      </c>
      <c r="E747" s="18" t="s">
        <v>333</v>
      </c>
      <c r="G747" s="17">
        <f>G739</f>
        <v>-20</v>
      </c>
      <c r="H747" s="17">
        <f t="shared" ref="H747:BD747" si="433">H739</f>
        <v>-20.399999999999999</v>
      </c>
      <c r="I747" s="17">
        <f t="shared" si="433"/>
        <v>-80.956125</v>
      </c>
      <c r="J747" s="17">
        <f t="shared" si="433"/>
        <v>-330.30098999999996</v>
      </c>
      <c r="K747" s="17">
        <f t="shared" si="433"/>
        <v>51.203732331600037</v>
      </c>
      <c r="L747" s="17">
        <f t="shared" si="433"/>
        <v>219.53560682736963</v>
      </c>
      <c r="M747" s="17">
        <f t="shared" si="433"/>
        <v>208.04354082425064</v>
      </c>
      <c r="N747" s="17">
        <f t="shared" si="433"/>
        <v>210.73019896585558</v>
      </c>
      <c r="O747" s="17">
        <f t="shared" si="433"/>
        <v>213.53758870101268</v>
      </c>
      <c r="P747" s="17">
        <f t="shared" si="433"/>
        <v>187.81363594159305</v>
      </c>
      <c r="Q747" s="17">
        <f t="shared" si="433"/>
        <v>191.56990866042497</v>
      </c>
      <c r="R747" s="17">
        <f t="shared" si="433"/>
        <v>195.40130683363327</v>
      </c>
      <c r="S747" s="17">
        <f t="shared" si="433"/>
        <v>199.309332970306</v>
      </c>
      <c r="T747" s="17">
        <f t="shared" si="433"/>
        <v>203.29551962971217</v>
      </c>
      <c r="U747" s="17">
        <f t="shared" si="433"/>
        <v>207.36143002230637</v>
      </c>
      <c r="V747" s="17">
        <f t="shared" si="433"/>
        <v>211.50865862275248</v>
      </c>
      <c r="W747" s="17">
        <f t="shared" si="433"/>
        <v>215.7388317952076</v>
      </c>
      <c r="X747" s="17">
        <f t="shared" si="433"/>
        <v>220.05360843111174</v>
      </c>
      <c r="Y747" s="17">
        <f t="shared" si="433"/>
        <v>225.13634358153172</v>
      </c>
      <c r="Z747" s="17">
        <f t="shared" si="433"/>
        <v>229.64068795854288</v>
      </c>
      <c r="AA747" s="17">
        <f t="shared" si="433"/>
        <v>234.23721327044456</v>
      </c>
      <c r="AB747" s="17">
        <f t="shared" si="433"/>
        <v>238.92846952790762</v>
      </c>
      <c r="AC747" s="17">
        <f t="shared" si="433"/>
        <v>243.71745973424885</v>
      </c>
      <c r="AD747" s="17">
        <f t="shared" si="433"/>
        <v>245.90363508756923</v>
      </c>
      <c r="AE747" s="17">
        <f t="shared" si="433"/>
        <v>250.8472631292635</v>
      </c>
      <c r="AF747" s="17">
        <f t="shared" si="433"/>
        <v>255.90714904617943</v>
      </c>
      <c r="AG747" s="17">
        <f t="shared" si="433"/>
        <v>293.44959699094642</v>
      </c>
      <c r="AH747" s="17">
        <f t="shared" si="433"/>
        <v>167.22291155400796</v>
      </c>
      <c r="AI747" s="17">
        <f t="shared" si="433"/>
        <v>0</v>
      </c>
      <c r="AJ747" s="17">
        <f t="shared" si="433"/>
        <v>0</v>
      </c>
      <c r="AK747" s="17">
        <f t="shared" si="433"/>
        <v>0</v>
      </c>
      <c r="AL747" s="17">
        <f t="shared" si="433"/>
        <v>0</v>
      </c>
      <c r="AM747" s="17">
        <f t="shared" si="433"/>
        <v>0</v>
      </c>
      <c r="AN747" s="17">
        <f t="shared" si="433"/>
        <v>0</v>
      </c>
      <c r="AO747" s="17">
        <f t="shared" si="433"/>
        <v>0</v>
      </c>
      <c r="AP747" s="17">
        <f t="shared" si="433"/>
        <v>0</v>
      </c>
      <c r="AQ747" s="17">
        <f t="shared" si="433"/>
        <v>0</v>
      </c>
      <c r="AR747" s="17">
        <f t="shared" si="433"/>
        <v>0</v>
      </c>
      <c r="AS747" s="17">
        <f t="shared" si="433"/>
        <v>0</v>
      </c>
      <c r="AT747" s="17">
        <f t="shared" si="433"/>
        <v>0</v>
      </c>
      <c r="AU747" s="17">
        <f t="shared" si="433"/>
        <v>0</v>
      </c>
      <c r="AV747" s="17">
        <f t="shared" si="433"/>
        <v>0</v>
      </c>
      <c r="AW747" s="17">
        <f t="shared" si="433"/>
        <v>0</v>
      </c>
      <c r="AX747" s="17">
        <f t="shared" si="433"/>
        <v>0</v>
      </c>
      <c r="AY747" s="17">
        <f t="shared" si="433"/>
        <v>0</v>
      </c>
      <c r="AZ747" s="17">
        <f t="shared" si="433"/>
        <v>0</v>
      </c>
      <c r="BA747" s="17">
        <f t="shared" si="433"/>
        <v>0</v>
      </c>
      <c r="BB747" s="17">
        <f t="shared" si="433"/>
        <v>0</v>
      </c>
      <c r="BC747" s="17">
        <f t="shared" si="433"/>
        <v>0</v>
      </c>
      <c r="BD747" s="17">
        <f t="shared" si="433"/>
        <v>0</v>
      </c>
    </row>
    <row r="748" spans="3:56" ht="15" customHeight="1">
      <c r="C748" s="21">
        <f t="shared" ref="C748:C754" si="434">SUM(G748:BD748)</f>
        <v>151104.30391600475</v>
      </c>
      <c r="D748" s="22" t="s">
        <v>656</v>
      </c>
      <c r="E748" s="18" t="s">
        <v>333</v>
      </c>
      <c r="G748" s="17">
        <f>SUM($G$747:G747)</f>
        <v>-20</v>
      </c>
      <c r="H748" s="17">
        <f>SUM($G$747:H747)</f>
        <v>-40.4</v>
      </c>
      <c r="I748" s="17">
        <f>SUM($G$747:I747)</f>
        <v>-121.35612499999999</v>
      </c>
      <c r="J748" s="17">
        <f>SUM($G$747:J747)</f>
        <v>-451.65711499999998</v>
      </c>
      <c r="K748" s="17">
        <f>SUM($G$747:K747)</f>
        <v>-400.45338266839997</v>
      </c>
      <c r="L748" s="17">
        <f>SUM($G$747:L747)</f>
        <v>-180.91777584103033</v>
      </c>
      <c r="M748" s="17">
        <f>SUM($G$747:M747)</f>
        <v>27.125764983220307</v>
      </c>
      <c r="N748" s="17">
        <f>SUM($G$747:N747)</f>
        <v>237.85596394907589</v>
      </c>
      <c r="O748" s="17">
        <f>SUM($G$747:O747)</f>
        <v>451.39355265008857</v>
      </c>
      <c r="P748" s="17">
        <f>SUM($G$747:P747)</f>
        <v>639.20718859168164</v>
      </c>
      <c r="Q748" s="17">
        <f>SUM($G$747:Q747)</f>
        <v>830.77709725210661</v>
      </c>
      <c r="R748" s="17">
        <f>SUM($G$747:R747)</f>
        <v>1026.1784040857399</v>
      </c>
      <c r="S748" s="17">
        <f>SUM($G$747:S747)</f>
        <v>1225.4877370560459</v>
      </c>
      <c r="T748" s="17">
        <f>SUM($G$747:T747)</f>
        <v>1428.783256685758</v>
      </c>
      <c r="U748" s="17">
        <f>SUM($G$747:U747)</f>
        <v>1636.1446867080645</v>
      </c>
      <c r="V748" s="17">
        <f>SUM($G$747:V747)</f>
        <v>1847.653345330817</v>
      </c>
      <c r="W748" s="17">
        <f>SUM($G$747:W747)</f>
        <v>2063.3921771260248</v>
      </c>
      <c r="X748" s="17">
        <f>SUM($G$747:X747)</f>
        <v>2283.4457855571363</v>
      </c>
      <c r="Y748" s="17">
        <f>SUM($G$747:Y747)</f>
        <v>2508.5821291386683</v>
      </c>
      <c r="Z748" s="17">
        <f>SUM($G$747:Z747)</f>
        <v>2738.2228170972112</v>
      </c>
      <c r="AA748" s="17">
        <f>SUM($G$747:AA747)</f>
        <v>2972.4600303676557</v>
      </c>
      <c r="AB748" s="17">
        <f>SUM($G$747:AB747)</f>
        <v>3211.3884998955632</v>
      </c>
      <c r="AC748" s="17">
        <f>SUM($G$747:AC747)</f>
        <v>3455.1059596298119</v>
      </c>
      <c r="AD748" s="17">
        <f>SUM($G$747:AD747)</f>
        <v>3701.0095947173813</v>
      </c>
      <c r="AE748" s="17">
        <f>SUM($G$747:AE747)</f>
        <v>3951.8568578466447</v>
      </c>
      <c r="AF748" s="17">
        <f>SUM($G$747:AF747)</f>
        <v>4207.764006892824</v>
      </c>
      <c r="AG748" s="17">
        <f>SUM($G$747:AG747)</f>
        <v>4501.2136038837707</v>
      </c>
      <c r="AH748" s="17">
        <f>SUM($G$747:AH747)</f>
        <v>4668.4365154377783</v>
      </c>
      <c r="AI748" s="17">
        <f>SUM($G$747:AI747)</f>
        <v>4668.4365154377783</v>
      </c>
      <c r="AJ748" s="17">
        <f>SUM($G$747:AJ747)</f>
        <v>4668.4365154377783</v>
      </c>
      <c r="AK748" s="17">
        <f>SUM($G$747:AK747)</f>
        <v>4668.4365154377783</v>
      </c>
      <c r="AL748" s="17">
        <f>SUM($G$747:AL747)</f>
        <v>4668.4365154377783</v>
      </c>
      <c r="AM748" s="17">
        <f>SUM($G$747:AM747)</f>
        <v>4668.4365154377783</v>
      </c>
      <c r="AN748" s="17">
        <f>SUM($G$747:AN747)</f>
        <v>4668.4365154377783</v>
      </c>
      <c r="AO748" s="17">
        <f>SUM($G$747:AO747)</f>
        <v>4668.4365154377783</v>
      </c>
      <c r="AP748" s="17">
        <f>SUM($G$747:AP747)</f>
        <v>4668.4365154377783</v>
      </c>
      <c r="AQ748" s="17">
        <f>SUM($G$747:AQ747)</f>
        <v>4668.4365154377783</v>
      </c>
      <c r="AR748" s="17">
        <f>SUM($G$747:AR747)</f>
        <v>4668.4365154377783</v>
      </c>
      <c r="AS748" s="17">
        <f>SUM($G$747:AS747)</f>
        <v>4668.4365154377783</v>
      </c>
      <c r="AT748" s="17">
        <f>SUM($G$747:AT747)</f>
        <v>4668.4365154377783</v>
      </c>
      <c r="AU748" s="17">
        <f>SUM($G$747:AU747)</f>
        <v>4668.4365154377783</v>
      </c>
      <c r="AV748" s="17">
        <f>SUM($G$747:AV747)</f>
        <v>4668.4365154377783</v>
      </c>
      <c r="AW748" s="17">
        <f>SUM($G$747:AW747)</f>
        <v>4668.4365154377783</v>
      </c>
      <c r="AX748" s="17">
        <f>SUM($G$747:AX747)</f>
        <v>4668.4365154377783</v>
      </c>
      <c r="AY748" s="17">
        <f>SUM($G$747:AY747)</f>
        <v>4668.4365154377783</v>
      </c>
      <c r="AZ748" s="17">
        <f>SUM($G$747:AZ747)</f>
        <v>4668.4365154377783</v>
      </c>
      <c r="BA748" s="17">
        <f>SUM($G$747:BA747)</f>
        <v>4668.4365154377783</v>
      </c>
      <c r="BB748" s="17">
        <f>SUM($G$747:BB747)</f>
        <v>4668.4365154377783</v>
      </c>
      <c r="BC748" s="17">
        <f>SUM($G$747:BC747)</f>
        <v>4668.4365154377783</v>
      </c>
      <c r="BD748" s="17">
        <f>SUM($G$747:BD747)</f>
        <v>4668.4365154377783</v>
      </c>
    </row>
    <row r="749" spans="3:56" ht="15" customHeight="1">
      <c r="C749" s="21">
        <f t="shared" si="434"/>
        <v>4668.4365154377783</v>
      </c>
      <c r="D749" s="22" t="s">
        <v>657</v>
      </c>
      <c r="E749" s="18" t="s">
        <v>333</v>
      </c>
      <c r="G749" s="17">
        <f>IF(G748&gt;0,MAX(0,MIN(G748,G747)),0)</f>
        <v>0</v>
      </c>
      <c r="H749" s="17">
        <f t="shared" ref="H749:BD749" si="435">IF(H748&gt;0,MAX(0,MIN(H748,H747)),0)</f>
        <v>0</v>
      </c>
      <c r="I749" s="17">
        <f t="shared" si="435"/>
        <v>0</v>
      </c>
      <c r="J749" s="17">
        <f t="shared" si="435"/>
        <v>0</v>
      </c>
      <c r="K749" s="17">
        <f t="shared" si="435"/>
        <v>0</v>
      </c>
      <c r="L749" s="17">
        <f t="shared" si="435"/>
        <v>0</v>
      </c>
      <c r="M749" s="17">
        <f t="shared" si="435"/>
        <v>27.125764983220307</v>
      </c>
      <c r="N749" s="17">
        <f t="shared" si="435"/>
        <v>210.73019896585558</v>
      </c>
      <c r="O749" s="17">
        <f t="shared" si="435"/>
        <v>213.53758870101268</v>
      </c>
      <c r="P749" s="17">
        <f t="shared" si="435"/>
        <v>187.81363594159305</v>
      </c>
      <c r="Q749" s="17">
        <f t="shared" si="435"/>
        <v>191.56990866042497</v>
      </c>
      <c r="R749" s="17">
        <f t="shared" si="435"/>
        <v>195.40130683363327</v>
      </c>
      <c r="S749" s="17">
        <f t="shared" si="435"/>
        <v>199.309332970306</v>
      </c>
      <c r="T749" s="17">
        <f t="shared" si="435"/>
        <v>203.29551962971217</v>
      </c>
      <c r="U749" s="17">
        <f t="shared" si="435"/>
        <v>207.36143002230637</v>
      </c>
      <c r="V749" s="17">
        <f t="shared" si="435"/>
        <v>211.50865862275248</v>
      </c>
      <c r="W749" s="17">
        <f t="shared" si="435"/>
        <v>215.7388317952076</v>
      </c>
      <c r="X749" s="17">
        <f t="shared" si="435"/>
        <v>220.05360843111174</v>
      </c>
      <c r="Y749" s="17">
        <f t="shared" si="435"/>
        <v>225.13634358153172</v>
      </c>
      <c r="Z749" s="17">
        <f t="shared" si="435"/>
        <v>229.64068795854288</v>
      </c>
      <c r="AA749" s="17">
        <f t="shared" si="435"/>
        <v>234.23721327044456</v>
      </c>
      <c r="AB749" s="17">
        <f t="shared" si="435"/>
        <v>238.92846952790762</v>
      </c>
      <c r="AC749" s="17">
        <f t="shared" si="435"/>
        <v>243.71745973424885</v>
      </c>
      <c r="AD749" s="17">
        <f t="shared" si="435"/>
        <v>245.90363508756923</v>
      </c>
      <c r="AE749" s="17">
        <f t="shared" si="435"/>
        <v>250.8472631292635</v>
      </c>
      <c r="AF749" s="17">
        <f t="shared" si="435"/>
        <v>255.90714904617943</v>
      </c>
      <c r="AG749" s="17">
        <f t="shared" si="435"/>
        <v>293.44959699094642</v>
      </c>
      <c r="AH749" s="17">
        <f t="shared" si="435"/>
        <v>167.22291155400796</v>
      </c>
      <c r="AI749" s="17">
        <f t="shared" si="435"/>
        <v>0</v>
      </c>
      <c r="AJ749" s="17">
        <f t="shared" si="435"/>
        <v>0</v>
      </c>
      <c r="AK749" s="17">
        <f t="shared" si="435"/>
        <v>0</v>
      </c>
      <c r="AL749" s="17">
        <f t="shared" si="435"/>
        <v>0</v>
      </c>
      <c r="AM749" s="17">
        <f t="shared" si="435"/>
        <v>0</v>
      </c>
      <c r="AN749" s="17">
        <f t="shared" si="435"/>
        <v>0</v>
      </c>
      <c r="AO749" s="17">
        <f t="shared" si="435"/>
        <v>0</v>
      </c>
      <c r="AP749" s="17">
        <f t="shared" si="435"/>
        <v>0</v>
      </c>
      <c r="AQ749" s="17">
        <f t="shared" si="435"/>
        <v>0</v>
      </c>
      <c r="AR749" s="17">
        <f t="shared" si="435"/>
        <v>0</v>
      </c>
      <c r="AS749" s="17">
        <f t="shared" si="435"/>
        <v>0</v>
      </c>
      <c r="AT749" s="17">
        <f t="shared" si="435"/>
        <v>0</v>
      </c>
      <c r="AU749" s="17">
        <f t="shared" si="435"/>
        <v>0</v>
      </c>
      <c r="AV749" s="17">
        <f t="shared" si="435"/>
        <v>0</v>
      </c>
      <c r="AW749" s="17">
        <f t="shared" si="435"/>
        <v>0</v>
      </c>
      <c r="AX749" s="17">
        <f t="shared" si="435"/>
        <v>0</v>
      </c>
      <c r="AY749" s="17">
        <f t="shared" si="435"/>
        <v>0</v>
      </c>
      <c r="AZ749" s="17">
        <f t="shared" si="435"/>
        <v>0</v>
      </c>
      <c r="BA749" s="17">
        <f t="shared" si="435"/>
        <v>0</v>
      </c>
      <c r="BB749" s="17">
        <f t="shared" si="435"/>
        <v>0</v>
      </c>
      <c r="BC749" s="17">
        <f t="shared" si="435"/>
        <v>0</v>
      </c>
      <c r="BD749" s="17">
        <f t="shared" si="435"/>
        <v>0</v>
      </c>
    </row>
    <row r="750" spans="3:56" ht="15" customHeight="1">
      <c r="C750" s="21"/>
      <c r="D750" s="22"/>
      <c r="E750" s="18"/>
      <c r="G750" s="17"/>
      <c r="H750" s="17"/>
      <c r="I750" s="17"/>
      <c r="J750" s="17"/>
      <c r="K750" s="17"/>
      <c r="L750" s="17"/>
      <c r="M750" s="17"/>
      <c r="N750" s="17"/>
      <c r="O750" s="17"/>
      <c r="P750" s="17"/>
      <c r="Q750" s="17"/>
      <c r="R750" s="17"/>
      <c r="S750" s="17"/>
      <c r="T750" s="17"/>
      <c r="U750" s="17"/>
      <c r="V750" s="17"/>
      <c r="W750" s="17"/>
      <c r="X750" s="17"/>
      <c r="Y750" s="17"/>
      <c r="Z750" s="17"/>
      <c r="AA750" s="17"/>
      <c r="AB750" s="17"/>
      <c r="AC750" s="17"/>
      <c r="AD750" s="17"/>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row>
    <row r="751" spans="3:56" ht="15" customHeight="1">
      <c r="C751" s="21">
        <f t="shared" si="434"/>
        <v>3181.5354812344917</v>
      </c>
      <c r="D751" s="22" t="s">
        <v>658</v>
      </c>
      <c r="E751" s="18" t="s">
        <v>333</v>
      </c>
      <c r="F751" s="400"/>
      <c r="G751" s="17">
        <f t="shared" ref="G751:AL751" si="436">G210 + G240 + G411 + G440</f>
        <v>0</v>
      </c>
      <c r="H751" s="17">
        <f t="shared" si="436"/>
        <v>0</v>
      </c>
      <c r="I751" s="17">
        <f t="shared" si="436"/>
        <v>0</v>
      </c>
      <c r="J751" s="17">
        <f t="shared" si="436"/>
        <v>0</v>
      </c>
      <c r="K751" s="17">
        <f t="shared" si="436"/>
        <v>18.184860287999999</v>
      </c>
      <c r="L751" s="17">
        <f t="shared" si="436"/>
        <v>81.724495011398446</v>
      </c>
      <c r="M751" s="17">
        <f t="shared" si="436"/>
        <v>96.709222370076787</v>
      </c>
      <c r="N751" s="17">
        <f t="shared" si="436"/>
        <v>97.631977712646275</v>
      </c>
      <c r="O751" s="17">
        <f t="shared" si="436"/>
        <v>98.553088632851228</v>
      </c>
      <c r="P751" s="17">
        <f t="shared" si="436"/>
        <v>128.12701096224427</v>
      </c>
      <c r="Q751" s="17">
        <f t="shared" si="436"/>
        <v>130.68955118148915</v>
      </c>
      <c r="R751" s="17">
        <f t="shared" si="436"/>
        <v>133.30334220511889</v>
      </c>
      <c r="S751" s="17">
        <f t="shared" si="436"/>
        <v>135.9694090492213</v>
      </c>
      <c r="T751" s="17">
        <f t="shared" si="436"/>
        <v>138.68879723020572</v>
      </c>
      <c r="U751" s="17">
        <f t="shared" si="436"/>
        <v>141.46257317480985</v>
      </c>
      <c r="V751" s="17">
        <f t="shared" si="436"/>
        <v>144.291824638306</v>
      </c>
      <c r="W751" s="17">
        <f t="shared" si="436"/>
        <v>147.17766113107217</v>
      </c>
      <c r="X751" s="17">
        <f t="shared" si="436"/>
        <v>150.12121435369363</v>
      </c>
      <c r="Y751" s="17">
        <f t="shared" si="436"/>
        <v>152.44197565896971</v>
      </c>
      <c r="Z751" s="17">
        <f t="shared" si="436"/>
        <v>155.48919766676855</v>
      </c>
      <c r="AA751" s="17">
        <f t="shared" si="436"/>
        <v>158.59527006737306</v>
      </c>
      <c r="AB751" s="17">
        <f t="shared" si="436"/>
        <v>161.76066347666645</v>
      </c>
      <c r="AC751" s="17">
        <f t="shared" si="436"/>
        <v>164.98545593041672</v>
      </c>
      <c r="AD751" s="17">
        <f t="shared" si="436"/>
        <v>167.10993569312052</v>
      </c>
      <c r="AE751" s="17">
        <f t="shared" si="436"/>
        <v>170.42657906704005</v>
      </c>
      <c r="AF751" s="17">
        <f t="shared" si="436"/>
        <v>173.7921699940502</v>
      </c>
      <c r="AG751" s="17">
        <f t="shared" si="436"/>
        <v>179.56713430293391</v>
      </c>
      <c r="AH751" s="17">
        <f t="shared" si="436"/>
        <v>54.732071436018074</v>
      </c>
      <c r="AI751" s="17">
        <f t="shared" si="436"/>
        <v>0</v>
      </c>
      <c r="AJ751" s="17">
        <f t="shared" si="436"/>
        <v>0</v>
      </c>
      <c r="AK751" s="17">
        <f t="shared" si="436"/>
        <v>0</v>
      </c>
      <c r="AL751" s="17">
        <f t="shared" si="436"/>
        <v>0</v>
      </c>
      <c r="AM751" s="17">
        <f t="shared" ref="AM751:BD751" si="437">AM210 + AM240 + AM411 + AM440</f>
        <v>0</v>
      </c>
      <c r="AN751" s="17">
        <f t="shared" si="437"/>
        <v>0</v>
      </c>
      <c r="AO751" s="17">
        <f t="shared" si="437"/>
        <v>0</v>
      </c>
      <c r="AP751" s="17">
        <f t="shared" si="437"/>
        <v>0</v>
      </c>
      <c r="AQ751" s="17">
        <f t="shared" si="437"/>
        <v>0</v>
      </c>
      <c r="AR751" s="17">
        <f t="shared" si="437"/>
        <v>0</v>
      </c>
      <c r="AS751" s="17">
        <f t="shared" si="437"/>
        <v>0</v>
      </c>
      <c r="AT751" s="17">
        <f t="shared" si="437"/>
        <v>0</v>
      </c>
      <c r="AU751" s="17">
        <f t="shared" si="437"/>
        <v>0</v>
      </c>
      <c r="AV751" s="17">
        <f t="shared" si="437"/>
        <v>0</v>
      </c>
      <c r="AW751" s="17">
        <f t="shared" si="437"/>
        <v>0</v>
      </c>
      <c r="AX751" s="17">
        <f t="shared" si="437"/>
        <v>0</v>
      </c>
      <c r="AY751" s="17">
        <f t="shared" si="437"/>
        <v>0</v>
      </c>
      <c r="AZ751" s="17">
        <f t="shared" si="437"/>
        <v>0</v>
      </c>
      <c r="BA751" s="17">
        <f t="shared" si="437"/>
        <v>0</v>
      </c>
      <c r="BB751" s="17">
        <f t="shared" si="437"/>
        <v>0</v>
      </c>
      <c r="BC751" s="17">
        <f t="shared" si="437"/>
        <v>0</v>
      </c>
      <c r="BD751" s="17">
        <f t="shared" si="437"/>
        <v>0</v>
      </c>
    </row>
    <row r="752" spans="3:56" ht="15" customHeight="1">
      <c r="C752" s="21"/>
      <c r="D752" s="22"/>
      <c r="E752" s="18"/>
      <c r="F752" s="400"/>
      <c r="G752" s="17"/>
      <c r="H752" s="17"/>
      <c r="I752" s="17"/>
      <c r="J752" s="17"/>
      <c r="K752" s="17"/>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row>
    <row r="753" spans="1:57" ht="15" customHeight="1">
      <c r="C753" s="21">
        <f t="shared" si="434"/>
        <v>7849.9719966722687</v>
      </c>
      <c r="D753" s="22" t="s">
        <v>652</v>
      </c>
      <c r="E753" s="18" t="s">
        <v>333</v>
      </c>
      <c r="F753" s="400"/>
      <c r="G753" s="17">
        <f>G749 + G751</f>
        <v>0</v>
      </c>
      <c r="H753" s="17">
        <f t="shared" ref="H753:BD753" si="438">H749 + H751</f>
        <v>0</v>
      </c>
      <c r="I753" s="17">
        <f t="shared" si="438"/>
        <v>0</v>
      </c>
      <c r="J753" s="17">
        <f t="shared" si="438"/>
        <v>0</v>
      </c>
      <c r="K753" s="17">
        <f t="shared" si="438"/>
        <v>18.184860287999999</v>
      </c>
      <c r="L753" s="17">
        <f t="shared" si="438"/>
        <v>81.724495011398446</v>
      </c>
      <c r="M753" s="17">
        <f t="shared" si="438"/>
        <v>123.83498735329709</v>
      </c>
      <c r="N753" s="17">
        <f t="shared" si="438"/>
        <v>308.36217667850184</v>
      </c>
      <c r="O753" s="17">
        <f t="shared" si="438"/>
        <v>312.09067733386394</v>
      </c>
      <c r="P753" s="17">
        <f t="shared" si="438"/>
        <v>315.94064690383732</v>
      </c>
      <c r="Q753" s="17">
        <f t="shared" si="438"/>
        <v>322.25945984191412</v>
      </c>
      <c r="R753" s="17">
        <f t="shared" si="438"/>
        <v>328.70464903875217</v>
      </c>
      <c r="S753" s="17">
        <f t="shared" si="438"/>
        <v>335.27874201952727</v>
      </c>
      <c r="T753" s="17">
        <f t="shared" si="438"/>
        <v>341.9843168599179</v>
      </c>
      <c r="U753" s="17">
        <f t="shared" si="438"/>
        <v>348.82400319711621</v>
      </c>
      <c r="V753" s="17">
        <f t="shared" si="438"/>
        <v>355.8004832610585</v>
      </c>
      <c r="W753" s="17">
        <f t="shared" si="438"/>
        <v>362.91649292627977</v>
      </c>
      <c r="X753" s="17">
        <f t="shared" si="438"/>
        <v>370.17482278480537</v>
      </c>
      <c r="Y753" s="17">
        <f t="shared" si="438"/>
        <v>377.5783192405014</v>
      </c>
      <c r="Z753" s="17">
        <f t="shared" si="438"/>
        <v>385.12988562531143</v>
      </c>
      <c r="AA753" s="17">
        <f t="shared" si="438"/>
        <v>392.83248333781762</v>
      </c>
      <c r="AB753" s="17">
        <f t="shared" si="438"/>
        <v>400.68913300457405</v>
      </c>
      <c r="AC753" s="17">
        <f t="shared" si="438"/>
        <v>408.70291566466557</v>
      </c>
      <c r="AD753" s="17">
        <f t="shared" si="438"/>
        <v>413.01357078068975</v>
      </c>
      <c r="AE753" s="17">
        <f t="shared" si="438"/>
        <v>421.27384219630358</v>
      </c>
      <c r="AF753" s="17">
        <f t="shared" si="438"/>
        <v>429.69931904022962</v>
      </c>
      <c r="AG753" s="17">
        <f t="shared" si="438"/>
        <v>473.0167312938803</v>
      </c>
      <c r="AH753" s="17">
        <f t="shared" si="438"/>
        <v>221.95498299002605</v>
      </c>
      <c r="AI753" s="17">
        <f t="shared" si="438"/>
        <v>0</v>
      </c>
      <c r="AJ753" s="17">
        <f t="shared" si="438"/>
        <v>0</v>
      </c>
      <c r="AK753" s="17">
        <f t="shared" si="438"/>
        <v>0</v>
      </c>
      <c r="AL753" s="17">
        <f t="shared" si="438"/>
        <v>0</v>
      </c>
      <c r="AM753" s="17">
        <f t="shared" si="438"/>
        <v>0</v>
      </c>
      <c r="AN753" s="17">
        <f t="shared" si="438"/>
        <v>0</v>
      </c>
      <c r="AO753" s="17">
        <f t="shared" si="438"/>
        <v>0</v>
      </c>
      <c r="AP753" s="17">
        <f t="shared" si="438"/>
        <v>0</v>
      </c>
      <c r="AQ753" s="17">
        <f t="shared" si="438"/>
        <v>0</v>
      </c>
      <c r="AR753" s="17">
        <f t="shared" si="438"/>
        <v>0</v>
      </c>
      <c r="AS753" s="17">
        <f t="shared" si="438"/>
        <v>0</v>
      </c>
      <c r="AT753" s="17">
        <f t="shared" si="438"/>
        <v>0</v>
      </c>
      <c r="AU753" s="17">
        <f t="shared" si="438"/>
        <v>0</v>
      </c>
      <c r="AV753" s="17">
        <f t="shared" si="438"/>
        <v>0</v>
      </c>
      <c r="AW753" s="17">
        <f t="shared" si="438"/>
        <v>0</v>
      </c>
      <c r="AX753" s="17">
        <f t="shared" si="438"/>
        <v>0</v>
      </c>
      <c r="AY753" s="17">
        <f t="shared" si="438"/>
        <v>0</v>
      </c>
      <c r="AZ753" s="17">
        <f t="shared" si="438"/>
        <v>0</v>
      </c>
      <c r="BA753" s="17">
        <f t="shared" si="438"/>
        <v>0</v>
      </c>
      <c r="BB753" s="17">
        <f t="shared" si="438"/>
        <v>0</v>
      </c>
      <c r="BC753" s="17">
        <f t="shared" si="438"/>
        <v>0</v>
      </c>
      <c r="BD753" s="17">
        <f t="shared" si="438"/>
        <v>0</v>
      </c>
    </row>
    <row r="754" spans="1:57" ht="15" customHeight="1">
      <c r="C754" s="21">
        <f t="shared" si="434"/>
        <v>2515.1183976025918</v>
      </c>
      <c r="D754" s="22" t="str">
        <f>"Annual benefits NPV"&amp;$E$735*100</f>
        <v>Annual benefits NPV7.5</v>
      </c>
      <c r="E754" s="18" t="s">
        <v>333</v>
      </c>
      <c r="F754" s="400"/>
      <c r="G754" s="17">
        <f t="shared" ref="G754:AL754" si="439">G$753/G736</f>
        <v>0</v>
      </c>
      <c r="H754" s="17">
        <f t="shared" si="439"/>
        <v>0</v>
      </c>
      <c r="I754" s="17">
        <f t="shared" si="439"/>
        <v>0</v>
      </c>
      <c r="J754" s="17">
        <f t="shared" si="439"/>
        <v>0</v>
      </c>
      <c r="K754" s="17">
        <f t="shared" si="439"/>
        <v>13.61683301756376</v>
      </c>
      <c r="L754" s="17">
        <f t="shared" si="439"/>
        <v>56.925902474643593</v>
      </c>
      <c r="M754" s="17">
        <f t="shared" si="439"/>
        <v>80.240306444564254</v>
      </c>
      <c r="N754" s="17">
        <f t="shared" si="439"/>
        <v>185.86681324450592</v>
      </c>
      <c r="O754" s="17">
        <f t="shared" si="439"/>
        <v>174.98993980235014</v>
      </c>
      <c r="P754" s="17">
        <f t="shared" si="439"/>
        <v>164.7894198499821</v>
      </c>
      <c r="Q754" s="17">
        <f t="shared" si="439"/>
        <v>156.35833325300632</v>
      </c>
      <c r="R754" s="17">
        <f t="shared" si="439"/>
        <v>148.35860457494542</v>
      </c>
      <c r="S754" s="17">
        <f t="shared" si="439"/>
        <v>140.76816434087849</v>
      </c>
      <c r="T754" s="17">
        <f t="shared" si="439"/>
        <v>133.56607221181031</v>
      </c>
      <c r="U754" s="17">
        <f t="shared" si="439"/>
        <v>126.73245921492698</v>
      </c>
      <c r="V754" s="17">
        <f t="shared" si="439"/>
        <v>120.24847292951209</v>
      </c>
      <c r="W754" s="17">
        <f t="shared" si="439"/>
        <v>114.09622547730454</v>
      </c>
      <c r="X754" s="17">
        <f t="shared" si="439"/>
        <v>108.25874417381455</v>
      </c>
      <c r="Y754" s="17">
        <f t="shared" si="439"/>
        <v>102.71992470445657</v>
      </c>
      <c r="Z754" s="17">
        <f t="shared" si="439"/>
        <v>97.464486696321586</v>
      </c>
      <c r="AA754" s="17">
        <f t="shared" si="439"/>
        <v>92.477931563021414</v>
      </c>
      <c r="AB754" s="17">
        <f t="shared" si="439"/>
        <v>87.746502506308687</v>
      </c>
      <c r="AC754" s="17">
        <f t="shared" si="439"/>
        <v>83.257146564125478</v>
      </c>
      <c r="AD754" s="17">
        <f t="shared" si="439"/>
        <v>78.265370255587499</v>
      </c>
      <c r="AE754" s="17">
        <f t="shared" si="439"/>
        <v>74.261095498324906</v>
      </c>
      <c r="AF754" s="17">
        <f t="shared" si="439"/>
        <v>70.46169061236408</v>
      </c>
      <c r="AG754" s="17">
        <f t="shared" si="439"/>
        <v>72.153338767309222</v>
      </c>
      <c r="AH754" s="17">
        <f t="shared" si="439"/>
        <v>31.494619424963794</v>
      </c>
      <c r="AI754" s="17">
        <f t="shared" si="439"/>
        <v>0</v>
      </c>
      <c r="AJ754" s="17">
        <f t="shared" si="439"/>
        <v>0</v>
      </c>
      <c r="AK754" s="17">
        <f t="shared" si="439"/>
        <v>0</v>
      </c>
      <c r="AL754" s="17">
        <f t="shared" si="439"/>
        <v>0</v>
      </c>
      <c r="AM754" s="17">
        <f t="shared" ref="AM754:BD754" si="440">AM$753/AM736</f>
        <v>0</v>
      </c>
      <c r="AN754" s="17">
        <f t="shared" si="440"/>
        <v>0</v>
      </c>
      <c r="AO754" s="17">
        <f t="shared" si="440"/>
        <v>0</v>
      </c>
      <c r="AP754" s="17">
        <f t="shared" si="440"/>
        <v>0</v>
      </c>
      <c r="AQ754" s="17">
        <f t="shared" si="440"/>
        <v>0</v>
      </c>
      <c r="AR754" s="17">
        <f t="shared" si="440"/>
        <v>0</v>
      </c>
      <c r="AS754" s="17">
        <f t="shared" si="440"/>
        <v>0</v>
      </c>
      <c r="AT754" s="17">
        <f t="shared" si="440"/>
        <v>0</v>
      </c>
      <c r="AU754" s="17">
        <f t="shared" si="440"/>
        <v>0</v>
      </c>
      <c r="AV754" s="17">
        <f t="shared" si="440"/>
        <v>0</v>
      </c>
      <c r="AW754" s="17">
        <f t="shared" si="440"/>
        <v>0</v>
      </c>
      <c r="AX754" s="17">
        <f t="shared" si="440"/>
        <v>0</v>
      </c>
      <c r="AY754" s="17">
        <f t="shared" si="440"/>
        <v>0</v>
      </c>
      <c r="AZ754" s="17">
        <f t="shared" si="440"/>
        <v>0</v>
      </c>
      <c r="BA754" s="17">
        <f t="shared" si="440"/>
        <v>0</v>
      </c>
      <c r="BB754" s="17">
        <f t="shared" si="440"/>
        <v>0</v>
      </c>
      <c r="BC754" s="17">
        <f t="shared" si="440"/>
        <v>0</v>
      </c>
      <c r="BD754" s="17">
        <f t="shared" si="440"/>
        <v>0</v>
      </c>
    </row>
    <row r="755" spans="1:57" ht="15" customHeight="1">
      <c r="C755" s="21">
        <f t="shared" ref="C755" si="441">SUM(G755:BD755)</f>
        <v>258127.78553790398</v>
      </c>
      <c r="D755" s="22" t="s">
        <v>659</v>
      </c>
      <c r="E755" s="18" t="s">
        <v>333</v>
      </c>
      <c r="F755" s="400"/>
      <c r="G755" s="17">
        <f>SUM($G753:G$753)</f>
        <v>0</v>
      </c>
      <c r="H755" s="17">
        <f>SUM($G753:H$753)</f>
        <v>0</v>
      </c>
      <c r="I755" s="17">
        <f>SUM($G753:I$753)</f>
        <v>0</v>
      </c>
      <c r="J755" s="17">
        <f>SUM($G753:J$753)</f>
        <v>0</v>
      </c>
      <c r="K755" s="17">
        <f>SUM($G753:K$753)</f>
        <v>18.184860287999999</v>
      </c>
      <c r="L755" s="17">
        <f>SUM($G753:L$753)</f>
        <v>99.909355299398442</v>
      </c>
      <c r="M755" s="17">
        <f>SUM($G753:M$753)</f>
        <v>223.74434265269554</v>
      </c>
      <c r="N755" s="17">
        <f>SUM($G753:N$753)</f>
        <v>532.10651933119743</v>
      </c>
      <c r="O755" s="17">
        <f>SUM($G753:O$753)</f>
        <v>844.19719666506137</v>
      </c>
      <c r="P755" s="17">
        <f>SUM($G753:P$753)</f>
        <v>1160.1378435688987</v>
      </c>
      <c r="Q755" s="17">
        <f>SUM($G753:Q$753)</f>
        <v>1482.3973034108128</v>
      </c>
      <c r="R755" s="17">
        <f>SUM($G753:R$753)</f>
        <v>1811.101952449565</v>
      </c>
      <c r="S755" s="17">
        <f>SUM($G753:S$753)</f>
        <v>2146.3806944690923</v>
      </c>
      <c r="T755" s="17">
        <f>SUM($G753:T$753)</f>
        <v>2488.36501132901</v>
      </c>
      <c r="U755" s="17">
        <f>SUM($G753:U$753)</f>
        <v>2837.1890145261264</v>
      </c>
      <c r="V755" s="17">
        <f>SUM($G753:V$753)</f>
        <v>3192.989497787185</v>
      </c>
      <c r="W755" s="17">
        <f>SUM($G753:W$753)</f>
        <v>3555.9059907134647</v>
      </c>
      <c r="X755" s="17">
        <f>SUM($G753:X$753)</f>
        <v>3926.0808134982699</v>
      </c>
      <c r="Y755" s="17">
        <f>SUM($G753:Y$753)</f>
        <v>4303.6591327387714</v>
      </c>
      <c r="Z755" s="17">
        <f>SUM($G753:Z$753)</f>
        <v>4688.7890183640829</v>
      </c>
      <c r="AA755" s="17">
        <f>SUM($G753:AA$753)</f>
        <v>5081.6215017019003</v>
      </c>
      <c r="AB755" s="17">
        <f>SUM($G753:AB$753)</f>
        <v>5482.310634706474</v>
      </c>
      <c r="AC755" s="17">
        <f>SUM($G753:AC$753)</f>
        <v>5891.0135503711399</v>
      </c>
      <c r="AD755" s="17">
        <f>SUM($G753:AD$753)</f>
        <v>6304.0271211518293</v>
      </c>
      <c r="AE755" s="17">
        <f>SUM($G753:AE$753)</f>
        <v>6725.3009633481324</v>
      </c>
      <c r="AF755" s="17">
        <f>SUM($G753:AF$753)</f>
        <v>7155.0002823883624</v>
      </c>
      <c r="AG755" s="17">
        <f>SUM($G753:AG$753)</f>
        <v>7628.0170136822426</v>
      </c>
      <c r="AH755" s="17">
        <f>SUM($G753:AH$753)</f>
        <v>7849.9719966722687</v>
      </c>
      <c r="AI755" s="17">
        <f>SUM($G753:AI$753)</f>
        <v>7849.9719966722687</v>
      </c>
      <c r="AJ755" s="17">
        <f>SUM($G753:AJ$753)</f>
        <v>7849.9719966722687</v>
      </c>
      <c r="AK755" s="17">
        <f>SUM($G753:AK$753)</f>
        <v>7849.9719966722687</v>
      </c>
      <c r="AL755" s="17">
        <f>SUM($G753:AL$753)</f>
        <v>7849.9719966722687</v>
      </c>
      <c r="AM755" s="17">
        <f>SUM($G753:AM$753)</f>
        <v>7849.9719966722687</v>
      </c>
      <c r="AN755" s="17">
        <f>SUM($G753:AN$753)</f>
        <v>7849.9719966722687</v>
      </c>
      <c r="AO755" s="17">
        <f>SUM($G753:AO$753)</f>
        <v>7849.9719966722687</v>
      </c>
      <c r="AP755" s="17">
        <f>SUM($G753:AP$753)</f>
        <v>7849.9719966722687</v>
      </c>
      <c r="AQ755" s="17">
        <f>SUM($G753:AQ$753)</f>
        <v>7849.9719966722687</v>
      </c>
      <c r="AR755" s="17">
        <f>SUM($G753:AR$753)</f>
        <v>7849.9719966722687</v>
      </c>
      <c r="AS755" s="17">
        <f>SUM($G753:AS$753)</f>
        <v>7849.9719966722687</v>
      </c>
      <c r="AT755" s="17">
        <f>SUM($G753:AT$753)</f>
        <v>7849.9719966722687</v>
      </c>
      <c r="AU755" s="17">
        <f>SUM($G753:AU$753)</f>
        <v>7849.9719966722687</v>
      </c>
      <c r="AV755" s="17">
        <f>SUM($G753:AV$753)</f>
        <v>7849.9719966722687</v>
      </c>
      <c r="AW755" s="17">
        <f>SUM($G753:AW$753)</f>
        <v>7849.9719966722687</v>
      </c>
      <c r="AX755" s="17">
        <f>SUM($G753:AX$753)</f>
        <v>7849.9719966722687</v>
      </c>
      <c r="AY755" s="17">
        <f>SUM($G753:AY$753)</f>
        <v>7849.9719966722687</v>
      </c>
      <c r="AZ755" s="17">
        <f>SUM($G753:AZ$753)</f>
        <v>7849.9719966722687</v>
      </c>
      <c r="BA755" s="17">
        <f>SUM($G753:BA$753)</f>
        <v>7849.9719966722687</v>
      </c>
      <c r="BB755" s="17">
        <f>SUM($G753:BB$753)</f>
        <v>7849.9719966722687</v>
      </c>
      <c r="BC755" s="17">
        <f>SUM($G753:BC$753)</f>
        <v>7849.9719966722687</v>
      </c>
      <c r="BD755" s="17">
        <f>SUM($G753:BD$753)</f>
        <v>7849.9719966722687</v>
      </c>
    </row>
    <row r="756" spans="1:57" ht="15" customHeight="1">
      <c r="C756" s="21">
        <f t="shared" ref="C756" si="442">SUM(G756:BD756)</f>
        <v>89591.334626211188</v>
      </c>
      <c r="D756" s="22" t="str">
        <f>"Cumulative annual benefits NPV"&amp;$E$735*100</f>
        <v>Cumulative annual benefits NPV7.5</v>
      </c>
      <c r="E756" s="18" t="s">
        <v>333</v>
      </c>
      <c r="G756" s="17">
        <f>SUM($G$754:G754)</f>
        <v>0</v>
      </c>
      <c r="H756" s="17">
        <f>SUM($G$754:H754)</f>
        <v>0</v>
      </c>
      <c r="I756" s="17">
        <f>SUM($G$754:I754)</f>
        <v>0</v>
      </c>
      <c r="J756" s="17">
        <f>SUM($G$754:J754)</f>
        <v>0</v>
      </c>
      <c r="K756" s="17">
        <f>SUM($G$754:K754)</f>
        <v>13.61683301756376</v>
      </c>
      <c r="L756" s="17">
        <f>SUM($G$754:L754)</f>
        <v>70.542735492207356</v>
      </c>
      <c r="M756" s="17">
        <f>SUM($G$754:M754)</f>
        <v>150.78304193677161</v>
      </c>
      <c r="N756" s="17">
        <f>SUM($G$754:N754)</f>
        <v>336.64985518127753</v>
      </c>
      <c r="O756" s="17">
        <f>SUM($G$754:O754)</f>
        <v>511.63979498362767</v>
      </c>
      <c r="P756" s="17">
        <f>SUM($G$754:P754)</f>
        <v>676.42921483360976</v>
      </c>
      <c r="Q756" s="17">
        <f>SUM($G$754:Q754)</f>
        <v>832.78754808661608</v>
      </c>
      <c r="R756" s="17">
        <f>SUM($G$754:R754)</f>
        <v>981.14615266156147</v>
      </c>
      <c r="S756" s="17">
        <f>SUM($G$754:S754)</f>
        <v>1121.9143170024399</v>
      </c>
      <c r="T756" s="17">
        <f>SUM($G$754:T754)</f>
        <v>1255.4803892142502</v>
      </c>
      <c r="U756" s="17">
        <f>SUM($G$754:U754)</f>
        <v>1382.2128484291773</v>
      </c>
      <c r="V756" s="17">
        <f>SUM($G$754:V754)</f>
        <v>1502.4613213586892</v>
      </c>
      <c r="W756" s="17">
        <f>SUM($G$754:W754)</f>
        <v>1616.5575468359939</v>
      </c>
      <c r="X756" s="17">
        <f>SUM($G$754:X754)</f>
        <v>1724.8162910098085</v>
      </c>
      <c r="Y756" s="17">
        <f>SUM($G$754:Y754)</f>
        <v>1827.5362157142652</v>
      </c>
      <c r="Z756" s="17">
        <f>SUM($G$754:Z754)</f>
        <v>1925.0007024105867</v>
      </c>
      <c r="AA756" s="17">
        <f>SUM($G$754:AA754)</f>
        <v>2017.4786339736081</v>
      </c>
      <c r="AB756" s="17">
        <f>SUM($G$754:AB754)</f>
        <v>2105.2251364799167</v>
      </c>
      <c r="AC756" s="17">
        <f>SUM($G$754:AC754)</f>
        <v>2188.4822830440421</v>
      </c>
      <c r="AD756" s="17">
        <f>SUM($G$754:AD754)</f>
        <v>2266.7476532996297</v>
      </c>
      <c r="AE756" s="17">
        <f>SUM($G$754:AE754)</f>
        <v>2341.0087487979545</v>
      </c>
      <c r="AF756" s="17">
        <f>SUM($G$754:AF754)</f>
        <v>2411.4704394103187</v>
      </c>
      <c r="AG756" s="17">
        <f>SUM($G$754:AG754)</f>
        <v>2483.6237781776281</v>
      </c>
      <c r="AH756" s="17">
        <f>SUM($G$754:AH754)</f>
        <v>2515.1183976025918</v>
      </c>
      <c r="AI756" s="17">
        <f>SUM($G$754:AI754)</f>
        <v>2515.1183976025918</v>
      </c>
      <c r="AJ756" s="17">
        <f>SUM($G$754:AJ754)</f>
        <v>2515.1183976025918</v>
      </c>
      <c r="AK756" s="17">
        <f>SUM($G$754:AK754)</f>
        <v>2515.1183976025918</v>
      </c>
      <c r="AL756" s="17">
        <f>SUM($G$754:AL754)</f>
        <v>2515.1183976025918</v>
      </c>
      <c r="AM756" s="17">
        <f>SUM($G$754:AM754)</f>
        <v>2515.1183976025918</v>
      </c>
      <c r="AN756" s="17">
        <f>SUM($G$754:AN754)</f>
        <v>2515.1183976025918</v>
      </c>
      <c r="AO756" s="17">
        <f>SUM($G$754:AO754)</f>
        <v>2515.1183976025918</v>
      </c>
      <c r="AP756" s="17">
        <f>SUM($G$754:AP754)</f>
        <v>2515.1183976025918</v>
      </c>
      <c r="AQ756" s="17">
        <f>SUM($G$754:AQ754)</f>
        <v>2515.1183976025918</v>
      </c>
      <c r="AR756" s="17">
        <f>SUM($G$754:AR754)</f>
        <v>2515.1183976025918</v>
      </c>
      <c r="AS756" s="17">
        <f>SUM($G$754:AS754)</f>
        <v>2515.1183976025918</v>
      </c>
      <c r="AT756" s="17">
        <f>SUM($G$754:AT754)</f>
        <v>2515.1183976025918</v>
      </c>
      <c r="AU756" s="17">
        <f>SUM($G$754:AU754)</f>
        <v>2515.1183976025918</v>
      </c>
      <c r="AV756" s="17">
        <f>SUM($G$754:AV754)</f>
        <v>2515.1183976025918</v>
      </c>
      <c r="AW756" s="17">
        <f>SUM($G$754:AW754)</f>
        <v>2515.1183976025918</v>
      </c>
      <c r="AX756" s="17">
        <f>SUM($G$754:AX754)</f>
        <v>2515.1183976025918</v>
      </c>
      <c r="AY756" s="17">
        <f>SUM($G$754:AY754)</f>
        <v>2515.1183976025918</v>
      </c>
      <c r="AZ756" s="17">
        <f>SUM($G$754:AZ754)</f>
        <v>2515.1183976025918</v>
      </c>
      <c r="BA756" s="17">
        <f>SUM($G$754:BA754)</f>
        <v>2515.1183976025918</v>
      </c>
      <c r="BB756" s="17">
        <f>SUM($G$754:BB754)</f>
        <v>2515.1183976025918</v>
      </c>
      <c r="BC756" s="17">
        <f>SUM($G$754:BC754)</f>
        <v>2515.1183976025918</v>
      </c>
      <c r="BD756" s="17">
        <f>SUM($G$754:BD754)</f>
        <v>2515.1183976025918</v>
      </c>
    </row>
    <row r="757" spans="1:57" ht="15" customHeight="1">
      <c r="C757" s="21"/>
      <c r="D757" s="22"/>
      <c r="E757" s="18"/>
      <c r="G757" s="17"/>
      <c r="H757" s="17"/>
      <c r="I757" s="17"/>
      <c r="J757" s="17"/>
      <c r="K757" s="17"/>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row>
    <row r="758" spans="1:57" ht="15" customHeight="1">
      <c r="C758" s="20"/>
      <c r="D758" s="401" t="s">
        <v>623</v>
      </c>
      <c r="E758" s="18"/>
      <c r="G758" s="17"/>
      <c r="H758" s="17"/>
      <c r="I758" s="17"/>
      <c r="J758" s="17"/>
      <c r="K758" s="17"/>
      <c r="L758" s="17"/>
      <c r="M758" s="17"/>
      <c r="N758" s="17"/>
      <c r="O758" s="448"/>
      <c r="P758" s="17"/>
      <c r="Q758" s="17"/>
      <c r="R758" s="17"/>
      <c r="S758" s="17"/>
      <c r="T758" s="17"/>
      <c r="U758" s="17"/>
      <c r="V758" s="17"/>
      <c r="W758" s="17"/>
      <c r="X758" s="17"/>
      <c r="Y758" s="17"/>
      <c r="Z758" s="17"/>
      <c r="AA758" s="17"/>
      <c r="AB758" s="17"/>
      <c r="AC758" s="17"/>
      <c r="AD758" s="17"/>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row>
    <row r="759" spans="1:57" ht="15" customHeight="1">
      <c r="C759" s="21">
        <f>SUM(G759:BD759)</f>
        <v>3181.5354812344917</v>
      </c>
      <c r="D759" s="22" t="s">
        <v>615</v>
      </c>
      <c r="E759" s="18" t="s">
        <v>333</v>
      </c>
      <c r="G759" s="17">
        <f t="shared" ref="G759:AL759" si="443">G210 + G240 + G411 + G440</f>
        <v>0</v>
      </c>
      <c r="H759" s="17">
        <f t="shared" si="443"/>
        <v>0</v>
      </c>
      <c r="I759" s="17">
        <f t="shared" si="443"/>
        <v>0</v>
      </c>
      <c r="J759" s="17">
        <f t="shared" si="443"/>
        <v>0</v>
      </c>
      <c r="K759" s="17">
        <f t="shared" si="443"/>
        <v>18.184860287999999</v>
      </c>
      <c r="L759" s="17">
        <f t="shared" si="443"/>
        <v>81.724495011398446</v>
      </c>
      <c r="M759" s="17">
        <f t="shared" si="443"/>
        <v>96.709222370076787</v>
      </c>
      <c r="N759" s="17">
        <f t="shared" si="443"/>
        <v>97.631977712646275</v>
      </c>
      <c r="O759" s="17">
        <f t="shared" si="443"/>
        <v>98.553088632851228</v>
      </c>
      <c r="P759" s="17">
        <f t="shared" si="443"/>
        <v>128.12701096224427</v>
      </c>
      <c r="Q759" s="17">
        <f t="shared" si="443"/>
        <v>130.68955118148915</v>
      </c>
      <c r="R759" s="17">
        <f t="shared" si="443"/>
        <v>133.30334220511889</v>
      </c>
      <c r="S759" s="17">
        <f t="shared" si="443"/>
        <v>135.9694090492213</v>
      </c>
      <c r="T759" s="17">
        <f t="shared" si="443"/>
        <v>138.68879723020572</v>
      </c>
      <c r="U759" s="17">
        <f t="shared" si="443"/>
        <v>141.46257317480985</v>
      </c>
      <c r="V759" s="17">
        <f t="shared" si="443"/>
        <v>144.291824638306</v>
      </c>
      <c r="W759" s="17">
        <f t="shared" si="443"/>
        <v>147.17766113107217</v>
      </c>
      <c r="X759" s="17">
        <f t="shared" si="443"/>
        <v>150.12121435369363</v>
      </c>
      <c r="Y759" s="17">
        <f t="shared" si="443"/>
        <v>152.44197565896971</v>
      </c>
      <c r="Z759" s="17">
        <f t="shared" si="443"/>
        <v>155.48919766676855</v>
      </c>
      <c r="AA759" s="17">
        <f t="shared" si="443"/>
        <v>158.59527006737306</v>
      </c>
      <c r="AB759" s="17">
        <f t="shared" si="443"/>
        <v>161.76066347666645</v>
      </c>
      <c r="AC759" s="17">
        <f t="shared" si="443"/>
        <v>164.98545593041672</v>
      </c>
      <c r="AD759" s="17">
        <f t="shared" si="443"/>
        <v>167.10993569312052</v>
      </c>
      <c r="AE759" s="17">
        <f t="shared" si="443"/>
        <v>170.42657906704005</v>
      </c>
      <c r="AF759" s="17">
        <f t="shared" si="443"/>
        <v>173.7921699940502</v>
      </c>
      <c r="AG759" s="17">
        <f t="shared" si="443"/>
        <v>179.56713430293391</v>
      </c>
      <c r="AH759" s="17">
        <f t="shared" si="443"/>
        <v>54.732071436018074</v>
      </c>
      <c r="AI759" s="17">
        <f t="shared" si="443"/>
        <v>0</v>
      </c>
      <c r="AJ759" s="17">
        <f t="shared" si="443"/>
        <v>0</v>
      </c>
      <c r="AK759" s="17">
        <f t="shared" si="443"/>
        <v>0</v>
      </c>
      <c r="AL759" s="17">
        <f t="shared" si="443"/>
        <v>0</v>
      </c>
      <c r="AM759" s="17">
        <f t="shared" ref="AM759:BD759" si="444">AM210 + AM240 + AM411 + AM440</f>
        <v>0</v>
      </c>
      <c r="AN759" s="17">
        <f t="shared" si="444"/>
        <v>0</v>
      </c>
      <c r="AO759" s="17">
        <f t="shared" si="444"/>
        <v>0</v>
      </c>
      <c r="AP759" s="17">
        <f t="shared" si="444"/>
        <v>0</v>
      </c>
      <c r="AQ759" s="17">
        <f t="shared" si="444"/>
        <v>0</v>
      </c>
      <c r="AR759" s="17">
        <f t="shared" si="444"/>
        <v>0</v>
      </c>
      <c r="AS759" s="17">
        <f t="shared" si="444"/>
        <v>0</v>
      </c>
      <c r="AT759" s="17">
        <f t="shared" si="444"/>
        <v>0</v>
      </c>
      <c r="AU759" s="17">
        <f t="shared" si="444"/>
        <v>0</v>
      </c>
      <c r="AV759" s="17">
        <f t="shared" si="444"/>
        <v>0</v>
      </c>
      <c r="AW759" s="17">
        <f t="shared" si="444"/>
        <v>0</v>
      </c>
      <c r="AX759" s="17">
        <f t="shared" si="444"/>
        <v>0</v>
      </c>
      <c r="AY759" s="17">
        <f t="shared" si="444"/>
        <v>0</v>
      </c>
      <c r="AZ759" s="17">
        <f t="shared" si="444"/>
        <v>0</v>
      </c>
      <c r="BA759" s="17">
        <f t="shared" si="444"/>
        <v>0</v>
      </c>
      <c r="BB759" s="17">
        <f t="shared" si="444"/>
        <v>0</v>
      </c>
      <c r="BC759" s="17">
        <f t="shared" si="444"/>
        <v>0</v>
      </c>
      <c r="BD759" s="17">
        <f t="shared" si="444"/>
        <v>0</v>
      </c>
    </row>
    <row r="760" spans="1:57" ht="15" customHeight="1">
      <c r="C760" s="21">
        <f>SUM(G760:BD760)</f>
        <v>1051.8616451939465</v>
      </c>
      <c r="D760" s="22" t="str">
        <f>"Initial government benefits NPV"&amp;$E$735*100</f>
        <v>Initial government benefits NPV7.5</v>
      </c>
      <c r="E760" s="18" t="s">
        <v>333</v>
      </c>
      <c r="F760" s="400"/>
      <c r="G760" s="17">
        <f t="shared" ref="G760:AL760" si="445">G$759/G736</f>
        <v>0</v>
      </c>
      <c r="H760" s="17">
        <f t="shared" si="445"/>
        <v>0</v>
      </c>
      <c r="I760" s="17">
        <f t="shared" si="445"/>
        <v>0</v>
      </c>
      <c r="J760" s="17">
        <f t="shared" si="445"/>
        <v>0</v>
      </c>
      <c r="K760" s="17">
        <f t="shared" si="445"/>
        <v>13.61683301756376</v>
      </c>
      <c r="L760" s="17">
        <f t="shared" si="445"/>
        <v>56.925902474643593</v>
      </c>
      <c r="M760" s="17">
        <f t="shared" si="445"/>
        <v>62.663854576506004</v>
      </c>
      <c r="N760" s="17">
        <f t="shared" si="445"/>
        <v>58.848153050650438</v>
      </c>
      <c r="O760" s="17">
        <f t="shared" si="445"/>
        <v>55.258936904255386</v>
      </c>
      <c r="P760" s="17">
        <f t="shared" si="445"/>
        <v>66.828931353068285</v>
      </c>
      <c r="Q760" s="17">
        <f t="shared" si="445"/>
        <v>63.40977672570201</v>
      </c>
      <c r="R760" s="17">
        <f t="shared" si="445"/>
        <v>60.165555590898627</v>
      </c>
      <c r="S760" s="17">
        <f t="shared" si="445"/>
        <v>57.087317862992201</v>
      </c>
      <c r="T760" s="17">
        <f t="shared" si="445"/>
        <v>54.166571367676312</v>
      </c>
      <c r="U760" s="17">
        <f t="shared" si="445"/>
        <v>51.395258413981253</v>
      </c>
      <c r="V760" s="17">
        <f t="shared" si="445"/>
        <v>48.765733564893829</v>
      </c>
      <c r="W760" s="17">
        <f t="shared" si="445"/>
        <v>46.270742545294624</v>
      </c>
      <c r="X760" s="17">
        <f t="shared" si="445"/>
        <v>43.903402229023747</v>
      </c>
      <c r="Y760" s="17">
        <f t="shared" si="445"/>
        <v>41.471735699723695</v>
      </c>
      <c r="Z760" s="17">
        <f t="shared" si="445"/>
        <v>39.34951662556329</v>
      </c>
      <c r="AA760" s="17">
        <f t="shared" si="445"/>
        <v>37.335411794082376</v>
      </c>
      <c r="AB760" s="17">
        <f t="shared" si="445"/>
        <v>35.423801880385511</v>
      </c>
      <c r="AC760" s="17">
        <f t="shared" si="445"/>
        <v>33.609298487652886</v>
      </c>
      <c r="AD760" s="17">
        <f t="shared" si="445"/>
        <v>31.667049016542858</v>
      </c>
      <c r="AE760" s="17">
        <f t="shared" si="445"/>
        <v>30.042369584515662</v>
      </c>
      <c r="AF760" s="17">
        <f t="shared" si="445"/>
        <v>28.498276749248642</v>
      </c>
      <c r="AG760" s="17">
        <f t="shared" si="445"/>
        <v>27.390930205352184</v>
      </c>
      <c r="AH760" s="17">
        <f t="shared" si="445"/>
        <v>7.7662854737295142</v>
      </c>
      <c r="AI760" s="17">
        <f t="shared" si="445"/>
        <v>0</v>
      </c>
      <c r="AJ760" s="17">
        <f t="shared" si="445"/>
        <v>0</v>
      </c>
      <c r="AK760" s="17">
        <f t="shared" si="445"/>
        <v>0</v>
      </c>
      <c r="AL760" s="17">
        <f t="shared" si="445"/>
        <v>0</v>
      </c>
      <c r="AM760" s="17">
        <f t="shared" ref="AM760:BD760" si="446">AM$759/AM736</f>
        <v>0</v>
      </c>
      <c r="AN760" s="17">
        <f t="shared" si="446"/>
        <v>0</v>
      </c>
      <c r="AO760" s="17">
        <f t="shared" si="446"/>
        <v>0</v>
      </c>
      <c r="AP760" s="17">
        <f t="shared" si="446"/>
        <v>0</v>
      </c>
      <c r="AQ760" s="17">
        <f t="shared" si="446"/>
        <v>0</v>
      </c>
      <c r="AR760" s="17">
        <f t="shared" si="446"/>
        <v>0</v>
      </c>
      <c r="AS760" s="17">
        <f t="shared" si="446"/>
        <v>0</v>
      </c>
      <c r="AT760" s="17">
        <f t="shared" si="446"/>
        <v>0</v>
      </c>
      <c r="AU760" s="17">
        <f t="shared" si="446"/>
        <v>0</v>
      </c>
      <c r="AV760" s="17">
        <f t="shared" si="446"/>
        <v>0</v>
      </c>
      <c r="AW760" s="17">
        <f t="shared" si="446"/>
        <v>0</v>
      </c>
      <c r="AX760" s="17">
        <f t="shared" si="446"/>
        <v>0</v>
      </c>
      <c r="AY760" s="17">
        <f t="shared" si="446"/>
        <v>0</v>
      </c>
      <c r="AZ760" s="17">
        <f t="shared" si="446"/>
        <v>0</v>
      </c>
      <c r="BA760" s="17">
        <f t="shared" si="446"/>
        <v>0</v>
      </c>
      <c r="BB760" s="17">
        <f t="shared" si="446"/>
        <v>0</v>
      </c>
      <c r="BC760" s="17">
        <f t="shared" si="446"/>
        <v>0</v>
      </c>
      <c r="BD760" s="17">
        <f t="shared" si="446"/>
        <v>0</v>
      </c>
    </row>
    <row r="761" spans="1:57" ht="15" customHeight="1">
      <c r="C761" s="21">
        <f t="shared" ref="C761:C762" si="447">SUM(G761:BD761)</f>
        <v>151455.16399565054</v>
      </c>
      <c r="D761" s="22" t="s">
        <v>619</v>
      </c>
      <c r="E761" s="18" t="s">
        <v>333</v>
      </c>
      <c r="F761" s="400"/>
      <c r="G761" s="17">
        <f>SUM($F776:F$776) + G759</f>
        <v>0</v>
      </c>
      <c r="H761" s="17">
        <f>SUM($F776:G$776) + H759</f>
        <v>0</v>
      </c>
      <c r="I761" s="17">
        <f>SUM($F776:H$776) + I759</f>
        <v>0</v>
      </c>
      <c r="J761" s="17">
        <f>SUM($F776:I$776) + J759</f>
        <v>2.9261250000000003</v>
      </c>
      <c r="K761" s="17">
        <f>SUM($F776:J$776) + K759</f>
        <v>33.049575288</v>
      </c>
      <c r="L761" s="17">
        <f>SUM($F776:K$776) + L759</f>
        <v>123.24399895179845</v>
      </c>
      <c r="M761" s="17">
        <f>SUM($F776:L$776) + M759</f>
        <v>231.87580443494724</v>
      </c>
      <c r="N761" s="17">
        <f>SUM($F776:M$776) + N759</f>
        <v>348.95923336095115</v>
      </c>
      <c r="O761" s="17">
        <f>SUM($F776:N$776) + O759</f>
        <v>497.61427138202384</v>
      </c>
      <c r="P761" s="17">
        <f>SUM($F776:O$776) + P759</f>
        <v>677.80299316988919</v>
      </c>
      <c r="Q761" s="17">
        <f>SUM($F776:P$776) + Q759</f>
        <v>865.77403379137183</v>
      </c>
      <c r="R761" s="17">
        <f>SUM($F776:Q$776) + R759</f>
        <v>1057.5044952252842</v>
      </c>
      <c r="S761" s="17">
        <f>SUM($F776:R$776) + S759</f>
        <v>1253.0695658878747</v>
      </c>
      <c r="T761" s="17">
        <f>SUM($F776:S$776) + T759</f>
        <v>1452.5459379637171</v>
      </c>
      <c r="U761" s="17">
        <f>SUM($F776:T$776) + U759</f>
        <v>1656.0118374810766</v>
      </c>
      <c r="V761" s="17">
        <f>SUM($F776:U$776) + V759</f>
        <v>1863.547054988783</v>
      </c>
      <c r="W761" s="17">
        <f>SUM($F776:V$776) + W759</f>
        <v>2075.2329768466434</v>
      </c>
      <c r="X761" s="17">
        <f>SUM($F776:W$776) + X759</f>
        <v>2291.1526171416613</v>
      </c>
      <c r="Y761" s="17">
        <f>SUM($F776:X$776) + Y759</f>
        <v>2510.7089872607817</v>
      </c>
      <c r="Z761" s="17">
        <f>SUM($F776:Y$776) + Z759</f>
        <v>2734.2667738192672</v>
      </c>
      <c r="AA761" s="17">
        <f>SUM($F776:Z$776) + AA759</f>
        <v>2962.2910836564611</v>
      </c>
      <c r="AB761" s="17">
        <f>SUM($F776:AA$776) + AB759</f>
        <v>3194.8672545876575</v>
      </c>
      <c r="AC761" s="17">
        <f>SUM($F776:AB$776) + AC759</f>
        <v>3432.0808206275515</v>
      </c>
      <c r="AD761" s="17">
        <f>SUM($F776:AC$776) + AD759</f>
        <v>3672.8574957145529</v>
      </c>
      <c r="AE761" s="17">
        <f>SUM($F776:AD$776) + AE759</f>
        <v>3917.7550517167233</v>
      </c>
      <c r="AF761" s="17">
        <f>SUM($F776:AE$776) + AF759</f>
        <v>4167.4930686777316</v>
      </c>
      <c r="AG761" s="17">
        <f>SUM($F776:AF$776) + AG759</f>
        <v>4424.500519341098</v>
      </c>
      <c r="AH761" s="17">
        <f>SUM($F776:AG$776) + AH759</f>
        <v>4564.8086403682892</v>
      </c>
      <c r="AI761" s="17">
        <f>SUM($F776:AH$776) + AI759</f>
        <v>4611.0556263166563</v>
      </c>
      <c r="AJ761" s="17">
        <f>SUM($F776:AI$776) + AJ759</f>
        <v>4611.0556263166563</v>
      </c>
      <c r="AK761" s="17">
        <f>SUM($F776:AJ$776) + AK759</f>
        <v>4611.0556263166563</v>
      </c>
      <c r="AL761" s="17">
        <f>SUM($F776:AK$776) + AL759</f>
        <v>4611.0556263166563</v>
      </c>
      <c r="AM761" s="17">
        <f>SUM($F776:AL$776) + AM759</f>
        <v>4611.0556263166563</v>
      </c>
      <c r="AN761" s="17">
        <f>SUM($F776:AM$776) + AN759</f>
        <v>4611.0556263166563</v>
      </c>
      <c r="AO761" s="17">
        <f>SUM($F776:AN$776) + AO759</f>
        <v>4611.0556263166563</v>
      </c>
      <c r="AP761" s="17">
        <f>SUM($F776:AO$776) + AP759</f>
        <v>4611.0556263166563</v>
      </c>
      <c r="AQ761" s="17">
        <f>SUM($F776:AP$776) + AQ759</f>
        <v>4611.0556263166563</v>
      </c>
      <c r="AR761" s="17">
        <f>SUM($F776:AQ$776) + AR759</f>
        <v>4611.0556263166563</v>
      </c>
      <c r="AS761" s="17">
        <f>SUM($F776:AR$776) + AS759</f>
        <v>4611.0556263166563</v>
      </c>
      <c r="AT761" s="17">
        <f>SUM($F776:AS$776) + AT759</f>
        <v>4611.0556263166563</v>
      </c>
      <c r="AU761" s="17">
        <f>SUM($F776:AT$776) + AU759</f>
        <v>4611.0556263166563</v>
      </c>
      <c r="AV761" s="17">
        <f>SUM($F776:AU$776) + AV759</f>
        <v>4611.0556263166563</v>
      </c>
      <c r="AW761" s="17">
        <f>SUM($F776:AV$776) + AW759</f>
        <v>4611.0556263166563</v>
      </c>
      <c r="AX761" s="17">
        <f>SUM($F776:AW$776) + AX759</f>
        <v>4611.0556263166563</v>
      </c>
      <c r="AY761" s="17">
        <f>SUM($F776:AX$776) + AY759</f>
        <v>4611.0556263166563</v>
      </c>
      <c r="AZ761" s="17">
        <f>SUM($F776:AY$776) + AZ759</f>
        <v>4611.0556263166563</v>
      </c>
      <c r="BA761" s="17">
        <f>SUM($F776:AZ$776) + BA759</f>
        <v>4611.0556263166563</v>
      </c>
      <c r="BB761" s="17">
        <f>SUM($F776:BA$776) + BB759</f>
        <v>4611.0556263166563</v>
      </c>
      <c r="BC761" s="17">
        <f>SUM($F776:BB$776) + BC759</f>
        <v>4611.0556263166563</v>
      </c>
      <c r="BD761" s="17">
        <f>SUM($F776:BC$776) + BD759</f>
        <v>4611.0556263166563</v>
      </c>
    </row>
    <row r="762" spans="1:57" ht="15" customHeight="1">
      <c r="C762" s="21">
        <f t="shared" si="447"/>
        <v>37991.877368399953</v>
      </c>
      <c r="D762" s="22" t="str">
        <f>"Cumulative initial government benefits NPV"&amp;$E$735*100</f>
        <v>Cumulative initial government benefits NPV7.5</v>
      </c>
      <c r="E762" s="18" t="s">
        <v>333</v>
      </c>
      <c r="F762" s="400"/>
      <c r="G762" s="17">
        <f>SUM($F$768:F768) + G760</f>
        <v>0</v>
      </c>
      <c r="H762" s="17">
        <f>SUM($F$768:G768) + H760</f>
        <v>0</v>
      </c>
      <c r="I762" s="17">
        <f>SUM($F$768:H768) + I760</f>
        <v>0</v>
      </c>
      <c r="J762" s="17">
        <f>SUM($F$768:I768) + J760</f>
        <v>0</v>
      </c>
      <c r="K762" s="17">
        <f>SUM($F$768:J768) + K760</f>
        <v>13.61683301756376</v>
      </c>
      <c r="L762" s="17">
        <f>SUM($F$768:K768) + L760</f>
        <v>70.542735492207356</v>
      </c>
      <c r="M762" s="17">
        <f>SUM($F$768:L768) + M760</f>
        <v>133.20659006871335</v>
      </c>
      <c r="N762" s="17">
        <f>SUM($F$768:M768) + N760</f>
        <v>192.05474311936379</v>
      </c>
      <c r="O762" s="17">
        <f>SUM($F$768:N768) + O760</f>
        <v>247.31368002361918</v>
      </c>
      <c r="P762" s="17">
        <f>SUM($F$768:O768) + P760</f>
        <v>314.14261137668746</v>
      </c>
      <c r="Q762" s="17">
        <f>SUM($F$768:P768) + Q760</f>
        <v>377.55238810238944</v>
      </c>
      <c r="R762" s="17">
        <f>SUM($F$768:Q768) + R760</f>
        <v>437.71794369328808</v>
      </c>
      <c r="S762" s="17">
        <f>SUM($F$768:R768) + S760</f>
        <v>494.8052615562803</v>
      </c>
      <c r="T762" s="17">
        <f>SUM($F$768:S768) + T760</f>
        <v>548.97183292395664</v>
      </c>
      <c r="U762" s="17">
        <f>SUM($F$768:T768) + U760</f>
        <v>600.36709133793784</v>
      </c>
      <c r="V762" s="17">
        <f>SUM($F$768:U768) + V760</f>
        <v>649.13282490283166</v>
      </c>
      <c r="W762" s="17">
        <f>SUM($F$768:V768) + W760</f>
        <v>695.4035674481263</v>
      </c>
      <c r="X762" s="17">
        <f>SUM($F$768:W768) + X760</f>
        <v>739.30696967715005</v>
      </c>
      <c r="Y762" s="17">
        <f>SUM($F$768:X768) + Y760</f>
        <v>780.77870537687375</v>
      </c>
      <c r="Z762" s="17">
        <f>SUM($F$768:Y768) + Z760</f>
        <v>820.12822200243704</v>
      </c>
      <c r="AA762" s="17">
        <f>SUM($F$768:Z768) + AA760</f>
        <v>857.46363379651939</v>
      </c>
      <c r="AB762" s="17">
        <f>SUM($F$768:AA768) + AB760</f>
        <v>892.88743567690494</v>
      </c>
      <c r="AC762" s="17">
        <f>SUM($F$768:AB768) + AC760</f>
        <v>926.49673416455778</v>
      </c>
      <c r="AD762" s="17">
        <f>SUM($F$768:AC768) + AD760</f>
        <v>958.1637831811006</v>
      </c>
      <c r="AE762" s="17">
        <f>SUM($F$768:AD768) + AE760</f>
        <v>988.20615276561625</v>
      </c>
      <c r="AF762" s="17">
        <f>SUM($F$768:AE768) + AF760</f>
        <v>1016.7044295148648</v>
      </c>
      <c r="AG762" s="17">
        <f>SUM($F$768:AF768) + AG760</f>
        <v>1044.0953597202169</v>
      </c>
      <c r="AH762" s="17">
        <f>SUM($F$768:AG768) + AH760</f>
        <v>1051.8616451939465</v>
      </c>
      <c r="AI762" s="17">
        <f>SUM($F$768:AH768) + AI760</f>
        <v>1051.8616451939465</v>
      </c>
      <c r="AJ762" s="17">
        <f>SUM($F$768:AI768) + AJ760</f>
        <v>1051.8616451939465</v>
      </c>
      <c r="AK762" s="17">
        <f>SUM($F$768:AJ768) + AK760</f>
        <v>1051.8616451939465</v>
      </c>
      <c r="AL762" s="17">
        <f>SUM($F$768:AK768) + AL760</f>
        <v>1051.8616451939465</v>
      </c>
      <c r="AM762" s="17">
        <f>SUM($F$768:AL768) + AM760</f>
        <v>1051.8616451939465</v>
      </c>
      <c r="AN762" s="17">
        <f>SUM($F$768:AM768) + AN760</f>
        <v>1051.8616451939465</v>
      </c>
      <c r="AO762" s="17">
        <f>SUM($F$768:AN768) + AO760</f>
        <v>1051.8616451939465</v>
      </c>
      <c r="AP762" s="17">
        <f>SUM($F$768:AO768) + AP760</f>
        <v>1051.8616451939465</v>
      </c>
      <c r="AQ762" s="17">
        <f>SUM($F$768:AP768) + AQ760</f>
        <v>1051.8616451939465</v>
      </c>
      <c r="AR762" s="17">
        <f>SUM($F$768:AQ768) + AR760</f>
        <v>1051.8616451939465</v>
      </c>
      <c r="AS762" s="17">
        <f>SUM($F$768:AR768) + AS760</f>
        <v>1051.8616451939465</v>
      </c>
      <c r="AT762" s="17">
        <f>SUM($F$768:AS768) + AT760</f>
        <v>1051.8616451939465</v>
      </c>
      <c r="AU762" s="17">
        <f>SUM($F$768:AT768) + AU760</f>
        <v>1051.8616451939465</v>
      </c>
      <c r="AV762" s="17">
        <f>SUM($F$768:AU768) + AV760</f>
        <v>1051.8616451939465</v>
      </c>
      <c r="AW762" s="17">
        <f>SUM($F$768:AV768) + AW760</f>
        <v>1051.8616451939465</v>
      </c>
      <c r="AX762" s="17">
        <f>SUM($F$768:AW768) + AX760</f>
        <v>1051.8616451939465</v>
      </c>
      <c r="AY762" s="17">
        <f>SUM($F$768:AX768) + AY760</f>
        <v>1051.8616451939465</v>
      </c>
      <c r="AZ762" s="17">
        <f>SUM($F$768:AY768) + AZ760</f>
        <v>1051.8616451939465</v>
      </c>
      <c r="BA762" s="17">
        <f>SUM($F$768:AZ768) + BA760</f>
        <v>1051.8616451939465</v>
      </c>
      <c r="BB762" s="17">
        <f>SUM($F$768:BA768) + BB760</f>
        <v>1051.8616451939465</v>
      </c>
      <c r="BC762" s="17">
        <f>SUM($F$768:BB768) + BC760</f>
        <v>1051.8616451939465</v>
      </c>
      <c r="BD762" s="17">
        <f>SUM($F$768:BC768) + BD760</f>
        <v>1051.8616451939465</v>
      </c>
    </row>
    <row r="763" spans="1:57" ht="15" customHeight="1">
      <c r="C763" s="21"/>
      <c r="D763" s="22" t="str">
        <f>"Initial government share of cumulative benefits NPV"&amp;$E$735*100</f>
        <v>Initial government share of cumulative benefits NPV7.5</v>
      </c>
      <c r="E763" s="18" t="s">
        <v>30</v>
      </c>
      <c r="G763" s="6" t="str">
        <f t="shared" ref="G763:AL763" si="448">IFERROR(G762 / G756, "-")</f>
        <v>-</v>
      </c>
      <c r="H763" s="6" t="str">
        <f t="shared" si="448"/>
        <v>-</v>
      </c>
      <c r="I763" s="6" t="str">
        <f t="shared" si="448"/>
        <v>-</v>
      </c>
      <c r="J763" s="6" t="str">
        <f t="shared" si="448"/>
        <v>-</v>
      </c>
      <c r="K763" s="6">
        <f t="shared" si="448"/>
        <v>1</v>
      </c>
      <c r="L763" s="6">
        <f t="shared" si="448"/>
        <v>1</v>
      </c>
      <c r="M763" s="6">
        <f t="shared" si="448"/>
        <v>0.88343217087085524</v>
      </c>
      <c r="N763" s="6">
        <f t="shared" si="448"/>
        <v>0.57048812041207364</v>
      </c>
      <c r="O763" s="6">
        <f t="shared" si="448"/>
        <v>0.48337459761419294</v>
      </c>
      <c r="P763" s="6">
        <f t="shared" si="448"/>
        <v>0.46441313368459591</v>
      </c>
      <c r="Q763" s="6">
        <f t="shared" si="448"/>
        <v>0.45335979022481876</v>
      </c>
      <c r="R763" s="6">
        <f t="shared" si="448"/>
        <v>0.44612919543728302</v>
      </c>
      <c r="S763" s="6">
        <f t="shared" si="448"/>
        <v>0.44103658724876066</v>
      </c>
      <c r="T763" s="6">
        <f t="shared" si="448"/>
        <v>0.43726038067988771</v>
      </c>
      <c r="U763" s="6">
        <f t="shared" si="448"/>
        <v>0.43435212747459845</v>
      </c>
      <c r="V763" s="6">
        <f t="shared" si="448"/>
        <v>0.43204628011043572</v>
      </c>
      <c r="W763" s="6">
        <f t="shared" si="448"/>
        <v>0.43017557204146828</v>
      </c>
      <c r="X763" s="6">
        <f t="shared" si="448"/>
        <v>0.42862939869631939</v>
      </c>
      <c r="Y763" s="6">
        <f t="shared" si="448"/>
        <v>0.42723022321706389</v>
      </c>
      <c r="Z763" s="6">
        <f t="shared" si="448"/>
        <v>0.42604047934913974</v>
      </c>
      <c r="AA763" s="6">
        <f t="shared" si="448"/>
        <v>0.42501745463726004</v>
      </c>
      <c r="AB763" s="6">
        <f t="shared" si="448"/>
        <v>0.42412919179270064</v>
      </c>
      <c r="AC763" s="6">
        <f t="shared" si="448"/>
        <v>0.42335126098250092</v>
      </c>
      <c r="AD763" s="6">
        <f t="shared" si="448"/>
        <v>0.42270421314270834</v>
      </c>
      <c r="AE763" s="6">
        <f t="shared" si="448"/>
        <v>0.42212834671080735</v>
      </c>
      <c r="AF763" s="6">
        <f t="shared" si="448"/>
        <v>0.4216118153053045</v>
      </c>
      <c r="AG763" s="6">
        <f t="shared" si="448"/>
        <v>0.42039191639819434</v>
      </c>
      <c r="AH763" s="6">
        <f t="shared" si="448"/>
        <v>0.41821555843914937</v>
      </c>
      <c r="AI763" s="6">
        <f t="shared" si="448"/>
        <v>0.41821555843914937</v>
      </c>
      <c r="AJ763" s="6">
        <f t="shared" si="448"/>
        <v>0.41821555843914937</v>
      </c>
      <c r="AK763" s="6">
        <f t="shared" si="448"/>
        <v>0.41821555843914937</v>
      </c>
      <c r="AL763" s="6">
        <f t="shared" si="448"/>
        <v>0.41821555843914937</v>
      </c>
      <c r="AM763" s="6">
        <f t="shared" ref="AM763:BD763" si="449">IFERROR(AM762 / AM756, "-")</f>
        <v>0.41821555843914937</v>
      </c>
      <c r="AN763" s="6">
        <f t="shared" si="449"/>
        <v>0.41821555843914937</v>
      </c>
      <c r="AO763" s="6">
        <f t="shared" si="449"/>
        <v>0.41821555843914937</v>
      </c>
      <c r="AP763" s="6">
        <f t="shared" si="449"/>
        <v>0.41821555843914937</v>
      </c>
      <c r="AQ763" s="6">
        <f t="shared" si="449"/>
        <v>0.41821555843914937</v>
      </c>
      <c r="AR763" s="6">
        <f t="shared" si="449"/>
        <v>0.41821555843914937</v>
      </c>
      <c r="AS763" s="6">
        <f t="shared" si="449"/>
        <v>0.41821555843914937</v>
      </c>
      <c r="AT763" s="6">
        <f t="shared" si="449"/>
        <v>0.41821555843914937</v>
      </c>
      <c r="AU763" s="6">
        <f t="shared" si="449"/>
        <v>0.41821555843914937</v>
      </c>
      <c r="AV763" s="6">
        <f t="shared" si="449"/>
        <v>0.41821555843914937</v>
      </c>
      <c r="AW763" s="6">
        <f t="shared" si="449"/>
        <v>0.41821555843914937</v>
      </c>
      <c r="AX763" s="6">
        <f t="shared" si="449"/>
        <v>0.41821555843914937</v>
      </c>
      <c r="AY763" s="6">
        <f t="shared" si="449"/>
        <v>0.41821555843914937</v>
      </c>
      <c r="AZ763" s="6">
        <f t="shared" si="449"/>
        <v>0.41821555843914937</v>
      </c>
      <c r="BA763" s="6">
        <f t="shared" si="449"/>
        <v>0.41821555843914937</v>
      </c>
      <c r="BB763" s="6">
        <f t="shared" si="449"/>
        <v>0.41821555843914937</v>
      </c>
      <c r="BC763" s="6">
        <f t="shared" si="449"/>
        <v>0.41821555843914937</v>
      </c>
      <c r="BD763" s="6">
        <f t="shared" si="449"/>
        <v>0.41821555843914937</v>
      </c>
    </row>
    <row r="764" spans="1:57" s="90" customFormat="1" ht="15" customHeight="1">
      <c r="A764" s="45"/>
      <c r="B764" s="21"/>
      <c r="C764" s="21">
        <f t="shared" ref="C764:C769" si="450">SUM(G764:BD764)</f>
        <v>0</v>
      </c>
      <c r="D764" s="18" t="str">
        <f>Inputs!E94*100&amp;"% share of cumulative benefits NPV"&amp;$E$735*100</f>
        <v>0% share of cumulative benefits NPV7.5</v>
      </c>
      <c r="E764" s="18" t="s">
        <v>333</v>
      </c>
      <c r="F764" s="46"/>
      <c r="G764" s="448">
        <f>G756 * Inputs!$E$94</f>
        <v>0</v>
      </c>
      <c r="H764" s="448">
        <f>H756 * Inputs!$E$94</f>
        <v>0</v>
      </c>
      <c r="I764" s="448">
        <f>I756 * Inputs!$E$94</f>
        <v>0</v>
      </c>
      <c r="J764" s="448">
        <f>J756 * Inputs!$E$94</f>
        <v>0</v>
      </c>
      <c r="K764" s="448">
        <f>K756 * Inputs!$E$94</f>
        <v>0</v>
      </c>
      <c r="L764" s="448">
        <f>L756 * Inputs!$E$94</f>
        <v>0</v>
      </c>
      <c r="M764" s="448">
        <f>M756 * Inputs!$E$94</f>
        <v>0</v>
      </c>
      <c r="N764" s="448">
        <f>N756 * Inputs!$E$94</f>
        <v>0</v>
      </c>
      <c r="O764" s="448">
        <f>O756 * Inputs!$E$94</f>
        <v>0</v>
      </c>
      <c r="P764" s="448">
        <f>P756 * Inputs!$E$94</f>
        <v>0</v>
      </c>
      <c r="Q764" s="448">
        <f>Q756 * Inputs!$E$94</f>
        <v>0</v>
      </c>
      <c r="R764" s="448">
        <f>R756 * Inputs!$E$94</f>
        <v>0</v>
      </c>
      <c r="S764" s="448">
        <f>S756 * Inputs!$E$94</f>
        <v>0</v>
      </c>
      <c r="T764" s="448">
        <f>T756 * Inputs!$E$94</f>
        <v>0</v>
      </c>
      <c r="U764" s="448">
        <f>U756 * Inputs!$E$94</f>
        <v>0</v>
      </c>
      <c r="V764" s="448">
        <f>V756 * Inputs!$E$94</f>
        <v>0</v>
      </c>
      <c r="W764" s="448">
        <f>W756 * Inputs!$E$94</f>
        <v>0</v>
      </c>
      <c r="X764" s="448">
        <f>X756 * Inputs!$E$94</f>
        <v>0</v>
      </c>
      <c r="Y764" s="448">
        <f>Y756 * Inputs!$E$94</f>
        <v>0</v>
      </c>
      <c r="Z764" s="448">
        <f>Z756 * Inputs!$E$94</f>
        <v>0</v>
      </c>
      <c r="AA764" s="448">
        <f>AA756 * Inputs!$E$94</f>
        <v>0</v>
      </c>
      <c r="AB764" s="448">
        <f>AB756 * Inputs!$E$94</f>
        <v>0</v>
      </c>
      <c r="AC764" s="448">
        <f>AC756 * Inputs!$E$94</f>
        <v>0</v>
      </c>
      <c r="AD764" s="448">
        <f>AD756 * Inputs!$E$94</f>
        <v>0</v>
      </c>
      <c r="AE764" s="448">
        <f>AE756 * Inputs!$E$94</f>
        <v>0</v>
      </c>
      <c r="AF764" s="448">
        <f>AF756 * Inputs!$E$94</f>
        <v>0</v>
      </c>
      <c r="AG764" s="448">
        <f>AG756 * Inputs!$E$94</f>
        <v>0</v>
      </c>
      <c r="AH764" s="448">
        <f>AH756 * Inputs!$E$94</f>
        <v>0</v>
      </c>
      <c r="AI764" s="448">
        <f>AI756 * Inputs!$E$94</f>
        <v>0</v>
      </c>
      <c r="AJ764" s="448">
        <f>AJ756 * Inputs!$E$94</f>
        <v>0</v>
      </c>
      <c r="AK764" s="448">
        <f>AK756 * Inputs!$E$94</f>
        <v>0</v>
      </c>
      <c r="AL764" s="448">
        <f>AL756 * Inputs!$E$94</f>
        <v>0</v>
      </c>
      <c r="AM764" s="448">
        <f>AM756 * Inputs!$E$94</f>
        <v>0</v>
      </c>
      <c r="AN764" s="448">
        <f>AN756 * Inputs!$E$94</f>
        <v>0</v>
      </c>
      <c r="AO764" s="448">
        <f>AO756 * Inputs!$E$94</f>
        <v>0</v>
      </c>
      <c r="AP764" s="448">
        <f>AP756 * Inputs!$E$94</f>
        <v>0</v>
      </c>
      <c r="AQ764" s="448">
        <f>AQ756 * Inputs!$E$94</f>
        <v>0</v>
      </c>
      <c r="AR764" s="448">
        <f>AR756 * Inputs!$E$94</f>
        <v>0</v>
      </c>
      <c r="AS764" s="448">
        <f>AS756 * Inputs!$E$94</f>
        <v>0</v>
      </c>
      <c r="AT764" s="448">
        <f>AT756 * Inputs!$E$94</f>
        <v>0</v>
      </c>
      <c r="AU764" s="448">
        <f>AU756 * Inputs!$E$94</f>
        <v>0</v>
      </c>
      <c r="AV764" s="448">
        <f>AV756 * Inputs!$E$94</f>
        <v>0</v>
      </c>
      <c r="AW764" s="448">
        <f>AW756 * Inputs!$E$94</f>
        <v>0</v>
      </c>
      <c r="AX764" s="448">
        <f>AX756 * Inputs!$E$94</f>
        <v>0</v>
      </c>
      <c r="AY764" s="448">
        <f>AY756 * Inputs!$E$94</f>
        <v>0</v>
      </c>
      <c r="AZ764" s="448">
        <f>AZ756 * Inputs!$E$94</f>
        <v>0</v>
      </c>
      <c r="BA764" s="448">
        <f>BA756 * Inputs!$E$94</f>
        <v>0</v>
      </c>
      <c r="BB764" s="448">
        <f>BB756 * Inputs!$E$94</f>
        <v>0</v>
      </c>
      <c r="BC764" s="448">
        <f>BC756 * Inputs!$E$94</f>
        <v>0</v>
      </c>
      <c r="BD764" s="448">
        <f>BD756 * Inputs!$E$94</f>
        <v>0</v>
      </c>
      <c r="BE764" s="46"/>
    </row>
    <row r="765" spans="1:57" s="90" customFormat="1" ht="15" customHeight="1">
      <c r="A765" s="45"/>
      <c r="B765" s="21"/>
      <c r="C765" s="21">
        <f t="shared" si="450"/>
        <v>37991.877368399953</v>
      </c>
      <c r="D765" s="18" t="str">
        <f>"Difference between initial government share and "&amp;Inputs!E94*100&amp;"% share of cumulative benefits"</f>
        <v>Difference between initial government share and 0% share of cumulative benefits</v>
      </c>
      <c r="E765" s="18" t="s">
        <v>333</v>
      </c>
      <c r="F765" s="46"/>
      <c r="G765" s="448">
        <f t="shared" ref="G765:AL765" si="451">IFERROR(G762 - G764, "-")</f>
        <v>0</v>
      </c>
      <c r="H765" s="448">
        <f t="shared" si="451"/>
        <v>0</v>
      </c>
      <c r="I765" s="448">
        <f t="shared" si="451"/>
        <v>0</v>
      </c>
      <c r="J765" s="448">
        <f t="shared" si="451"/>
        <v>0</v>
      </c>
      <c r="K765" s="448">
        <f t="shared" si="451"/>
        <v>13.61683301756376</v>
      </c>
      <c r="L765" s="448">
        <f t="shared" si="451"/>
        <v>70.542735492207356</v>
      </c>
      <c r="M765" s="448">
        <f t="shared" si="451"/>
        <v>133.20659006871335</v>
      </c>
      <c r="N765" s="448">
        <f t="shared" si="451"/>
        <v>192.05474311936379</v>
      </c>
      <c r="O765" s="448">
        <f t="shared" si="451"/>
        <v>247.31368002361918</v>
      </c>
      <c r="P765" s="448">
        <f t="shared" si="451"/>
        <v>314.14261137668746</v>
      </c>
      <c r="Q765" s="448">
        <f t="shared" si="451"/>
        <v>377.55238810238944</v>
      </c>
      <c r="R765" s="448">
        <f t="shared" si="451"/>
        <v>437.71794369328808</v>
      </c>
      <c r="S765" s="448">
        <f t="shared" si="451"/>
        <v>494.8052615562803</v>
      </c>
      <c r="T765" s="448">
        <f t="shared" si="451"/>
        <v>548.97183292395664</v>
      </c>
      <c r="U765" s="448">
        <f t="shared" si="451"/>
        <v>600.36709133793784</v>
      </c>
      <c r="V765" s="448">
        <f t="shared" si="451"/>
        <v>649.13282490283166</v>
      </c>
      <c r="W765" s="448">
        <f t="shared" si="451"/>
        <v>695.4035674481263</v>
      </c>
      <c r="X765" s="448">
        <f t="shared" si="451"/>
        <v>739.30696967715005</v>
      </c>
      <c r="Y765" s="448">
        <f t="shared" si="451"/>
        <v>780.77870537687375</v>
      </c>
      <c r="Z765" s="448">
        <f t="shared" si="451"/>
        <v>820.12822200243704</v>
      </c>
      <c r="AA765" s="448">
        <f t="shared" si="451"/>
        <v>857.46363379651939</v>
      </c>
      <c r="AB765" s="448">
        <f t="shared" si="451"/>
        <v>892.88743567690494</v>
      </c>
      <c r="AC765" s="448">
        <f t="shared" si="451"/>
        <v>926.49673416455778</v>
      </c>
      <c r="AD765" s="448">
        <f t="shared" si="451"/>
        <v>958.1637831811006</v>
      </c>
      <c r="AE765" s="448">
        <f t="shared" si="451"/>
        <v>988.20615276561625</v>
      </c>
      <c r="AF765" s="448">
        <f t="shared" si="451"/>
        <v>1016.7044295148648</v>
      </c>
      <c r="AG765" s="448">
        <f t="shared" si="451"/>
        <v>1044.0953597202169</v>
      </c>
      <c r="AH765" s="448">
        <f t="shared" si="451"/>
        <v>1051.8616451939465</v>
      </c>
      <c r="AI765" s="448">
        <f t="shared" si="451"/>
        <v>1051.8616451939465</v>
      </c>
      <c r="AJ765" s="448">
        <f t="shared" si="451"/>
        <v>1051.8616451939465</v>
      </c>
      <c r="AK765" s="448">
        <f t="shared" si="451"/>
        <v>1051.8616451939465</v>
      </c>
      <c r="AL765" s="448">
        <f t="shared" si="451"/>
        <v>1051.8616451939465</v>
      </c>
      <c r="AM765" s="448">
        <f t="shared" ref="AM765:BD765" si="452">IFERROR(AM762 - AM764, "-")</f>
        <v>1051.8616451939465</v>
      </c>
      <c r="AN765" s="448">
        <f t="shared" si="452"/>
        <v>1051.8616451939465</v>
      </c>
      <c r="AO765" s="448">
        <f t="shared" si="452"/>
        <v>1051.8616451939465</v>
      </c>
      <c r="AP765" s="448">
        <f t="shared" si="452"/>
        <v>1051.8616451939465</v>
      </c>
      <c r="AQ765" s="448">
        <f t="shared" si="452"/>
        <v>1051.8616451939465</v>
      </c>
      <c r="AR765" s="448">
        <f t="shared" si="452"/>
        <v>1051.8616451939465</v>
      </c>
      <c r="AS765" s="448">
        <f t="shared" si="452"/>
        <v>1051.8616451939465</v>
      </c>
      <c r="AT765" s="448">
        <f t="shared" si="452"/>
        <v>1051.8616451939465</v>
      </c>
      <c r="AU765" s="448">
        <f t="shared" si="452"/>
        <v>1051.8616451939465</v>
      </c>
      <c r="AV765" s="448">
        <f t="shared" si="452"/>
        <v>1051.8616451939465</v>
      </c>
      <c r="AW765" s="448">
        <f t="shared" si="452"/>
        <v>1051.8616451939465</v>
      </c>
      <c r="AX765" s="448">
        <f t="shared" si="452"/>
        <v>1051.8616451939465</v>
      </c>
      <c r="AY765" s="448">
        <f t="shared" si="452"/>
        <v>1051.8616451939465</v>
      </c>
      <c r="AZ765" s="448">
        <f t="shared" si="452"/>
        <v>1051.8616451939465</v>
      </c>
      <c r="BA765" s="448">
        <f t="shared" si="452"/>
        <v>1051.8616451939465</v>
      </c>
      <c r="BB765" s="448">
        <f t="shared" si="452"/>
        <v>1051.8616451939465</v>
      </c>
      <c r="BC765" s="448">
        <f t="shared" si="452"/>
        <v>1051.8616451939465</v>
      </c>
      <c r="BD765" s="448">
        <f t="shared" si="452"/>
        <v>1051.8616451939465</v>
      </c>
      <c r="BE765" s="46"/>
    </row>
    <row r="766" spans="1:57" ht="15" customHeight="1">
      <c r="C766" s="21">
        <f t="shared" si="450"/>
        <v>0</v>
      </c>
      <c r="D766" s="11" t="s">
        <v>648</v>
      </c>
      <c r="E766" s="18" t="s">
        <v>333</v>
      </c>
      <c r="G766" s="21">
        <f t="shared" ref="G766:AL766" si="453">-MIN(G765, 0) * G744</f>
        <v>0</v>
      </c>
      <c r="H766" s="21">
        <f t="shared" si="453"/>
        <v>0</v>
      </c>
      <c r="I766" s="21">
        <f t="shared" si="453"/>
        <v>0</v>
      </c>
      <c r="J766" s="21">
        <f t="shared" si="453"/>
        <v>0</v>
      </c>
      <c r="K766" s="21">
        <f t="shared" si="453"/>
        <v>0</v>
      </c>
      <c r="L766" s="21">
        <f t="shared" si="453"/>
        <v>0</v>
      </c>
      <c r="M766" s="21">
        <f t="shared" si="453"/>
        <v>0</v>
      </c>
      <c r="N766" s="21">
        <f t="shared" si="453"/>
        <v>0</v>
      </c>
      <c r="O766" s="21">
        <f t="shared" si="453"/>
        <v>0</v>
      </c>
      <c r="P766" s="21">
        <f t="shared" si="453"/>
        <v>0</v>
      </c>
      <c r="Q766" s="21">
        <f t="shared" si="453"/>
        <v>0</v>
      </c>
      <c r="R766" s="21">
        <f t="shared" si="453"/>
        <v>0</v>
      </c>
      <c r="S766" s="21">
        <f t="shared" si="453"/>
        <v>0</v>
      </c>
      <c r="T766" s="21">
        <f t="shared" si="453"/>
        <v>0</v>
      </c>
      <c r="U766" s="21">
        <f t="shared" si="453"/>
        <v>0</v>
      </c>
      <c r="V766" s="21">
        <f t="shared" si="453"/>
        <v>0</v>
      </c>
      <c r="W766" s="21">
        <f t="shared" si="453"/>
        <v>0</v>
      </c>
      <c r="X766" s="21">
        <f t="shared" si="453"/>
        <v>0</v>
      </c>
      <c r="Y766" s="21">
        <f t="shared" si="453"/>
        <v>0</v>
      </c>
      <c r="Z766" s="21">
        <f t="shared" si="453"/>
        <v>0</v>
      </c>
      <c r="AA766" s="21">
        <f t="shared" si="453"/>
        <v>0</v>
      </c>
      <c r="AB766" s="21">
        <f t="shared" si="453"/>
        <v>0</v>
      </c>
      <c r="AC766" s="21">
        <f t="shared" si="453"/>
        <v>0</v>
      </c>
      <c r="AD766" s="21">
        <f t="shared" si="453"/>
        <v>0</v>
      </c>
      <c r="AE766" s="21">
        <f t="shared" si="453"/>
        <v>0</v>
      </c>
      <c r="AF766" s="21">
        <f t="shared" si="453"/>
        <v>0</v>
      </c>
      <c r="AG766" s="21">
        <f t="shared" si="453"/>
        <v>0</v>
      </c>
      <c r="AH766" s="21">
        <f t="shared" si="453"/>
        <v>0</v>
      </c>
      <c r="AI766" s="21">
        <f t="shared" si="453"/>
        <v>0</v>
      </c>
      <c r="AJ766" s="21">
        <f t="shared" si="453"/>
        <v>0</v>
      </c>
      <c r="AK766" s="21">
        <f t="shared" si="453"/>
        <v>0</v>
      </c>
      <c r="AL766" s="21">
        <f t="shared" si="453"/>
        <v>0</v>
      </c>
      <c r="AM766" s="21">
        <f t="shared" ref="AM766:BD766" si="454">-MIN(AM765, 0) * AM744</f>
        <v>0</v>
      </c>
      <c r="AN766" s="21">
        <f t="shared" si="454"/>
        <v>0</v>
      </c>
      <c r="AO766" s="21">
        <f t="shared" si="454"/>
        <v>0</v>
      </c>
      <c r="AP766" s="21">
        <f t="shared" si="454"/>
        <v>0</v>
      </c>
      <c r="AQ766" s="21">
        <f t="shared" si="454"/>
        <v>0</v>
      </c>
      <c r="AR766" s="21">
        <f t="shared" si="454"/>
        <v>0</v>
      </c>
      <c r="AS766" s="21">
        <f t="shared" si="454"/>
        <v>0</v>
      </c>
      <c r="AT766" s="21">
        <f t="shared" si="454"/>
        <v>0</v>
      </c>
      <c r="AU766" s="21">
        <f t="shared" si="454"/>
        <v>0</v>
      </c>
      <c r="AV766" s="21">
        <f t="shared" si="454"/>
        <v>0</v>
      </c>
      <c r="AW766" s="21">
        <f t="shared" si="454"/>
        <v>0</v>
      </c>
      <c r="AX766" s="21">
        <f t="shared" si="454"/>
        <v>0</v>
      </c>
      <c r="AY766" s="21">
        <f t="shared" si="454"/>
        <v>0</v>
      </c>
      <c r="AZ766" s="21">
        <f t="shared" si="454"/>
        <v>0</v>
      </c>
      <c r="BA766" s="21">
        <f t="shared" si="454"/>
        <v>0</v>
      </c>
      <c r="BB766" s="21">
        <f t="shared" si="454"/>
        <v>0</v>
      </c>
      <c r="BC766" s="21">
        <f t="shared" si="454"/>
        <v>0</v>
      </c>
      <c r="BD766" s="21">
        <f t="shared" si="454"/>
        <v>0</v>
      </c>
    </row>
    <row r="767" spans="1:57" ht="15" customHeight="1">
      <c r="C767" s="21"/>
      <c r="E767" s="18"/>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row>
    <row r="768" spans="1:57" ht="15" customHeight="1">
      <c r="C768" s="21">
        <f t="shared" si="450"/>
        <v>1051.8616451939465</v>
      </c>
      <c r="D768" s="11" t="s">
        <v>649</v>
      </c>
      <c r="E768" s="18" t="s">
        <v>333</v>
      </c>
      <c r="G768" s="21">
        <f t="shared" ref="G768:AL768" si="455">G760 + G766</f>
        <v>0</v>
      </c>
      <c r="H768" s="21">
        <f t="shared" si="455"/>
        <v>0</v>
      </c>
      <c r="I768" s="21">
        <f t="shared" si="455"/>
        <v>0</v>
      </c>
      <c r="J768" s="21">
        <f t="shared" si="455"/>
        <v>0</v>
      </c>
      <c r="K768" s="21">
        <f t="shared" si="455"/>
        <v>13.61683301756376</v>
      </c>
      <c r="L768" s="21">
        <f t="shared" si="455"/>
        <v>56.925902474643593</v>
      </c>
      <c r="M768" s="21">
        <f t="shared" si="455"/>
        <v>62.663854576506004</v>
      </c>
      <c r="N768" s="21">
        <f t="shared" si="455"/>
        <v>58.848153050650438</v>
      </c>
      <c r="O768" s="21">
        <f t="shared" si="455"/>
        <v>55.258936904255386</v>
      </c>
      <c r="P768" s="21">
        <f t="shared" si="455"/>
        <v>66.828931353068285</v>
      </c>
      <c r="Q768" s="21">
        <f t="shared" si="455"/>
        <v>63.40977672570201</v>
      </c>
      <c r="R768" s="21">
        <f t="shared" si="455"/>
        <v>60.165555590898627</v>
      </c>
      <c r="S768" s="21">
        <f t="shared" si="455"/>
        <v>57.087317862992201</v>
      </c>
      <c r="T768" s="21">
        <f t="shared" si="455"/>
        <v>54.166571367676312</v>
      </c>
      <c r="U768" s="21">
        <f t="shared" si="455"/>
        <v>51.395258413981253</v>
      </c>
      <c r="V768" s="21">
        <f t="shared" si="455"/>
        <v>48.765733564893829</v>
      </c>
      <c r="W768" s="21">
        <f t="shared" si="455"/>
        <v>46.270742545294624</v>
      </c>
      <c r="X768" s="21">
        <f t="shared" si="455"/>
        <v>43.903402229023747</v>
      </c>
      <c r="Y768" s="21">
        <f t="shared" si="455"/>
        <v>41.471735699723695</v>
      </c>
      <c r="Z768" s="21">
        <f t="shared" si="455"/>
        <v>39.34951662556329</v>
      </c>
      <c r="AA768" s="21">
        <f t="shared" si="455"/>
        <v>37.335411794082376</v>
      </c>
      <c r="AB768" s="21">
        <f t="shared" si="455"/>
        <v>35.423801880385511</v>
      </c>
      <c r="AC768" s="21">
        <f t="shared" si="455"/>
        <v>33.609298487652886</v>
      </c>
      <c r="AD768" s="21">
        <f t="shared" si="455"/>
        <v>31.667049016542858</v>
      </c>
      <c r="AE768" s="21">
        <f t="shared" si="455"/>
        <v>30.042369584515662</v>
      </c>
      <c r="AF768" s="21">
        <f t="shared" si="455"/>
        <v>28.498276749248642</v>
      </c>
      <c r="AG768" s="21">
        <f t="shared" si="455"/>
        <v>27.390930205352184</v>
      </c>
      <c r="AH768" s="21">
        <f t="shared" si="455"/>
        <v>7.7662854737295142</v>
      </c>
      <c r="AI768" s="21">
        <f t="shared" si="455"/>
        <v>0</v>
      </c>
      <c r="AJ768" s="21">
        <f t="shared" si="455"/>
        <v>0</v>
      </c>
      <c r="AK768" s="21">
        <f t="shared" si="455"/>
        <v>0</v>
      </c>
      <c r="AL768" s="21">
        <f t="shared" si="455"/>
        <v>0</v>
      </c>
      <c r="AM768" s="21">
        <f t="shared" ref="AM768:BD768" si="456">AM760 + AM766</f>
        <v>0</v>
      </c>
      <c r="AN768" s="21">
        <f t="shared" si="456"/>
        <v>0</v>
      </c>
      <c r="AO768" s="21">
        <f t="shared" si="456"/>
        <v>0</v>
      </c>
      <c r="AP768" s="21">
        <f t="shared" si="456"/>
        <v>0</v>
      </c>
      <c r="AQ768" s="21">
        <f t="shared" si="456"/>
        <v>0</v>
      </c>
      <c r="AR768" s="21">
        <f t="shared" si="456"/>
        <v>0</v>
      </c>
      <c r="AS768" s="21">
        <f t="shared" si="456"/>
        <v>0</v>
      </c>
      <c r="AT768" s="21">
        <f t="shared" si="456"/>
        <v>0</v>
      </c>
      <c r="AU768" s="21">
        <f t="shared" si="456"/>
        <v>0</v>
      </c>
      <c r="AV768" s="21">
        <f t="shared" si="456"/>
        <v>0</v>
      </c>
      <c r="AW768" s="21">
        <f t="shared" si="456"/>
        <v>0</v>
      </c>
      <c r="AX768" s="21">
        <f t="shared" si="456"/>
        <v>0</v>
      </c>
      <c r="AY768" s="21">
        <f t="shared" si="456"/>
        <v>0</v>
      </c>
      <c r="AZ768" s="21">
        <f t="shared" si="456"/>
        <v>0</v>
      </c>
      <c r="BA768" s="21">
        <f t="shared" si="456"/>
        <v>0</v>
      </c>
      <c r="BB768" s="21">
        <f t="shared" si="456"/>
        <v>0</v>
      </c>
      <c r="BC768" s="21">
        <f t="shared" si="456"/>
        <v>0</v>
      </c>
      <c r="BD768" s="21">
        <f t="shared" si="456"/>
        <v>0</v>
      </c>
    </row>
    <row r="769" spans="1:56" ht="15" customHeight="1">
      <c r="C769" s="21">
        <f t="shared" si="450"/>
        <v>37991.877368399953</v>
      </c>
      <c r="D769" s="11" t="str">
        <f>"Cumulative final government benefits NPV"&amp;$E$735*100</f>
        <v>Cumulative final government benefits NPV7.5</v>
      </c>
      <c r="E769" s="18" t="s">
        <v>333</v>
      </c>
      <c r="G769" s="21">
        <f>SUM($G$768:G768)</f>
        <v>0</v>
      </c>
      <c r="H769" s="21">
        <f>SUM($G$768:H768)</f>
        <v>0</v>
      </c>
      <c r="I769" s="21">
        <f>SUM($G$768:I768)</f>
        <v>0</v>
      </c>
      <c r="J769" s="21">
        <f>SUM($G$768:J768)</f>
        <v>0</v>
      </c>
      <c r="K769" s="21">
        <f>SUM($G$768:K768)</f>
        <v>13.61683301756376</v>
      </c>
      <c r="L769" s="21">
        <f>SUM($G$768:L768)</f>
        <v>70.542735492207356</v>
      </c>
      <c r="M769" s="21">
        <f>SUM($G$768:M768)</f>
        <v>133.20659006871335</v>
      </c>
      <c r="N769" s="21">
        <f>SUM($G$768:N768)</f>
        <v>192.05474311936379</v>
      </c>
      <c r="O769" s="21">
        <f>SUM($G$768:O768)</f>
        <v>247.31368002361918</v>
      </c>
      <c r="P769" s="21">
        <f>SUM($G$768:P768)</f>
        <v>314.14261137668746</v>
      </c>
      <c r="Q769" s="21">
        <f>SUM($G$768:Q768)</f>
        <v>377.55238810238944</v>
      </c>
      <c r="R769" s="21">
        <f>SUM($G$768:R768)</f>
        <v>437.71794369328808</v>
      </c>
      <c r="S769" s="21">
        <f>SUM($G$768:S768)</f>
        <v>494.8052615562803</v>
      </c>
      <c r="T769" s="21">
        <f>SUM($G$768:T768)</f>
        <v>548.97183292395664</v>
      </c>
      <c r="U769" s="21">
        <f>SUM($G$768:U768)</f>
        <v>600.36709133793784</v>
      </c>
      <c r="V769" s="21">
        <f>SUM($G$768:V768)</f>
        <v>649.13282490283166</v>
      </c>
      <c r="W769" s="21">
        <f>SUM($G$768:W768)</f>
        <v>695.4035674481263</v>
      </c>
      <c r="X769" s="21">
        <f>SUM($G$768:X768)</f>
        <v>739.30696967715005</v>
      </c>
      <c r="Y769" s="21">
        <f>SUM($G$768:Y768)</f>
        <v>780.77870537687375</v>
      </c>
      <c r="Z769" s="21">
        <f>SUM($G$768:Z768)</f>
        <v>820.12822200243704</v>
      </c>
      <c r="AA769" s="21">
        <f>SUM($G$768:AA768)</f>
        <v>857.46363379651939</v>
      </c>
      <c r="AB769" s="21">
        <f>SUM($G$768:AB768)</f>
        <v>892.88743567690494</v>
      </c>
      <c r="AC769" s="21">
        <f>SUM($G$768:AC768)</f>
        <v>926.49673416455778</v>
      </c>
      <c r="AD769" s="21">
        <f>SUM($G$768:AD768)</f>
        <v>958.1637831811006</v>
      </c>
      <c r="AE769" s="21">
        <f>SUM($G$768:AE768)</f>
        <v>988.20615276561625</v>
      </c>
      <c r="AF769" s="21">
        <f>SUM($G$768:AF768)</f>
        <v>1016.7044295148648</v>
      </c>
      <c r="AG769" s="21">
        <f>SUM($G$768:AG768)</f>
        <v>1044.0953597202169</v>
      </c>
      <c r="AH769" s="21">
        <f>SUM($G$768:AH768)</f>
        <v>1051.8616451939465</v>
      </c>
      <c r="AI769" s="21">
        <f>SUM($G$768:AI768)</f>
        <v>1051.8616451939465</v>
      </c>
      <c r="AJ769" s="21">
        <f>SUM($G$768:AJ768)</f>
        <v>1051.8616451939465</v>
      </c>
      <c r="AK769" s="21">
        <f>SUM($G$768:AK768)</f>
        <v>1051.8616451939465</v>
      </c>
      <c r="AL769" s="21">
        <f>SUM($G$768:AL768)</f>
        <v>1051.8616451939465</v>
      </c>
      <c r="AM769" s="21">
        <f>SUM($G$768:AM768)</f>
        <v>1051.8616451939465</v>
      </c>
      <c r="AN769" s="21">
        <f>SUM($G$768:AN768)</f>
        <v>1051.8616451939465</v>
      </c>
      <c r="AO769" s="21">
        <f>SUM($G$768:AO768)</f>
        <v>1051.8616451939465</v>
      </c>
      <c r="AP769" s="21">
        <f>SUM($G$768:AP768)</f>
        <v>1051.8616451939465</v>
      </c>
      <c r="AQ769" s="21">
        <f>SUM($G$768:AQ768)</f>
        <v>1051.8616451939465</v>
      </c>
      <c r="AR769" s="21">
        <f>SUM($G$768:AR768)</f>
        <v>1051.8616451939465</v>
      </c>
      <c r="AS769" s="21">
        <f>SUM($G$768:AS768)</f>
        <v>1051.8616451939465</v>
      </c>
      <c r="AT769" s="21">
        <f>SUM($G$768:AT768)</f>
        <v>1051.8616451939465</v>
      </c>
      <c r="AU769" s="21">
        <f>SUM($G$768:AU768)</f>
        <v>1051.8616451939465</v>
      </c>
      <c r="AV769" s="21">
        <f>SUM($G$768:AV768)</f>
        <v>1051.8616451939465</v>
      </c>
      <c r="AW769" s="21">
        <f>SUM($G$768:AW768)</f>
        <v>1051.8616451939465</v>
      </c>
      <c r="AX769" s="21">
        <f>SUM($G$768:AX768)</f>
        <v>1051.8616451939465</v>
      </c>
      <c r="AY769" s="21">
        <f>SUM($G$768:AY768)</f>
        <v>1051.8616451939465</v>
      </c>
      <c r="AZ769" s="21">
        <f>SUM($G$768:AZ768)</f>
        <v>1051.8616451939465</v>
      </c>
      <c r="BA769" s="21">
        <f>SUM($G$768:BA768)</f>
        <v>1051.8616451939465</v>
      </c>
      <c r="BB769" s="21">
        <f>SUM($G$768:BB768)</f>
        <v>1051.8616451939465</v>
      </c>
      <c r="BC769" s="21">
        <f>SUM($G$768:BC768)</f>
        <v>1051.8616451939465</v>
      </c>
      <c r="BD769" s="21">
        <f>SUM($G$768:BD768)</f>
        <v>1051.8616451939465</v>
      </c>
    </row>
    <row r="770" spans="1:56" ht="15" customHeight="1">
      <c r="C770" s="21"/>
      <c r="D770" s="11" t="s">
        <v>650</v>
      </c>
      <c r="E770" s="18" t="s">
        <v>30</v>
      </c>
      <c r="G770" s="359" t="str">
        <f t="shared" ref="G770:AL770" si="457">IFERROR(G769/G756, "-")</f>
        <v>-</v>
      </c>
      <c r="H770" s="359" t="str">
        <f t="shared" si="457"/>
        <v>-</v>
      </c>
      <c r="I770" s="359" t="str">
        <f t="shared" si="457"/>
        <v>-</v>
      </c>
      <c r="J770" s="359" t="str">
        <f t="shared" si="457"/>
        <v>-</v>
      </c>
      <c r="K770" s="359">
        <f t="shared" si="457"/>
        <v>1</v>
      </c>
      <c r="L770" s="359">
        <f t="shared" si="457"/>
        <v>1</v>
      </c>
      <c r="M770" s="359">
        <f t="shared" si="457"/>
        <v>0.88343217087085524</v>
      </c>
      <c r="N770" s="359">
        <f t="shared" si="457"/>
        <v>0.57048812041207364</v>
      </c>
      <c r="O770" s="359">
        <f t="shared" si="457"/>
        <v>0.48337459761419294</v>
      </c>
      <c r="P770" s="359">
        <f t="shared" si="457"/>
        <v>0.46441313368459591</v>
      </c>
      <c r="Q770" s="359">
        <f t="shared" si="457"/>
        <v>0.45335979022481876</v>
      </c>
      <c r="R770" s="359">
        <f t="shared" si="457"/>
        <v>0.44612919543728302</v>
      </c>
      <c r="S770" s="359">
        <f t="shared" si="457"/>
        <v>0.44103658724876066</v>
      </c>
      <c r="T770" s="359">
        <f t="shared" si="457"/>
        <v>0.43726038067988771</v>
      </c>
      <c r="U770" s="359">
        <f t="shared" si="457"/>
        <v>0.43435212747459845</v>
      </c>
      <c r="V770" s="359">
        <f t="shared" si="457"/>
        <v>0.43204628011043572</v>
      </c>
      <c r="W770" s="359">
        <f t="shared" si="457"/>
        <v>0.43017557204146828</v>
      </c>
      <c r="X770" s="359">
        <f t="shared" si="457"/>
        <v>0.42862939869631939</v>
      </c>
      <c r="Y770" s="359">
        <f t="shared" si="457"/>
        <v>0.42723022321706389</v>
      </c>
      <c r="Z770" s="359">
        <f t="shared" si="457"/>
        <v>0.42604047934913974</v>
      </c>
      <c r="AA770" s="359">
        <f t="shared" si="457"/>
        <v>0.42501745463726004</v>
      </c>
      <c r="AB770" s="359">
        <f t="shared" si="457"/>
        <v>0.42412919179270064</v>
      </c>
      <c r="AC770" s="359">
        <f t="shared" si="457"/>
        <v>0.42335126098250092</v>
      </c>
      <c r="AD770" s="359">
        <f t="shared" si="457"/>
        <v>0.42270421314270834</v>
      </c>
      <c r="AE770" s="359">
        <f t="shared" si="457"/>
        <v>0.42212834671080735</v>
      </c>
      <c r="AF770" s="359">
        <f t="shared" si="457"/>
        <v>0.4216118153053045</v>
      </c>
      <c r="AG770" s="359">
        <f t="shared" si="457"/>
        <v>0.42039191639819434</v>
      </c>
      <c r="AH770" s="359">
        <f t="shared" si="457"/>
        <v>0.41821555843914937</v>
      </c>
      <c r="AI770" s="359">
        <f t="shared" si="457"/>
        <v>0.41821555843914937</v>
      </c>
      <c r="AJ770" s="359">
        <f t="shared" si="457"/>
        <v>0.41821555843914937</v>
      </c>
      <c r="AK770" s="359">
        <f t="shared" si="457"/>
        <v>0.41821555843914937</v>
      </c>
      <c r="AL770" s="359">
        <f t="shared" si="457"/>
        <v>0.41821555843914937</v>
      </c>
      <c r="AM770" s="359">
        <f t="shared" ref="AM770:BD770" si="458">IFERROR(AM769/AM756, "-")</f>
        <v>0.41821555843914937</v>
      </c>
      <c r="AN770" s="359">
        <f t="shared" si="458"/>
        <v>0.41821555843914937</v>
      </c>
      <c r="AO770" s="359">
        <f t="shared" si="458"/>
        <v>0.41821555843914937</v>
      </c>
      <c r="AP770" s="359">
        <f t="shared" si="458"/>
        <v>0.41821555843914937</v>
      </c>
      <c r="AQ770" s="359">
        <f t="shared" si="458"/>
        <v>0.41821555843914937</v>
      </c>
      <c r="AR770" s="359">
        <f t="shared" si="458"/>
        <v>0.41821555843914937</v>
      </c>
      <c r="AS770" s="359">
        <f t="shared" si="458"/>
        <v>0.41821555843914937</v>
      </c>
      <c r="AT770" s="359">
        <f t="shared" si="458"/>
        <v>0.41821555843914937</v>
      </c>
      <c r="AU770" s="359">
        <f t="shared" si="458"/>
        <v>0.41821555843914937</v>
      </c>
      <c r="AV770" s="359">
        <f t="shared" si="458"/>
        <v>0.41821555843914937</v>
      </c>
      <c r="AW770" s="359">
        <f t="shared" si="458"/>
        <v>0.41821555843914937</v>
      </c>
      <c r="AX770" s="359">
        <f t="shared" si="458"/>
        <v>0.41821555843914937</v>
      </c>
      <c r="AY770" s="359">
        <f t="shared" si="458"/>
        <v>0.41821555843914937</v>
      </c>
      <c r="AZ770" s="359">
        <f t="shared" si="458"/>
        <v>0.41821555843914937</v>
      </c>
      <c r="BA770" s="359">
        <f t="shared" si="458"/>
        <v>0.41821555843914937</v>
      </c>
      <c r="BB770" s="359">
        <f t="shared" si="458"/>
        <v>0.41821555843914937</v>
      </c>
      <c r="BC770" s="359">
        <f t="shared" si="458"/>
        <v>0.41821555843914937</v>
      </c>
      <c r="BD770" s="359">
        <f t="shared" si="458"/>
        <v>0.41821555843914937</v>
      </c>
    </row>
    <row r="771" spans="1:56" ht="15" customHeight="1">
      <c r="C771" s="21"/>
      <c r="E771" s="18"/>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row>
    <row r="772" spans="1:56" ht="15" customHeight="1">
      <c r="C772" s="21"/>
      <c r="E772" s="18"/>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row>
    <row r="773" spans="1:56" ht="15" customHeight="1">
      <c r="C773" s="21">
        <f t="shared" ref="C773:C777" si="459">SUM(G773:BD773)</f>
        <v>4611.0556263166563</v>
      </c>
      <c r="D773" s="9" t="s">
        <v>615</v>
      </c>
      <c r="E773" s="18" t="s">
        <v>333</v>
      </c>
      <c r="G773" s="21">
        <f t="shared" ref="G773:AL773" si="460">G210 + G236 + G240 + G244 + G311 + G313 + G319 + G411 + G519 + G595 + G612</f>
        <v>0</v>
      </c>
      <c r="H773" s="21">
        <f t="shared" si="460"/>
        <v>0</v>
      </c>
      <c r="I773" s="21">
        <f t="shared" si="460"/>
        <v>2.9261250000000003</v>
      </c>
      <c r="J773" s="21">
        <f t="shared" si="460"/>
        <v>11.93859</v>
      </c>
      <c r="K773" s="21">
        <f t="shared" si="460"/>
        <v>26.654788940400003</v>
      </c>
      <c r="L773" s="21">
        <f t="shared" si="460"/>
        <v>93.647078124470454</v>
      </c>
      <c r="M773" s="21">
        <f t="shared" si="460"/>
        <v>116.16067358343439</v>
      </c>
      <c r="N773" s="21">
        <f t="shared" si="460"/>
        <v>147.73392710086779</v>
      </c>
      <c r="O773" s="21">
        <f t="shared" si="460"/>
        <v>150.61479945847225</v>
      </c>
      <c r="P773" s="21">
        <f t="shared" si="460"/>
        <v>185.40850040223782</v>
      </c>
      <c r="Q773" s="21">
        <f t="shared" si="460"/>
        <v>189.11667041028258</v>
      </c>
      <c r="R773" s="21">
        <f t="shared" si="460"/>
        <v>192.89900381848815</v>
      </c>
      <c r="S773" s="21">
        <f t="shared" si="460"/>
        <v>196.75698389485797</v>
      </c>
      <c r="T773" s="21">
        <f t="shared" si="460"/>
        <v>200.69212357275512</v>
      </c>
      <c r="U773" s="21">
        <f t="shared" si="460"/>
        <v>204.70596604421024</v>
      </c>
      <c r="V773" s="21">
        <f t="shared" si="460"/>
        <v>208.80008536509439</v>
      </c>
      <c r="W773" s="21">
        <f t="shared" si="460"/>
        <v>212.97608707239635</v>
      </c>
      <c r="X773" s="21">
        <f t="shared" si="460"/>
        <v>217.23560881384429</v>
      </c>
      <c r="Y773" s="21">
        <f t="shared" si="460"/>
        <v>220.51056455068652</v>
      </c>
      <c r="Z773" s="21">
        <f t="shared" si="460"/>
        <v>224.91823743658969</v>
      </c>
      <c r="AA773" s="21">
        <f t="shared" si="460"/>
        <v>229.4107775219025</v>
      </c>
      <c r="AB773" s="21">
        <f t="shared" si="460"/>
        <v>233.98877358614371</v>
      </c>
      <c r="AC773" s="21">
        <f t="shared" si="460"/>
        <v>238.65219532429774</v>
      </c>
      <c r="AD773" s="21">
        <f t="shared" si="460"/>
        <v>241.58091262825087</v>
      </c>
      <c r="AE773" s="21">
        <f t="shared" si="460"/>
        <v>246.37242603399881</v>
      </c>
      <c r="AF773" s="21">
        <f t="shared" si="460"/>
        <v>251.23248635448252</v>
      </c>
      <c r="AG773" s="21">
        <f t="shared" si="460"/>
        <v>265.14318389410641</v>
      </c>
      <c r="AH773" s="21">
        <f t="shared" si="460"/>
        <v>100.97905738438547</v>
      </c>
      <c r="AI773" s="21">
        <f t="shared" si="460"/>
        <v>0</v>
      </c>
      <c r="AJ773" s="21">
        <f t="shared" si="460"/>
        <v>0</v>
      </c>
      <c r="AK773" s="21">
        <f t="shared" si="460"/>
        <v>0</v>
      </c>
      <c r="AL773" s="21">
        <f t="shared" si="460"/>
        <v>0</v>
      </c>
      <c r="AM773" s="21">
        <f t="shared" ref="AM773:BD773" si="461">AM210 + AM236 + AM240 + AM244 + AM311 + AM313 + AM319 + AM411 + AM519 + AM595 + AM612</f>
        <v>0</v>
      </c>
      <c r="AN773" s="21">
        <f t="shared" si="461"/>
        <v>0</v>
      </c>
      <c r="AO773" s="21">
        <f t="shared" si="461"/>
        <v>0</v>
      </c>
      <c r="AP773" s="21">
        <f t="shared" si="461"/>
        <v>0</v>
      </c>
      <c r="AQ773" s="21">
        <f t="shared" si="461"/>
        <v>0</v>
      </c>
      <c r="AR773" s="21">
        <f t="shared" si="461"/>
        <v>0</v>
      </c>
      <c r="AS773" s="21">
        <f t="shared" si="461"/>
        <v>0</v>
      </c>
      <c r="AT773" s="21">
        <f t="shared" si="461"/>
        <v>0</v>
      </c>
      <c r="AU773" s="21">
        <f t="shared" si="461"/>
        <v>0</v>
      </c>
      <c r="AV773" s="21">
        <f t="shared" si="461"/>
        <v>0</v>
      </c>
      <c r="AW773" s="21">
        <f t="shared" si="461"/>
        <v>0</v>
      </c>
      <c r="AX773" s="21">
        <f t="shared" si="461"/>
        <v>0</v>
      </c>
      <c r="AY773" s="21">
        <f t="shared" si="461"/>
        <v>0</v>
      </c>
      <c r="AZ773" s="21">
        <f t="shared" si="461"/>
        <v>0</v>
      </c>
      <c r="BA773" s="21">
        <f t="shared" si="461"/>
        <v>0</v>
      </c>
      <c r="BB773" s="21">
        <f t="shared" si="461"/>
        <v>0</v>
      </c>
      <c r="BC773" s="21">
        <f t="shared" si="461"/>
        <v>0</v>
      </c>
      <c r="BD773" s="21">
        <f t="shared" si="461"/>
        <v>0</v>
      </c>
    </row>
    <row r="774" spans="1:56" ht="15" customHeight="1">
      <c r="B774" s="434"/>
      <c r="C774" s="21">
        <f t="shared" si="459"/>
        <v>3436.9546602788419</v>
      </c>
      <c r="D774" s="9" t="s">
        <v>617</v>
      </c>
      <c r="E774" s="18" t="s">
        <v>333</v>
      </c>
      <c r="G774" s="21">
        <f>(G594 - G604) + IF($E$622 = 2, G96 * Inputs!$E$196, 0)</f>
        <v>0</v>
      </c>
      <c r="H774" s="21">
        <f>(H594 - H604) + IF($E$622 = 2, H96 * Inputs!$E$196, 0)</f>
        <v>0</v>
      </c>
      <c r="I774" s="21">
        <f>(I594 - I604) + IF($E$622 = 2, I96 * Inputs!$E$196, 0)</f>
        <v>0</v>
      </c>
      <c r="J774" s="21">
        <f>(J594 - J604) + IF($E$622 = 2, J96 * Inputs!$E$196, 0)</f>
        <v>0</v>
      </c>
      <c r="K774" s="21">
        <f>(K594 - K604) + IF($E$622 = 2, K96 * Inputs!$E$196, 0)</f>
        <v>0</v>
      </c>
      <c r="L774" s="21">
        <f>(L594 - L604) + IF($E$622 = 2, L96 * Inputs!$E$196, 0)</f>
        <v>0</v>
      </c>
      <c r="M774" s="21">
        <f>(M594 - M604) + IF($E$622 = 2, M96 * Inputs!$E$196, 0)</f>
        <v>23.709300084908186</v>
      </c>
      <c r="N774" s="21">
        <f>(N594 - N604) + IF($E$622 = 2, N96 * Inputs!$E$196, 0)</f>
        <v>119.04463358685241</v>
      </c>
      <c r="O774" s="21">
        <f>(O594 - O604) + IF($E$622 = 2, O96 * Inputs!$E$196, 0)</f>
        <v>125.47233938469844</v>
      </c>
      <c r="P774" s="21">
        <f>(P594 - P604) + IF($E$622 = 2, P96 * Inputs!$E$196, 0)</f>
        <v>141.98710877184433</v>
      </c>
      <c r="Q774" s="21">
        <f>(Q594 - Q604) + IF($E$622 = 2, Q96 * Inputs!$E$196, 0)</f>
        <v>144.82685094728126</v>
      </c>
      <c r="R774" s="21">
        <f>(R594 - R604) + IF($E$622 = 2, R96 * Inputs!$E$196, 0)</f>
        <v>147.72338796622674</v>
      </c>
      <c r="S774" s="21">
        <f>(S594 - S604) + IF($E$622 = 2, S96 * Inputs!$E$196, 0)</f>
        <v>150.67785572555138</v>
      </c>
      <c r="T774" s="21">
        <f>(T594 - T604) + IF($E$622 = 2, T96 * Inputs!$E$196, 0)</f>
        <v>153.69141284006238</v>
      </c>
      <c r="U774" s="21">
        <f>(U594 - U604) + IF($E$622 = 2, U96 * Inputs!$E$196, 0)</f>
        <v>156.76524109686363</v>
      </c>
      <c r="V774" s="21">
        <f>(V594 - V604) + IF($E$622 = 2, V96 * Inputs!$E$196, 0)</f>
        <v>159.90054591880084</v>
      </c>
      <c r="W774" s="21">
        <f>(W594 - W604) + IF($E$622 = 2, W96 * Inputs!$E$196, 0)</f>
        <v>163.09855683717694</v>
      </c>
      <c r="X774" s="21">
        <f>(X594 - X604) + IF($E$622 = 2, X96 * Inputs!$E$196, 0)</f>
        <v>166.36052797392051</v>
      </c>
      <c r="Y774" s="21">
        <f>(Y594 - Y604) + IF($E$622 = 2, Y96 * Inputs!$E$196, 0)</f>
        <v>168.48528503350764</v>
      </c>
      <c r="Z774" s="21">
        <f>(Z594 - Z604) + IF($E$622 = 2, Z96 * Inputs!$E$196, 0)</f>
        <v>171.85213745468644</v>
      </c>
      <c r="AA774" s="21">
        <f>(AA594 - AA604) + IF($E$622 = 2, AA96 * Inputs!$E$196, 0)</f>
        <v>175.28263302476293</v>
      </c>
      <c r="AB774" s="21">
        <f>(AB594 - AB604) + IF($E$622 = 2, AB96 * Inputs!$E$196, 0)</f>
        <v>178.77679853127481</v>
      </c>
      <c r="AC774" s="21">
        <f>(AC594 - AC604) + IF($E$622 = 2, AC96 * Inputs!$E$196, 0)</f>
        <v>182.33395218285906</v>
      </c>
      <c r="AD774" s="21">
        <f>(AD594 - AD604) + IF($E$622 = 2, AD96 * Inputs!$E$196, 0)</f>
        <v>183.9075266427007</v>
      </c>
      <c r="AE774" s="21">
        <f>(AE594 - AE604) + IF($E$622 = 2, AE96 * Inputs!$E$196, 0)</f>
        <v>187.54059755589535</v>
      </c>
      <c r="AF774" s="21">
        <f>(AF594 - AF604) + IF($E$622 = 2, AF96 * Inputs!$E$196, 0)</f>
        <v>191.21566219277398</v>
      </c>
      <c r="AG774" s="21">
        <f>(AG594 - AG604) + IF($E$622 = 2, AG96 * Inputs!$E$196, 0)</f>
        <v>219.33729023133662</v>
      </c>
      <c r="AH774" s="21">
        <f>(AH594 - AH604) + IF($E$622 = 2, AH96 * Inputs!$E$196, 0)</f>
        <v>124.96501629485783</v>
      </c>
      <c r="AI774" s="21">
        <f>(AI594 - AI604) + IF($E$622 = 2, AI96 * Inputs!$E$196, 0)</f>
        <v>0</v>
      </c>
      <c r="AJ774" s="21">
        <f>(AJ594 - AJ604) + IF($E$622 = 2, AJ96 * Inputs!$E$196, 0)</f>
        <v>0</v>
      </c>
      <c r="AK774" s="21">
        <f>(AK594 - AK604) + IF($E$622 = 2, AK96 * Inputs!$E$196, 0)</f>
        <v>0</v>
      </c>
      <c r="AL774" s="21">
        <f>(AL594 - AL604) + IF($E$622 = 2, AL96 * Inputs!$E$196, 0)</f>
        <v>0</v>
      </c>
      <c r="AM774" s="21">
        <f>(AM594 - AM604) + IF($E$622 = 2, AM96 * Inputs!$E$196, 0)</f>
        <v>0</v>
      </c>
      <c r="AN774" s="21">
        <f>(AN594 - AN604) + IF($E$622 = 2, AN96 * Inputs!$E$196, 0)</f>
        <v>0</v>
      </c>
      <c r="AO774" s="21">
        <f>(AO594 - AO604) + IF($E$622 = 2, AO96 * Inputs!$E$196, 0)</f>
        <v>0</v>
      </c>
      <c r="AP774" s="21">
        <f>(AP594 - AP604) + IF($E$622 = 2, AP96 * Inputs!$E$196, 0)</f>
        <v>0</v>
      </c>
      <c r="AQ774" s="21">
        <f>(AQ594 - AQ604) + IF($E$622 = 2, AQ96 * Inputs!$E$196, 0)</f>
        <v>0</v>
      </c>
      <c r="AR774" s="21">
        <f>(AR594 - AR604) + IF($E$622 = 2, AR96 * Inputs!$E$196, 0)</f>
        <v>0</v>
      </c>
      <c r="AS774" s="21">
        <f>(AS594 - AS604) + IF($E$622 = 2, AS96 * Inputs!$E$196, 0)</f>
        <v>0</v>
      </c>
      <c r="AT774" s="21">
        <f>(AT594 - AT604) + IF($E$622 = 2, AT96 * Inputs!$E$196, 0)</f>
        <v>0</v>
      </c>
      <c r="AU774" s="21">
        <f>(AU594 - AU604) + IF($E$622 = 2, AU96 * Inputs!$E$196, 0)</f>
        <v>0</v>
      </c>
      <c r="AV774" s="21">
        <f>(AV594 - AV604) + IF($E$622 = 2, AV96 * Inputs!$E$196, 0)</f>
        <v>0</v>
      </c>
      <c r="AW774" s="21">
        <f>(AW594 - AW604) + IF($E$622 = 2, AW96 * Inputs!$E$196, 0)</f>
        <v>0</v>
      </c>
      <c r="AX774" s="21">
        <f>(AX594 - AX604) + IF($E$622 = 2, AX96 * Inputs!$E$196, 0)</f>
        <v>0</v>
      </c>
      <c r="AY774" s="21">
        <f>(AY594 - AY604) + IF($E$622 = 2, AY96 * Inputs!$E$196, 0)</f>
        <v>0</v>
      </c>
      <c r="AZ774" s="21">
        <f>(AZ594 - AZ604) + IF($E$622 = 2, AZ96 * Inputs!$E$196, 0)</f>
        <v>0</v>
      </c>
      <c r="BA774" s="21">
        <f>(BA594 - BA604) + IF($E$622 = 2, BA96 * Inputs!$E$196, 0)</f>
        <v>0</v>
      </c>
      <c r="BB774" s="21">
        <f>(BB594 - BB604) + IF($E$622 = 2, BB96 * Inputs!$E$196, 0)</f>
        <v>0</v>
      </c>
      <c r="BC774" s="21">
        <f>(BC594 - BC604) + IF($E$622 = 2, BC96 * Inputs!$E$196, 0)</f>
        <v>0</v>
      </c>
      <c r="BD774" s="21">
        <f>(BD594 - BD604) + IF($E$622 = 2, BD96 * Inputs!$E$196, 0)</f>
        <v>0</v>
      </c>
    </row>
    <row r="775" spans="1:56" ht="15" customHeight="1">
      <c r="B775" s="434"/>
      <c r="C775" s="21"/>
      <c r="D775" s="9"/>
      <c r="E775" s="18"/>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row>
    <row r="776" spans="1:56" ht="15" customHeight="1">
      <c r="C776" s="21">
        <f t="shared" si="459"/>
        <v>4611.0556263166563</v>
      </c>
      <c r="D776" s="9" t="s">
        <v>649</v>
      </c>
      <c r="E776" s="18" t="s">
        <v>333</v>
      </c>
      <c r="G776" s="21">
        <f t="shared" ref="G776:AL776" si="462">G773 + IF($E$617 = 1, G672, IF($E$617 = 2, G712, IF($E$617 = 3, G730, IF($E$617 = 4, G766, 0))))</f>
        <v>0</v>
      </c>
      <c r="H776" s="21">
        <f t="shared" si="462"/>
        <v>0</v>
      </c>
      <c r="I776" s="21">
        <f t="shared" si="462"/>
        <v>2.9261250000000003</v>
      </c>
      <c r="J776" s="21">
        <f t="shared" si="462"/>
        <v>11.93859</v>
      </c>
      <c r="K776" s="21">
        <f t="shared" si="462"/>
        <v>26.654788940400003</v>
      </c>
      <c r="L776" s="21">
        <f t="shared" si="462"/>
        <v>93.647078124470454</v>
      </c>
      <c r="M776" s="21">
        <f t="shared" si="462"/>
        <v>116.16067358343439</v>
      </c>
      <c r="N776" s="21">
        <f t="shared" si="462"/>
        <v>147.73392710086779</v>
      </c>
      <c r="O776" s="21">
        <f t="shared" si="462"/>
        <v>150.61479945847225</v>
      </c>
      <c r="P776" s="21">
        <f t="shared" si="462"/>
        <v>185.40850040223782</v>
      </c>
      <c r="Q776" s="21">
        <f t="shared" si="462"/>
        <v>189.11667041028258</v>
      </c>
      <c r="R776" s="21">
        <f t="shared" si="462"/>
        <v>192.89900381848815</v>
      </c>
      <c r="S776" s="21">
        <f t="shared" si="462"/>
        <v>196.75698389485797</v>
      </c>
      <c r="T776" s="21">
        <f t="shared" si="462"/>
        <v>200.69212357275512</v>
      </c>
      <c r="U776" s="21">
        <f t="shared" si="462"/>
        <v>204.70596604421024</v>
      </c>
      <c r="V776" s="21">
        <f t="shared" si="462"/>
        <v>208.80008536509439</v>
      </c>
      <c r="W776" s="21">
        <f t="shared" si="462"/>
        <v>212.97608707239635</v>
      </c>
      <c r="X776" s="21">
        <f t="shared" si="462"/>
        <v>217.23560881384429</v>
      </c>
      <c r="Y776" s="21">
        <f t="shared" si="462"/>
        <v>220.51056455068652</v>
      </c>
      <c r="Z776" s="21">
        <f t="shared" si="462"/>
        <v>224.91823743658969</v>
      </c>
      <c r="AA776" s="21">
        <f t="shared" si="462"/>
        <v>229.4107775219025</v>
      </c>
      <c r="AB776" s="21">
        <f t="shared" si="462"/>
        <v>233.98877358614371</v>
      </c>
      <c r="AC776" s="21">
        <f t="shared" si="462"/>
        <v>238.65219532429774</v>
      </c>
      <c r="AD776" s="21">
        <f t="shared" si="462"/>
        <v>241.58091262825087</v>
      </c>
      <c r="AE776" s="21">
        <f t="shared" si="462"/>
        <v>246.37242603399881</v>
      </c>
      <c r="AF776" s="21">
        <f t="shared" si="462"/>
        <v>251.23248635448252</v>
      </c>
      <c r="AG776" s="21">
        <f t="shared" si="462"/>
        <v>265.14318389410641</v>
      </c>
      <c r="AH776" s="21">
        <f t="shared" si="462"/>
        <v>100.97905738438547</v>
      </c>
      <c r="AI776" s="21">
        <f t="shared" si="462"/>
        <v>0</v>
      </c>
      <c r="AJ776" s="21">
        <f t="shared" si="462"/>
        <v>0</v>
      </c>
      <c r="AK776" s="21">
        <f t="shared" si="462"/>
        <v>0</v>
      </c>
      <c r="AL776" s="21">
        <f t="shared" si="462"/>
        <v>0</v>
      </c>
      <c r="AM776" s="21">
        <f t="shared" ref="AM776:BD776" si="463">AM773 + IF($E$617 = 1, AM672, IF($E$617 = 2, AM712, IF($E$617 = 3, AM730, IF($E$617 = 4, AM766, 0))))</f>
        <v>0</v>
      </c>
      <c r="AN776" s="21">
        <f t="shared" si="463"/>
        <v>0</v>
      </c>
      <c r="AO776" s="21">
        <f t="shared" si="463"/>
        <v>0</v>
      </c>
      <c r="AP776" s="21">
        <f t="shared" si="463"/>
        <v>0</v>
      </c>
      <c r="AQ776" s="21">
        <f t="shared" si="463"/>
        <v>0</v>
      </c>
      <c r="AR776" s="21">
        <f t="shared" si="463"/>
        <v>0</v>
      </c>
      <c r="AS776" s="21">
        <f t="shared" si="463"/>
        <v>0</v>
      </c>
      <c r="AT776" s="21">
        <f t="shared" si="463"/>
        <v>0</v>
      </c>
      <c r="AU776" s="21">
        <f t="shared" si="463"/>
        <v>0</v>
      </c>
      <c r="AV776" s="21">
        <f t="shared" si="463"/>
        <v>0</v>
      </c>
      <c r="AW776" s="21">
        <f t="shared" si="463"/>
        <v>0</v>
      </c>
      <c r="AX776" s="21">
        <f t="shared" si="463"/>
        <v>0</v>
      </c>
      <c r="AY776" s="21">
        <f t="shared" si="463"/>
        <v>0</v>
      </c>
      <c r="AZ776" s="21">
        <f t="shared" si="463"/>
        <v>0</v>
      </c>
      <c r="BA776" s="21">
        <f t="shared" si="463"/>
        <v>0</v>
      </c>
      <c r="BB776" s="21">
        <f t="shared" si="463"/>
        <v>0</v>
      </c>
      <c r="BC776" s="21">
        <f t="shared" si="463"/>
        <v>0</v>
      </c>
      <c r="BD776" s="21">
        <f t="shared" si="463"/>
        <v>0</v>
      </c>
    </row>
    <row r="777" spans="1:56" ht="15" customHeight="1">
      <c r="C777" s="21">
        <f t="shared" si="459"/>
        <v>3436.9546602788419</v>
      </c>
      <c r="D777" s="9" t="s">
        <v>660</v>
      </c>
      <c r="E777" s="18" t="s">
        <v>333</v>
      </c>
      <c r="G777" s="21">
        <f t="shared" ref="G777:AL777" si="464">G774 + IF($E$617 = 1, G673, IF($E$617 = 2, -G712, IF($E$617 = 3, -G730, IF($E$617 = 4, -G766, 0))))</f>
        <v>0</v>
      </c>
      <c r="H777" s="21">
        <f t="shared" si="464"/>
        <v>0</v>
      </c>
      <c r="I777" s="21">
        <f t="shared" si="464"/>
        <v>0</v>
      </c>
      <c r="J777" s="21">
        <f t="shared" si="464"/>
        <v>0</v>
      </c>
      <c r="K777" s="21">
        <f t="shared" si="464"/>
        <v>0</v>
      </c>
      <c r="L777" s="21">
        <f t="shared" si="464"/>
        <v>0</v>
      </c>
      <c r="M777" s="21">
        <f t="shared" si="464"/>
        <v>23.709300084908186</v>
      </c>
      <c r="N777" s="21">
        <f t="shared" si="464"/>
        <v>119.04463358685241</v>
      </c>
      <c r="O777" s="21">
        <f t="shared" si="464"/>
        <v>125.47233938469844</v>
      </c>
      <c r="P777" s="21">
        <f t="shared" si="464"/>
        <v>141.98710877184433</v>
      </c>
      <c r="Q777" s="21">
        <f t="shared" si="464"/>
        <v>144.82685094728126</v>
      </c>
      <c r="R777" s="21">
        <f t="shared" si="464"/>
        <v>147.72338796622674</v>
      </c>
      <c r="S777" s="21">
        <f t="shared" si="464"/>
        <v>150.67785572555138</v>
      </c>
      <c r="T777" s="21">
        <f t="shared" si="464"/>
        <v>153.69141284006238</v>
      </c>
      <c r="U777" s="21">
        <f t="shared" si="464"/>
        <v>156.76524109686363</v>
      </c>
      <c r="V777" s="21">
        <f t="shared" si="464"/>
        <v>159.90054591880084</v>
      </c>
      <c r="W777" s="21">
        <f t="shared" si="464"/>
        <v>163.09855683717694</v>
      </c>
      <c r="X777" s="21">
        <f t="shared" si="464"/>
        <v>166.36052797392051</v>
      </c>
      <c r="Y777" s="21">
        <f t="shared" si="464"/>
        <v>168.48528503350764</v>
      </c>
      <c r="Z777" s="21">
        <f t="shared" si="464"/>
        <v>171.85213745468644</v>
      </c>
      <c r="AA777" s="21">
        <f t="shared" si="464"/>
        <v>175.28263302476293</v>
      </c>
      <c r="AB777" s="21">
        <f t="shared" si="464"/>
        <v>178.77679853127481</v>
      </c>
      <c r="AC777" s="21">
        <f t="shared" si="464"/>
        <v>182.33395218285906</v>
      </c>
      <c r="AD777" s="21">
        <f t="shared" si="464"/>
        <v>183.9075266427007</v>
      </c>
      <c r="AE777" s="21">
        <f t="shared" si="464"/>
        <v>187.54059755589535</v>
      </c>
      <c r="AF777" s="21">
        <f t="shared" si="464"/>
        <v>191.21566219277398</v>
      </c>
      <c r="AG777" s="21">
        <f t="shared" si="464"/>
        <v>219.33729023133662</v>
      </c>
      <c r="AH777" s="21">
        <f t="shared" si="464"/>
        <v>124.96501629485783</v>
      </c>
      <c r="AI777" s="21">
        <f t="shared" si="464"/>
        <v>0</v>
      </c>
      <c r="AJ777" s="21">
        <f t="shared" si="464"/>
        <v>0</v>
      </c>
      <c r="AK777" s="21">
        <f t="shared" si="464"/>
        <v>0</v>
      </c>
      <c r="AL777" s="21">
        <f t="shared" si="464"/>
        <v>0</v>
      </c>
      <c r="AM777" s="21">
        <f t="shared" ref="AM777:BD777" si="465">AM774 + IF($E$617 = 1, AM673, IF($E$617 = 2, -AM712, IF($E$617 = 3, -AM730, IF($E$617 = 4, -AM766, 0))))</f>
        <v>0</v>
      </c>
      <c r="AN777" s="21">
        <f t="shared" si="465"/>
        <v>0</v>
      </c>
      <c r="AO777" s="21">
        <f t="shared" si="465"/>
        <v>0</v>
      </c>
      <c r="AP777" s="21">
        <f t="shared" si="465"/>
        <v>0</v>
      </c>
      <c r="AQ777" s="21">
        <f t="shared" si="465"/>
        <v>0</v>
      </c>
      <c r="AR777" s="21">
        <f t="shared" si="465"/>
        <v>0</v>
      </c>
      <c r="AS777" s="21">
        <f t="shared" si="465"/>
        <v>0</v>
      </c>
      <c r="AT777" s="21">
        <f t="shared" si="465"/>
        <v>0</v>
      </c>
      <c r="AU777" s="21">
        <f t="shared" si="465"/>
        <v>0</v>
      </c>
      <c r="AV777" s="21">
        <f t="shared" si="465"/>
        <v>0</v>
      </c>
      <c r="AW777" s="21">
        <f t="shared" si="465"/>
        <v>0</v>
      </c>
      <c r="AX777" s="21">
        <f t="shared" si="465"/>
        <v>0</v>
      </c>
      <c r="AY777" s="21">
        <f t="shared" si="465"/>
        <v>0</v>
      </c>
      <c r="AZ777" s="21">
        <f t="shared" si="465"/>
        <v>0</v>
      </c>
      <c r="BA777" s="21">
        <f t="shared" si="465"/>
        <v>0</v>
      </c>
      <c r="BB777" s="21">
        <f t="shared" si="465"/>
        <v>0</v>
      </c>
      <c r="BC777" s="21">
        <f t="shared" si="465"/>
        <v>0</v>
      </c>
      <c r="BD777" s="21">
        <f t="shared" si="465"/>
        <v>0</v>
      </c>
    </row>
    <row r="778" spans="1:56" ht="15" customHeight="1">
      <c r="B778" s="431"/>
      <c r="C778" s="21"/>
      <c r="E778" s="18"/>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row>
    <row r="779" spans="1:56" ht="23" customHeight="1">
      <c r="A779" s="547"/>
      <c r="B779" s="547" t="s">
        <v>661</v>
      </c>
      <c r="C779" s="555"/>
      <c r="D779" s="555"/>
      <c r="E779" s="463"/>
      <c r="F779" s="556"/>
      <c r="G779" s="544"/>
      <c r="H779" s="544"/>
      <c r="I779" s="544"/>
      <c r="J779" s="544"/>
      <c r="K779" s="544"/>
      <c r="L779" s="544"/>
      <c r="M779" s="544"/>
      <c r="N779" s="544"/>
      <c r="O779" s="544"/>
      <c r="P779" s="544"/>
      <c r="Q779" s="544"/>
      <c r="R779" s="544"/>
      <c r="S779" s="544"/>
      <c r="T779" s="544"/>
      <c r="U779" s="544"/>
      <c r="V779" s="544"/>
      <c r="W779" s="544"/>
      <c r="X779" s="544"/>
      <c r="Y779" s="544"/>
      <c r="Z779" s="544"/>
      <c r="AA779" s="544"/>
      <c r="AB779" s="544"/>
      <c r="AC779" s="544"/>
      <c r="AD779" s="544"/>
      <c r="AE779" s="544"/>
      <c r="AF779" s="544"/>
      <c r="AG779" s="544"/>
      <c r="AH779" s="544"/>
      <c r="AI779" s="544"/>
      <c r="AJ779" s="544"/>
      <c r="AK779" s="544"/>
      <c r="AL779" s="544"/>
      <c r="AM779" s="544"/>
      <c r="AN779" s="544"/>
      <c r="AO779" s="544"/>
      <c r="AP779" s="544"/>
      <c r="AQ779" s="544"/>
      <c r="AR779" s="544"/>
      <c r="AS779" s="544"/>
      <c r="AT779" s="544"/>
      <c r="AU779" s="544"/>
      <c r="AV779" s="544"/>
      <c r="AW779" s="544"/>
      <c r="AX779" s="544"/>
      <c r="AY779" s="544"/>
      <c r="AZ779" s="544"/>
      <c r="BA779" s="544"/>
      <c r="BB779" s="544"/>
      <c r="BC779" s="544"/>
      <c r="BD779" s="544"/>
    </row>
    <row r="780" spans="1:56" ht="15" customHeight="1">
      <c r="C780" s="20"/>
      <c r="D780" s="20"/>
      <c r="E780" s="20"/>
      <c r="F780" s="20"/>
      <c r="G780" s="20"/>
      <c r="H780" s="20"/>
      <c r="I780" s="20"/>
      <c r="J780" s="20"/>
      <c r="K780" s="20"/>
      <c r="L780" s="20"/>
      <c r="M780" s="20"/>
      <c r="N780" s="20"/>
      <c r="O780" s="20"/>
      <c r="P780" s="20"/>
      <c r="Q780" s="20"/>
      <c r="R780" s="20"/>
      <c r="S780" s="20"/>
      <c r="T780" s="20"/>
      <c r="U780" s="20"/>
      <c r="V780" s="20"/>
      <c r="W780" s="20"/>
      <c r="X780" s="20"/>
      <c r="Y780" s="20"/>
      <c r="Z780" s="20"/>
      <c r="AA780" s="20"/>
      <c r="AB780" s="20"/>
      <c r="AC780" s="20"/>
      <c r="AD780" s="20"/>
      <c r="AE780" s="20"/>
      <c r="AF780" s="20"/>
      <c r="AG780" s="20"/>
      <c r="AH780" s="20"/>
      <c r="AI780" s="20"/>
      <c r="AJ780" s="20"/>
      <c r="AK780" s="20"/>
      <c r="AL780" s="20"/>
      <c r="AM780" s="20"/>
      <c r="AN780" s="20"/>
      <c r="AO780" s="20"/>
      <c r="AP780" s="20"/>
      <c r="AQ780" s="20"/>
      <c r="AR780" s="20"/>
      <c r="AS780" s="20"/>
      <c r="AT780" s="20"/>
      <c r="AU780" s="20"/>
      <c r="AV780" s="20"/>
      <c r="AW780" s="20"/>
      <c r="AX780" s="20"/>
      <c r="AY780" s="20"/>
      <c r="AZ780" s="20"/>
      <c r="BA780" s="20"/>
      <c r="BB780" s="20"/>
      <c r="BC780" s="20"/>
      <c r="BD780" s="20"/>
    </row>
    <row r="781" spans="1:56" ht="15" customHeight="1">
      <c r="C781" s="20"/>
      <c r="D781" s="9" t="s">
        <v>662</v>
      </c>
      <c r="F781" s="20"/>
      <c r="G781" s="20"/>
      <c r="H781" s="20"/>
      <c r="I781" s="20"/>
      <c r="J781" s="20"/>
      <c r="K781" s="20"/>
      <c r="L781" s="20"/>
      <c r="M781" s="20"/>
      <c r="N781" s="20"/>
      <c r="O781" s="20"/>
      <c r="P781" s="20"/>
      <c r="Q781" s="20"/>
      <c r="R781" s="20"/>
      <c r="S781" s="20"/>
      <c r="T781" s="20"/>
      <c r="U781" s="20"/>
      <c r="V781" s="20"/>
      <c r="W781" s="20"/>
      <c r="X781" s="20"/>
      <c r="Y781" s="20"/>
      <c r="Z781" s="20"/>
      <c r="AA781" s="20"/>
      <c r="AB781" s="20"/>
      <c r="AC781" s="20"/>
      <c r="AD781" s="20"/>
      <c r="AE781" s="20"/>
      <c r="AF781" s="20"/>
      <c r="AG781" s="20"/>
      <c r="AH781" s="20"/>
      <c r="AI781" s="20"/>
      <c r="AJ781" s="20"/>
      <c r="AK781" s="20"/>
      <c r="AL781" s="20"/>
      <c r="AM781" s="20"/>
      <c r="AN781" s="20"/>
      <c r="AO781" s="20"/>
      <c r="AP781" s="20"/>
      <c r="AQ781" s="20"/>
      <c r="AR781" s="20"/>
      <c r="AS781" s="20"/>
      <c r="AT781" s="20"/>
      <c r="AU781" s="20"/>
      <c r="AV781" s="20"/>
      <c r="AW781" s="20"/>
      <c r="AX781" s="20"/>
      <c r="AY781" s="20"/>
      <c r="AZ781" s="20"/>
      <c r="BA781" s="20"/>
      <c r="BB781" s="20"/>
      <c r="BC781" s="20"/>
      <c r="BD781" s="20"/>
    </row>
    <row r="782" spans="1:56" ht="15" customHeight="1">
      <c r="C782" s="21">
        <f>SUM(G782:BD782)</f>
        <v>8276.555944099262</v>
      </c>
      <c r="D782" s="221" t="s">
        <v>465</v>
      </c>
      <c r="E782" s="18" t="s">
        <v>333</v>
      </c>
      <c r="F782" s="20"/>
      <c r="G782" s="21">
        <f t="shared" ref="G782:AL782" si="466">G277</f>
        <v>0</v>
      </c>
      <c r="H782" s="21">
        <f t="shared" si="466"/>
        <v>0</v>
      </c>
      <c r="I782" s="21">
        <f t="shared" si="466"/>
        <v>-2.9261250000000003</v>
      </c>
      <c r="J782" s="21">
        <f t="shared" si="466"/>
        <v>-11.93859</v>
      </c>
      <c r="K782" s="21">
        <f t="shared" si="466"/>
        <v>120.66141895560003</v>
      </c>
      <c r="L782" s="21">
        <f t="shared" si="466"/>
        <v>292.76358618052808</v>
      </c>
      <c r="M782" s="21">
        <f t="shared" si="466"/>
        <v>298.61885790413862</v>
      </c>
      <c r="N782" s="21">
        <f t="shared" si="466"/>
        <v>304.5912350622213</v>
      </c>
      <c r="O782" s="21">
        <f t="shared" si="466"/>
        <v>310.68305976346579</v>
      </c>
      <c r="P782" s="21">
        <f t="shared" si="466"/>
        <v>316.89672095873516</v>
      </c>
      <c r="Q782" s="21">
        <f t="shared" si="466"/>
        <v>323.23465537790992</v>
      </c>
      <c r="R782" s="21">
        <f t="shared" si="466"/>
        <v>329.69934848546791</v>
      </c>
      <c r="S782" s="21">
        <f t="shared" si="466"/>
        <v>336.29333545517738</v>
      </c>
      <c r="T782" s="21">
        <f t="shared" si="466"/>
        <v>343.01920216428096</v>
      </c>
      <c r="U782" s="21">
        <f t="shared" si="466"/>
        <v>349.87958620756655</v>
      </c>
      <c r="V782" s="21">
        <f t="shared" si="466"/>
        <v>356.87717793171777</v>
      </c>
      <c r="W782" s="21">
        <f t="shared" si="466"/>
        <v>364.01472149035226</v>
      </c>
      <c r="X782" s="21">
        <f t="shared" si="466"/>
        <v>371.2950159201593</v>
      </c>
      <c r="Y782" s="21">
        <f t="shared" si="466"/>
        <v>378.72091623856244</v>
      </c>
      <c r="Z782" s="21">
        <f t="shared" si="466"/>
        <v>386.29533456333365</v>
      </c>
      <c r="AA782" s="21">
        <f t="shared" si="466"/>
        <v>394.02124125460034</v>
      </c>
      <c r="AB782" s="21">
        <f t="shared" si="466"/>
        <v>401.9016660796924</v>
      </c>
      <c r="AC782" s="21">
        <f t="shared" si="466"/>
        <v>409.93969940128625</v>
      </c>
      <c r="AD782" s="21">
        <f t="shared" si="466"/>
        <v>414.27509019204285</v>
      </c>
      <c r="AE782" s="21">
        <f t="shared" si="466"/>
        <v>422.56059199588373</v>
      </c>
      <c r="AF782" s="21">
        <f t="shared" si="466"/>
        <v>431.0118038358014</v>
      </c>
      <c r="AG782" s="21">
        <f t="shared" si="466"/>
        <v>440.88710349828307</v>
      </c>
      <c r="AH782" s="21">
        <f t="shared" si="466"/>
        <v>193.27929018245547</v>
      </c>
      <c r="AI782" s="21">
        <f t="shared" si="466"/>
        <v>0</v>
      </c>
      <c r="AJ782" s="21">
        <f t="shared" si="466"/>
        <v>0</v>
      </c>
      <c r="AK782" s="21">
        <f t="shared" si="466"/>
        <v>0</v>
      </c>
      <c r="AL782" s="21">
        <f t="shared" si="466"/>
        <v>0</v>
      </c>
      <c r="AM782" s="21">
        <f t="shared" ref="AM782:BD782" si="467">AM277</f>
        <v>0</v>
      </c>
      <c r="AN782" s="21">
        <f t="shared" si="467"/>
        <v>0</v>
      </c>
      <c r="AO782" s="21">
        <f t="shared" si="467"/>
        <v>0</v>
      </c>
      <c r="AP782" s="21">
        <f t="shared" si="467"/>
        <v>0</v>
      </c>
      <c r="AQ782" s="21">
        <f t="shared" si="467"/>
        <v>0</v>
      </c>
      <c r="AR782" s="21">
        <f t="shared" si="467"/>
        <v>0</v>
      </c>
      <c r="AS782" s="21">
        <f t="shared" si="467"/>
        <v>0</v>
      </c>
      <c r="AT782" s="21">
        <f t="shared" si="467"/>
        <v>0</v>
      </c>
      <c r="AU782" s="21">
        <f t="shared" si="467"/>
        <v>0</v>
      </c>
      <c r="AV782" s="21">
        <f t="shared" si="467"/>
        <v>0</v>
      </c>
      <c r="AW782" s="21">
        <f t="shared" si="467"/>
        <v>0</v>
      </c>
      <c r="AX782" s="21">
        <f t="shared" si="467"/>
        <v>0</v>
      </c>
      <c r="AY782" s="21">
        <f t="shared" si="467"/>
        <v>0</v>
      </c>
      <c r="AZ782" s="21">
        <f t="shared" si="467"/>
        <v>0</v>
      </c>
      <c r="BA782" s="21">
        <f t="shared" si="467"/>
        <v>0</v>
      </c>
      <c r="BB782" s="21">
        <f t="shared" si="467"/>
        <v>0</v>
      </c>
      <c r="BC782" s="21">
        <f t="shared" si="467"/>
        <v>0</v>
      </c>
      <c r="BD782" s="21">
        <f t="shared" si="467"/>
        <v>0</v>
      </c>
    </row>
    <row r="783" spans="1:56" ht="15" customHeight="1">
      <c r="C783" s="21">
        <f>SUM(G783:BD783)</f>
        <v>6586.4381475041337</v>
      </c>
      <c r="D783" s="221" t="s">
        <v>416</v>
      </c>
      <c r="E783" s="18" t="s">
        <v>333</v>
      </c>
      <c r="F783" s="20"/>
      <c r="G783" s="21">
        <f t="shared" ref="G783:AL783" si="468">G414</f>
        <v>0</v>
      </c>
      <c r="H783" s="21">
        <f t="shared" si="468"/>
        <v>0</v>
      </c>
      <c r="I783" s="21">
        <f t="shared" si="468"/>
        <v>-2.9261250000000003</v>
      </c>
      <c r="J783" s="21">
        <f t="shared" si="468"/>
        <v>-11.93859</v>
      </c>
      <c r="K783" s="21">
        <f t="shared" si="468"/>
        <v>-15.25354344439998</v>
      </c>
      <c r="L783" s="21">
        <f t="shared" si="468"/>
        <v>188.41597735492809</v>
      </c>
      <c r="M783" s="21">
        <f t="shared" si="468"/>
        <v>185.26194972442661</v>
      </c>
      <c r="N783" s="21">
        <f t="shared" si="468"/>
        <v>182.04484154131507</v>
      </c>
      <c r="O783" s="21">
        <f t="shared" si="468"/>
        <v>178.76339119454144</v>
      </c>
      <c r="P783" s="21">
        <f t="shared" si="468"/>
        <v>270.93127424083229</v>
      </c>
      <c r="Q783" s="21">
        <f t="shared" si="468"/>
        <v>276.34989972564904</v>
      </c>
      <c r="R783" s="21">
        <f t="shared" si="468"/>
        <v>281.87689772016176</v>
      </c>
      <c r="S783" s="21">
        <f t="shared" si="468"/>
        <v>287.51443567456511</v>
      </c>
      <c r="T783" s="21">
        <f t="shared" si="468"/>
        <v>293.26472438805644</v>
      </c>
      <c r="U783" s="21">
        <f t="shared" si="468"/>
        <v>299.13001887581754</v>
      </c>
      <c r="V783" s="21">
        <f t="shared" si="468"/>
        <v>305.11261925333383</v>
      </c>
      <c r="W783" s="21">
        <f t="shared" si="468"/>
        <v>311.21487163840061</v>
      </c>
      <c r="X783" s="21">
        <f t="shared" si="468"/>
        <v>317.43916907116864</v>
      </c>
      <c r="Y783" s="21">
        <f t="shared" si="468"/>
        <v>323.78795245259198</v>
      </c>
      <c r="Z783" s="21">
        <f t="shared" si="468"/>
        <v>330.26371150164374</v>
      </c>
      <c r="AA783" s="21">
        <f t="shared" si="468"/>
        <v>336.86898573167662</v>
      </c>
      <c r="AB783" s="21">
        <f t="shared" si="468"/>
        <v>343.60636544631024</v>
      </c>
      <c r="AC783" s="21">
        <f t="shared" si="468"/>
        <v>350.4784927552364</v>
      </c>
      <c r="AD783" s="21">
        <f t="shared" si="468"/>
        <v>353.62465941307204</v>
      </c>
      <c r="AE783" s="21">
        <f t="shared" si="468"/>
        <v>360.69715260133353</v>
      </c>
      <c r="AF783" s="21">
        <f t="shared" si="468"/>
        <v>367.91109565336018</v>
      </c>
      <c r="AG783" s="21">
        <f t="shared" si="468"/>
        <v>383.21805360960911</v>
      </c>
      <c r="AH783" s="21">
        <f t="shared" si="468"/>
        <v>88.779866380502526</v>
      </c>
      <c r="AI783" s="21">
        <f t="shared" si="468"/>
        <v>0</v>
      </c>
      <c r="AJ783" s="21">
        <f t="shared" si="468"/>
        <v>0</v>
      </c>
      <c r="AK783" s="21">
        <f t="shared" si="468"/>
        <v>0</v>
      </c>
      <c r="AL783" s="21">
        <f t="shared" si="468"/>
        <v>0</v>
      </c>
      <c r="AM783" s="21">
        <f t="shared" ref="AM783:BD783" si="469">AM414</f>
        <v>0</v>
      </c>
      <c r="AN783" s="21">
        <f t="shared" si="469"/>
        <v>0</v>
      </c>
      <c r="AO783" s="21">
        <f t="shared" si="469"/>
        <v>0</v>
      </c>
      <c r="AP783" s="21">
        <f t="shared" si="469"/>
        <v>0</v>
      </c>
      <c r="AQ783" s="21">
        <f t="shared" si="469"/>
        <v>0</v>
      </c>
      <c r="AR783" s="21">
        <f t="shared" si="469"/>
        <v>0</v>
      </c>
      <c r="AS783" s="21">
        <f t="shared" si="469"/>
        <v>0</v>
      </c>
      <c r="AT783" s="21">
        <f t="shared" si="469"/>
        <v>0</v>
      </c>
      <c r="AU783" s="21">
        <f t="shared" si="469"/>
        <v>0</v>
      </c>
      <c r="AV783" s="21">
        <f t="shared" si="469"/>
        <v>0</v>
      </c>
      <c r="AW783" s="21">
        <f t="shared" si="469"/>
        <v>0</v>
      </c>
      <c r="AX783" s="21">
        <f t="shared" si="469"/>
        <v>0</v>
      </c>
      <c r="AY783" s="21">
        <f t="shared" si="469"/>
        <v>0</v>
      </c>
      <c r="AZ783" s="21">
        <f t="shared" si="469"/>
        <v>0</v>
      </c>
      <c r="BA783" s="21">
        <f t="shared" si="469"/>
        <v>0</v>
      </c>
      <c r="BB783" s="21">
        <f t="shared" si="469"/>
        <v>0</v>
      </c>
      <c r="BC783" s="21">
        <f t="shared" si="469"/>
        <v>0</v>
      </c>
      <c r="BD783" s="21">
        <f t="shared" si="469"/>
        <v>0</v>
      </c>
    </row>
    <row r="784" spans="1:56" ht="15" customHeight="1">
      <c r="C784" s="21">
        <f>SUM(G784:BD784)</f>
        <v>6536.1893244641324</v>
      </c>
      <c r="D784" s="221" t="s">
        <v>663</v>
      </c>
      <c r="E784" s="18" t="s">
        <v>333</v>
      </c>
      <c r="F784" s="20"/>
      <c r="G784" s="21">
        <f t="shared" ref="G784:AL784" si="470">G414-G96</f>
        <v>0</v>
      </c>
      <c r="H784" s="21">
        <f t="shared" si="470"/>
        <v>0</v>
      </c>
      <c r="I784" s="21">
        <f t="shared" si="470"/>
        <v>-2.9261250000000003</v>
      </c>
      <c r="J784" s="21">
        <f t="shared" si="470"/>
        <v>-11.93859</v>
      </c>
      <c r="K784" s="21">
        <f t="shared" si="470"/>
        <v>-32.003151124399977</v>
      </c>
      <c r="L784" s="21">
        <f t="shared" si="470"/>
        <v>175.0162912109281</v>
      </c>
      <c r="M784" s="21">
        <f t="shared" si="470"/>
        <v>175.21218511642661</v>
      </c>
      <c r="N784" s="21">
        <f t="shared" si="470"/>
        <v>175.34499846931507</v>
      </c>
      <c r="O784" s="21">
        <f t="shared" si="470"/>
        <v>175.41346965854143</v>
      </c>
      <c r="P784" s="21">
        <f t="shared" si="470"/>
        <v>270.93127424083229</v>
      </c>
      <c r="Q784" s="21">
        <f t="shared" si="470"/>
        <v>276.34989972564904</v>
      </c>
      <c r="R784" s="21">
        <f t="shared" si="470"/>
        <v>281.87689772016176</v>
      </c>
      <c r="S784" s="21">
        <f t="shared" si="470"/>
        <v>287.51443567456511</v>
      </c>
      <c r="T784" s="21">
        <f t="shared" si="470"/>
        <v>293.26472438805644</v>
      </c>
      <c r="U784" s="21">
        <f t="shared" si="470"/>
        <v>299.13001887581754</v>
      </c>
      <c r="V784" s="21">
        <f t="shared" si="470"/>
        <v>305.11261925333383</v>
      </c>
      <c r="W784" s="21">
        <f t="shared" si="470"/>
        <v>311.21487163840061</v>
      </c>
      <c r="X784" s="21">
        <f t="shared" si="470"/>
        <v>317.43916907116864</v>
      </c>
      <c r="Y784" s="21">
        <f t="shared" si="470"/>
        <v>323.78795245259198</v>
      </c>
      <c r="Z784" s="21">
        <f t="shared" si="470"/>
        <v>330.26371150164374</v>
      </c>
      <c r="AA784" s="21">
        <f t="shared" si="470"/>
        <v>336.86898573167662</v>
      </c>
      <c r="AB784" s="21">
        <f t="shared" si="470"/>
        <v>343.60636544631024</v>
      </c>
      <c r="AC784" s="21">
        <f t="shared" si="470"/>
        <v>350.4784927552364</v>
      </c>
      <c r="AD784" s="21">
        <f t="shared" si="470"/>
        <v>353.62465941307204</v>
      </c>
      <c r="AE784" s="21">
        <f t="shared" si="470"/>
        <v>360.69715260133353</v>
      </c>
      <c r="AF784" s="21">
        <f t="shared" si="470"/>
        <v>367.91109565336018</v>
      </c>
      <c r="AG784" s="21">
        <f t="shared" si="470"/>
        <v>383.21805360960911</v>
      </c>
      <c r="AH784" s="21">
        <f t="shared" si="470"/>
        <v>88.779866380502526</v>
      </c>
      <c r="AI784" s="21">
        <f t="shared" si="470"/>
        <v>0</v>
      </c>
      <c r="AJ784" s="21">
        <f t="shared" si="470"/>
        <v>0</v>
      </c>
      <c r="AK784" s="21">
        <f t="shared" si="470"/>
        <v>0</v>
      </c>
      <c r="AL784" s="21">
        <f t="shared" si="470"/>
        <v>0</v>
      </c>
      <c r="AM784" s="21">
        <f t="shared" ref="AM784:BD784" si="471">AM414-AM96</f>
        <v>0</v>
      </c>
      <c r="AN784" s="21">
        <f t="shared" si="471"/>
        <v>0</v>
      </c>
      <c r="AO784" s="21">
        <f t="shared" si="471"/>
        <v>0</v>
      </c>
      <c r="AP784" s="21">
        <f t="shared" si="471"/>
        <v>0</v>
      </c>
      <c r="AQ784" s="21">
        <f t="shared" si="471"/>
        <v>0</v>
      </c>
      <c r="AR784" s="21">
        <f t="shared" si="471"/>
        <v>0</v>
      </c>
      <c r="AS784" s="21">
        <f t="shared" si="471"/>
        <v>0</v>
      </c>
      <c r="AT784" s="21">
        <f t="shared" si="471"/>
        <v>0</v>
      </c>
      <c r="AU784" s="21">
        <f t="shared" si="471"/>
        <v>0</v>
      </c>
      <c r="AV784" s="21">
        <f t="shared" si="471"/>
        <v>0</v>
      </c>
      <c r="AW784" s="21">
        <f t="shared" si="471"/>
        <v>0</v>
      </c>
      <c r="AX784" s="21">
        <f t="shared" si="471"/>
        <v>0</v>
      </c>
      <c r="AY784" s="21">
        <f t="shared" si="471"/>
        <v>0</v>
      </c>
      <c r="AZ784" s="21">
        <f t="shared" si="471"/>
        <v>0</v>
      </c>
      <c r="BA784" s="21">
        <f t="shared" si="471"/>
        <v>0</v>
      </c>
      <c r="BB784" s="21">
        <f t="shared" si="471"/>
        <v>0</v>
      </c>
      <c r="BC784" s="21">
        <f t="shared" si="471"/>
        <v>0</v>
      </c>
      <c r="BD784" s="21">
        <f t="shared" si="471"/>
        <v>0</v>
      </c>
    </row>
    <row r="785" spans="2:56" ht="15" customHeight="1">
      <c r="C785" s="20"/>
      <c r="D785" s="20"/>
      <c r="E785" s="20"/>
      <c r="F785" s="20"/>
      <c r="G785" s="20"/>
      <c r="H785" s="20"/>
      <c r="I785" s="20"/>
      <c r="J785" s="20"/>
      <c r="K785" s="20"/>
      <c r="L785" s="20"/>
      <c r="M785" s="20"/>
      <c r="N785" s="20"/>
      <c r="O785" s="20"/>
      <c r="P785" s="20"/>
      <c r="Q785" s="20"/>
      <c r="R785" s="20"/>
      <c r="S785" s="20"/>
      <c r="T785" s="20"/>
      <c r="U785" s="20"/>
      <c r="V785" s="20"/>
      <c r="W785" s="20"/>
      <c r="X785" s="20"/>
      <c r="Y785" s="20"/>
      <c r="Z785" s="20"/>
      <c r="AA785" s="20"/>
      <c r="AB785" s="20"/>
      <c r="AC785" s="20"/>
      <c r="AD785" s="20"/>
      <c r="AE785" s="20"/>
      <c r="AF785" s="20"/>
      <c r="AG785" s="20"/>
      <c r="AH785" s="20"/>
      <c r="AI785" s="20"/>
      <c r="AJ785" s="20"/>
      <c r="AK785" s="20"/>
      <c r="AL785" s="20"/>
      <c r="AM785" s="20"/>
      <c r="AN785" s="20"/>
      <c r="AO785" s="20"/>
      <c r="AP785" s="20"/>
      <c r="AQ785" s="20"/>
      <c r="AR785" s="20"/>
      <c r="AS785" s="20"/>
      <c r="AT785" s="20"/>
      <c r="AU785" s="20"/>
      <c r="AV785" s="20"/>
      <c r="AW785" s="20"/>
      <c r="AX785" s="20"/>
      <c r="AY785" s="20"/>
      <c r="AZ785" s="20"/>
      <c r="BA785" s="20"/>
      <c r="BB785" s="20"/>
      <c r="BC785" s="20"/>
      <c r="BD785" s="20"/>
    </row>
    <row r="786" spans="2:56" ht="15" customHeight="1">
      <c r="D786" s="11" t="s">
        <v>556</v>
      </c>
      <c r="E786" s="388">
        <f>Inputs!E79</f>
        <v>0.16</v>
      </c>
    </row>
    <row r="787" spans="2:56" ht="15" customHeight="1">
      <c r="D787" s="11" t="s">
        <v>557</v>
      </c>
      <c r="E787" s="240">
        <f>100%-E786</f>
        <v>0.84</v>
      </c>
    </row>
    <row r="788" spans="2:56" ht="15" customHeight="1">
      <c r="D788" s="11" t="s">
        <v>164</v>
      </c>
      <c r="E788" s="307">
        <f>Inputs!E80</f>
        <v>1</v>
      </c>
    </row>
    <row r="789" spans="2:56" ht="15" customHeight="1">
      <c r="D789" s="11" t="s">
        <v>165</v>
      </c>
      <c r="E789" s="307">
        <f>Inputs!E81</f>
        <v>3</v>
      </c>
    </row>
    <row r="790" spans="2:56" ht="15" customHeight="1">
      <c r="D790" s="11" t="s">
        <v>447</v>
      </c>
      <c r="E790" s="307">
        <f>Inputs!E82</f>
        <v>2</v>
      </c>
    </row>
    <row r="791" spans="2:56" ht="15" customHeight="1">
      <c r="B791" s="396"/>
      <c r="D791" s="11" t="s">
        <v>604</v>
      </c>
      <c r="E791" s="413">
        <f>Inputs!E57</f>
        <v>1</v>
      </c>
    </row>
    <row r="792" spans="2:56" ht="15" customHeight="1">
      <c r="E792" s="307"/>
    </row>
    <row r="793" spans="2:56" ht="15" customHeight="1">
      <c r="D793" s="11" t="s">
        <v>435</v>
      </c>
      <c r="E793" s="159">
        <f>IF(AND(Inputs!$E$85 = 1, Inputs!$E$88 = 0), 1, IF(AND(Inputs!$E$85 = 1, Inputs!$E$88 = 1), 2, IF(Inputs!$E$89 = 1, 3, IF(Inputs!$E$93 = 1, 4, 5))))</f>
        <v>5</v>
      </c>
    </row>
    <row r="794" spans="2:56" ht="15" customHeight="1">
      <c r="E794" s="388"/>
    </row>
    <row r="795" spans="2:56" ht="15" customHeight="1">
      <c r="C795" s="4"/>
      <c r="D795" s="9" t="s">
        <v>664</v>
      </c>
      <c r="E795" s="18"/>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row>
    <row r="796" spans="2:56" ht="15" customHeight="1">
      <c r="B796" s="21"/>
      <c r="C796" s="21">
        <f t="shared" ref="C796:C807" si="472">SUM(G796:BD796)</f>
        <v>17497.377173577093</v>
      </c>
      <c r="D796" s="11" t="s">
        <v>316</v>
      </c>
      <c r="E796" s="18" t="s">
        <v>333</v>
      </c>
      <c r="G796" s="21">
        <f t="shared" ref="G796:AL796" si="473">G51 - G254</f>
        <v>0</v>
      </c>
      <c r="H796" s="21">
        <f t="shared" si="473"/>
        <v>0</v>
      </c>
      <c r="I796" s="21">
        <f t="shared" si="473"/>
        <v>0</v>
      </c>
      <c r="J796" s="21">
        <f t="shared" si="473"/>
        <v>0</v>
      </c>
      <c r="K796" s="21">
        <f t="shared" si="473"/>
        <v>259.29662392800003</v>
      </c>
      <c r="L796" s="21">
        <f t="shared" si="473"/>
        <v>617.1259649486401</v>
      </c>
      <c r="M796" s="21">
        <f t="shared" si="473"/>
        <v>629.46848424761288</v>
      </c>
      <c r="N796" s="21">
        <f t="shared" si="473"/>
        <v>642.05785393256497</v>
      </c>
      <c r="O796" s="21">
        <f t="shared" si="473"/>
        <v>654.89901101121632</v>
      </c>
      <c r="P796" s="21">
        <f t="shared" si="473"/>
        <v>667.99699123144069</v>
      </c>
      <c r="Q796" s="21">
        <f t="shared" si="473"/>
        <v>681.35693105606958</v>
      </c>
      <c r="R796" s="21">
        <f t="shared" si="473"/>
        <v>694.98406967719075</v>
      </c>
      <c r="S796" s="21">
        <f t="shared" si="473"/>
        <v>708.88375107073477</v>
      </c>
      <c r="T796" s="21">
        <f t="shared" si="473"/>
        <v>723.06142609214942</v>
      </c>
      <c r="U796" s="21">
        <f t="shared" si="473"/>
        <v>737.52265461399247</v>
      </c>
      <c r="V796" s="21">
        <f t="shared" si="473"/>
        <v>752.27310770627207</v>
      </c>
      <c r="W796" s="21">
        <f t="shared" si="473"/>
        <v>767.3185698603977</v>
      </c>
      <c r="X796" s="21">
        <f t="shared" si="473"/>
        <v>782.66494125760573</v>
      </c>
      <c r="Y796" s="21">
        <f t="shared" si="473"/>
        <v>798.31824008275771</v>
      </c>
      <c r="Z796" s="21">
        <f t="shared" si="473"/>
        <v>814.28460488441283</v>
      </c>
      <c r="AA796" s="21">
        <f t="shared" si="473"/>
        <v>830.57029698210113</v>
      </c>
      <c r="AB796" s="21">
        <f t="shared" si="473"/>
        <v>847.18170292174318</v>
      </c>
      <c r="AC796" s="21">
        <f t="shared" si="473"/>
        <v>864.12533698017808</v>
      </c>
      <c r="AD796" s="21">
        <f t="shared" si="473"/>
        <v>877.54444052251245</v>
      </c>
      <c r="AE796" s="21">
        <f t="shared" si="473"/>
        <v>895.09532933296271</v>
      </c>
      <c r="AF796" s="21">
        <f t="shared" si="473"/>
        <v>912.99723591962197</v>
      </c>
      <c r="AG796" s="21">
        <f t="shared" si="473"/>
        <v>931.25718063801457</v>
      </c>
      <c r="AH796" s="21">
        <f t="shared" si="473"/>
        <v>407.0924246789034</v>
      </c>
      <c r="AI796" s="21">
        <f t="shared" si="473"/>
        <v>0</v>
      </c>
      <c r="AJ796" s="21">
        <f t="shared" si="473"/>
        <v>0</v>
      </c>
      <c r="AK796" s="21">
        <f t="shared" si="473"/>
        <v>0</v>
      </c>
      <c r="AL796" s="21">
        <f t="shared" si="473"/>
        <v>0</v>
      </c>
      <c r="AM796" s="21">
        <f t="shared" ref="AM796:BD796" si="474">AM51 - AM254</f>
        <v>0</v>
      </c>
      <c r="AN796" s="21">
        <f t="shared" si="474"/>
        <v>0</v>
      </c>
      <c r="AO796" s="21">
        <f t="shared" si="474"/>
        <v>0</v>
      </c>
      <c r="AP796" s="21">
        <f t="shared" si="474"/>
        <v>0</v>
      </c>
      <c r="AQ796" s="21">
        <f t="shared" si="474"/>
        <v>0</v>
      </c>
      <c r="AR796" s="21">
        <f t="shared" si="474"/>
        <v>0</v>
      </c>
      <c r="AS796" s="21">
        <f t="shared" si="474"/>
        <v>0</v>
      </c>
      <c r="AT796" s="21">
        <f t="shared" si="474"/>
        <v>0</v>
      </c>
      <c r="AU796" s="21">
        <f t="shared" si="474"/>
        <v>0</v>
      </c>
      <c r="AV796" s="21">
        <f t="shared" si="474"/>
        <v>0</v>
      </c>
      <c r="AW796" s="21">
        <f t="shared" si="474"/>
        <v>0</v>
      </c>
      <c r="AX796" s="21">
        <f t="shared" si="474"/>
        <v>0</v>
      </c>
      <c r="AY796" s="21">
        <f t="shared" si="474"/>
        <v>0</v>
      </c>
      <c r="AZ796" s="21">
        <f t="shared" si="474"/>
        <v>0</v>
      </c>
      <c r="BA796" s="21">
        <f t="shared" si="474"/>
        <v>0</v>
      </c>
      <c r="BB796" s="21">
        <f t="shared" si="474"/>
        <v>0</v>
      </c>
      <c r="BC796" s="21">
        <f t="shared" si="474"/>
        <v>0</v>
      </c>
      <c r="BD796" s="21">
        <f t="shared" si="474"/>
        <v>0</v>
      </c>
    </row>
    <row r="797" spans="2:56" ht="15" customHeight="1">
      <c r="B797" s="21"/>
      <c r="C797" s="21">
        <f t="shared" si="472"/>
        <v>0</v>
      </c>
      <c r="D797" s="11" t="s">
        <v>665</v>
      </c>
      <c r="E797" s="18" t="s">
        <v>333</v>
      </c>
      <c r="G797" s="21">
        <f t="shared" ref="G797:AL797" si="475">IF($E$788 =1, G551, 0)</f>
        <v>0</v>
      </c>
      <c r="H797" s="21">
        <f t="shared" si="475"/>
        <v>0</v>
      </c>
      <c r="I797" s="21">
        <f t="shared" si="475"/>
        <v>0</v>
      </c>
      <c r="J797" s="21">
        <f t="shared" si="475"/>
        <v>0</v>
      </c>
      <c r="K797" s="21">
        <f t="shared" si="475"/>
        <v>0</v>
      </c>
      <c r="L797" s="21">
        <f t="shared" si="475"/>
        <v>0</v>
      </c>
      <c r="M797" s="21">
        <f t="shared" si="475"/>
        <v>0</v>
      </c>
      <c r="N797" s="21">
        <f t="shared" si="475"/>
        <v>0</v>
      </c>
      <c r="O797" s="21">
        <f t="shared" si="475"/>
        <v>0</v>
      </c>
      <c r="P797" s="21">
        <f t="shared" si="475"/>
        <v>0</v>
      </c>
      <c r="Q797" s="21">
        <f t="shared" si="475"/>
        <v>0</v>
      </c>
      <c r="R797" s="21">
        <f t="shared" si="475"/>
        <v>0</v>
      </c>
      <c r="S797" s="21">
        <f t="shared" si="475"/>
        <v>0</v>
      </c>
      <c r="T797" s="21">
        <f t="shared" si="475"/>
        <v>0</v>
      </c>
      <c r="U797" s="21">
        <f t="shared" si="475"/>
        <v>0</v>
      </c>
      <c r="V797" s="21">
        <f t="shared" si="475"/>
        <v>0</v>
      </c>
      <c r="W797" s="21">
        <f t="shared" si="475"/>
        <v>0</v>
      </c>
      <c r="X797" s="21">
        <f t="shared" si="475"/>
        <v>0</v>
      </c>
      <c r="Y797" s="21">
        <f t="shared" si="475"/>
        <v>0</v>
      </c>
      <c r="Z797" s="21">
        <f t="shared" si="475"/>
        <v>0</v>
      </c>
      <c r="AA797" s="21">
        <f t="shared" si="475"/>
        <v>0</v>
      </c>
      <c r="AB797" s="21">
        <f t="shared" si="475"/>
        <v>0</v>
      </c>
      <c r="AC797" s="21">
        <f t="shared" si="475"/>
        <v>0</v>
      </c>
      <c r="AD797" s="21">
        <f t="shared" si="475"/>
        <v>0</v>
      </c>
      <c r="AE797" s="21">
        <f t="shared" si="475"/>
        <v>0</v>
      </c>
      <c r="AF797" s="21">
        <f t="shared" si="475"/>
        <v>0</v>
      </c>
      <c r="AG797" s="21">
        <f t="shared" si="475"/>
        <v>0</v>
      </c>
      <c r="AH797" s="21">
        <f t="shared" si="475"/>
        <v>0</v>
      </c>
      <c r="AI797" s="21">
        <f t="shared" si="475"/>
        <v>0</v>
      </c>
      <c r="AJ797" s="21">
        <f t="shared" si="475"/>
        <v>0</v>
      </c>
      <c r="AK797" s="21">
        <f t="shared" si="475"/>
        <v>0</v>
      </c>
      <c r="AL797" s="21">
        <f t="shared" si="475"/>
        <v>0</v>
      </c>
      <c r="AM797" s="21">
        <f t="shared" ref="AM797:BD797" si="476">IF($E$788 =1, AM551, 0)</f>
        <v>0</v>
      </c>
      <c r="AN797" s="21">
        <f t="shared" si="476"/>
        <v>0</v>
      </c>
      <c r="AO797" s="21">
        <f t="shared" si="476"/>
        <v>0</v>
      </c>
      <c r="AP797" s="21">
        <f t="shared" si="476"/>
        <v>0</v>
      </c>
      <c r="AQ797" s="21">
        <f t="shared" si="476"/>
        <v>0</v>
      </c>
      <c r="AR797" s="21">
        <f t="shared" si="476"/>
        <v>0</v>
      </c>
      <c r="AS797" s="21">
        <f t="shared" si="476"/>
        <v>0</v>
      </c>
      <c r="AT797" s="21">
        <f t="shared" si="476"/>
        <v>0</v>
      </c>
      <c r="AU797" s="21">
        <f t="shared" si="476"/>
        <v>0</v>
      </c>
      <c r="AV797" s="21">
        <f t="shared" si="476"/>
        <v>0</v>
      </c>
      <c r="AW797" s="21">
        <f t="shared" si="476"/>
        <v>0</v>
      </c>
      <c r="AX797" s="21">
        <f t="shared" si="476"/>
        <v>0</v>
      </c>
      <c r="AY797" s="21">
        <f t="shared" si="476"/>
        <v>0</v>
      </c>
      <c r="AZ797" s="21">
        <f t="shared" si="476"/>
        <v>0</v>
      </c>
      <c r="BA797" s="21">
        <f t="shared" si="476"/>
        <v>0</v>
      </c>
      <c r="BB797" s="21">
        <f t="shared" si="476"/>
        <v>0</v>
      </c>
      <c r="BC797" s="21">
        <f t="shared" si="476"/>
        <v>0</v>
      </c>
      <c r="BD797" s="21">
        <f t="shared" si="476"/>
        <v>0</v>
      </c>
    </row>
    <row r="798" spans="2:56" ht="15" customHeight="1">
      <c r="B798" s="21"/>
      <c r="C798" s="21">
        <f t="shared" si="472"/>
        <v>0</v>
      </c>
      <c r="D798" s="11" t="s">
        <v>666</v>
      </c>
      <c r="E798" s="18" t="s">
        <v>333</v>
      </c>
      <c r="G798" s="21">
        <f t="shared" ref="G798:AL798" si="477">G586</f>
        <v>0</v>
      </c>
      <c r="H798" s="21">
        <f t="shared" si="477"/>
        <v>0</v>
      </c>
      <c r="I798" s="21">
        <f t="shared" si="477"/>
        <v>0</v>
      </c>
      <c r="J798" s="21">
        <f t="shared" si="477"/>
        <v>0</v>
      </c>
      <c r="K798" s="21">
        <f t="shared" si="477"/>
        <v>0</v>
      </c>
      <c r="L798" s="21">
        <f t="shared" si="477"/>
        <v>0</v>
      </c>
      <c r="M798" s="21">
        <f t="shared" si="477"/>
        <v>0</v>
      </c>
      <c r="N798" s="21">
        <f t="shared" si="477"/>
        <v>0</v>
      </c>
      <c r="O798" s="21">
        <f t="shared" si="477"/>
        <v>0</v>
      </c>
      <c r="P798" s="21">
        <f t="shared" si="477"/>
        <v>0</v>
      </c>
      <c r="Q798" s="21">
        <f t="shared" si="477"/>
        <v>0</v>
      </c>
      <c r="R798" s="21">
        <f t="shared" si="477"/>
        <v>0</v>
      </c>
      <c r="S798" s="21">
        <f t="shared" si="477"/>
        <v>0</v>
      </c>
      <c r="T798" s="21">
        <f t="shared" si="477"/>
        <v>0</v>
      </c>
      <c r="U798" s="21">
        <f t="shared" si="477"/>
        <v>0</v>
      </c>
      <c r="V798" s="21">
        <f t="shared" si="477"/>
        <v>0</v>
      </c>
      <c r="W798" s="21">
        <f t="shared" si="477"/>
        <v>0</v>
      </c>
      <c r="X798" s="21">
        <f t="shared" si="477"/>
        <v>0</v>
      </c>
      <c r="Y798" s="21">
        <f t="shared" si="477"/>
        <v>0</v>
      </c>
      <c r="Z798" s="21">
        <f t="shared" si="477"/>
        <v>0</v>
      </c>
      <c r="AA798" s="21">
        <f t="shared" si="477"/>
        <v>0</v>
      </c>
      <c r="AB798" s="21">
        <f t="shared" si="477"/>
        <v>0</v>
      </c>
      <c r="AC798" s="21">
        <f t="shared" si="477"/>
        <v>0</v>
      </c>
      <c r="AD798" s="21">
        <f t="shared" si="477"/>
        <v>0</v>
      </c>
      <c r="AE798" s="21">
        <f t="shared" si="477"/>
        <v>0</v>
      </c>
      <c r="AF798" s="21">
        <f t="shared" si="477"/>
        <v>0</v>
      </c>
      <c r="AG798" s="21">
        <f t="shared" si="477"/>
        <v>0</v>
      </c>
      <c r="AH798" s="21">
        <f t="shared" si="477"/>
        <v>0</v>
      </c>
      <c r="AI798" s="21">
        <f t="shared" si="477"/>
        <v>0</v>
      </c>
      <c r="AJ798" s="21">
        <f t="shared" si="477"/>
        <v>0</v>
      </c>
      <c r="AK798" s="21">
        <f t="shared" si="477"/>
        <v>0</v>
      </c>
      <c r="AL798" s="21">
        <f t="shared" si="477"/>
        <v>0</v>
      </c>
      <c r="AM798" s="21">
        <f t="shared" ref="AM798:BD798" si="478">AM586</f>
        <v>0</v>
      </c>
      <c r="AN798" s="21">
        <f t="shared" si="478"/>
        <v>0</v>
      </c>
      <c r="AO798" s="21">
        <f t="shared" si="478"/>
        <v>0</v>
      </c>
      <c r="AP798" s="21">
        <f t="shared" si="478"/>
        <v>0</v>
      </c>
      <c r="AQ798" s="21">
        <f t="shared" si="478"/>
        <v>0</v>
      </c>
      <c r="AR798" s="21">
        <f t="shared" si="478"/>
        <v>0</v>
      </c>
      <c r="AS798" s="21">
        <f t="shared" si="478"/>
        <v>0</v>
      </c>
      <c r="AT798" s="21">
        <f t="shared" si="478"/>
        <v>0</v>
      </c>
      <c r="AU798" s="21">
        <f t="shared" si="478"/>
        <v>0</v>
      </c>
      <c r="AV798" s="21">
        <f t="shared" si="478"/>
        <v>0</v>
      </c>
      <c r="AW798" s="21">
        <f t="shared" si="478"/>
        <v>0</v>
      </c>
      <c r="AX798" s="21">
        <f t="shared" si="478"/>
        <v>0</v>
      </c>
      <c r="AY798" s="21">
        <f t="shared" si="478"/>
        <v>0</v>
      </c>
      <c r="AZ798" s="21">
        <f t="shared" si="478"/>
        <v>0</v>
      </c>
      <c r="BA798" s="21">
        <f t="shared" si="478"/>
        <v>0</v>
      </c>
      <c r="BB798" s="21">
        <f t="shared" si="478"/>
        <v>0</v>
      </c>
      <c r="BC798" s="21">
        <f t="shared" si="478"/>
        <v>0</v>
      </c>
      <c r="BD798" s="21">
        <f t="shared" si="478"/>
        <v>0</v>
      </c>
    </row>
    <row r="799" spans="2:56" ht="15" customHeight="1">
      <c r="B799" s="21"/>
      <c r="C799" s="21">
        <f t="shared" si="472"/>
        <v>0</v>
      </c>
      <c r="D799" s="11" t="s">
        <v>667</v>
      </c>
      <c r="E799" s="18" t="s">
        <v>333</v>
      </c>
      <c r="G799" s="21">
        <f>IF($E$793 = 1, G673, IF($E$793 = 2, -G712, IF($E$793 = 3, -G730, IF($E$793 = 4, -G766, 0))))</f>
        <v>0</v>
      </c>
      <c r="H799" s="21">
        <f t="shared" ref="H799:BD799" si="479">IF($E$793 = 1, H673, IF($E$793 = 2, -H712, IF($E$793 = 3, -H730, IF($E$793 = 4, -H766, 0))))</f>
        <v>0</v>
      </c>
      <c r="I799" s="21">
        <f t="shared" si="479"/>
        <v>0</v>
      </c>
      <c r="J799" s="21">
        <f t="shared" si="479"/>
        <v>0</v>
      </c>
      <c r="K799" s="21">
        <f t="shared" si="479"/>
        <v>0</v>
      </c>
      <c r="L799" s="21">
        <f t="shared" si="479"/>
        <v>0</v>
      </c>
      <c r="M799" s="21">
        <f t="shared" si="479"/>
        <v>0</v>
      </c>
      <c r="N799" s="21">
        <f t="shared" si="479"/>
        <v>0</v>
      </c>
      <c r="O799" s="21">
        <f t="shared" si="479"/>
        <v>0</v>
      </c>
      <c r="P799" s="21">
        <f t="shared" si="479"/>
        <v>0</v>
      </c>
      <c r="Q799" s="21">
        <f t="shared" si="479"/>
        <v>0</v>
      </c>
      <c r="R799" s="21">
        <f t="shared" si="479"/>
        <v>0</v>
      </c>
      <c r="S799" s="21">
        <f t="shared" si="479"/>
        <v>0</v>
      </c>
      <c r="T799" s="21">
        <f t="shared" si="479"/>
        <v>0</v>
      </c>
      <c r="U799" s="21">
        <f t="shared" si="479"/>
        <v>0</v>
      </c>
      <c r="V799" s="21">
        <f t="shared" si="479"/>
        <v>0</v>
      </c>
      <c r="W799" s="21">
        <f t="shared" si="479"/>
        <v>0</v>
      </c>
      <c r="X799" s="21">
        <f t="shared" si="479"/>
        <v>0</v>
      </c>
      <c r="Y799" s="21">
        <f t="shared" si="479"/>
        <v>0</v>
      </c>
      <c r="Z799" s="21">
        <f t="shared" si="479"/>
        <v>0</v>
      </c>
      <c r="AA799" s="21">
        <f t="shared" si="479"/>
        <v>0</v>
      </c>
      <c r="AB799" s="21">
        <f t="shared" si="479"/>
        <v>0</v>
      </c>
      <c r="AC799" s="21">
        <f t="shared" si="479"/>
        <v>0</v>
      </c>
      <c r="AD799" s="21">
        <f t="shared" si="479"/>
        <v>0</v>
      </c>
      <c r="AE799" s="21">
        <f t="shared" si="479"/>
        <v>0</v>
      </c>
      <c r="AF799" s="21">
        <f t="shared" si="479"/>
        <v>0</v>
      </c>
      <c r="AG799" s="21">
        <f t="shared" si="479"/>
        <v>0</v>
      </c>
      <c r="AH799" s="21">
        <f t="shared" si="479"/>
        <v>0</v>
      </c>
      <c r="AI799" s="21">
        <f t="shared" si="479"/>
        <v>0</v>
      </c>
      <c r="AJ799" s="21">
        <f t="shared" si="479"/>
        <v>0</v>
      </c>
      <c r="AK799" s="21">
        <f t="shared" si="479"/>
        <v>0</v>
      </c>
      <c r="AL799" s="21">
        <f t="shared" si="479"/>
        <v>0</v>
      </c>
      <c r="AM799" s="21">
        <f t="shared" si="479"/>
        <v>0</v>
      </c>
      <c r="AN799" s="21">
        <f t="shared" si="479"/>
        <v>0</v>
      </c>
      <c r="AO799" s="21">
        <f t="shared" si="479"/>
        <v>0</v>
      </c>
      <c r="AP799" s="21">
        <f t="shared" si="479"/>
        <v>0</v>
      </c>
      <c r="AQ799" s="21">
        <f t="shared" si="479"/>
        <v>0</v>
      </c>
      <c r="AR799" s="21">
        <f t="shared" si="479"/>
        <v>0</v>
      </c>
      <c r="AS799" s="21">
        <f t="shared" si="479"/>
        <v>0</v>
      </c>
      <c r="AT799" s="21">
        <f t="shared" si="479"/>
        <v>0</v>
      </c>
      <c r="AU799" s="21">
        <f t="shared" si="479"/>
        <v>0</v>
      </c>
      <c r="AV799" s="21">
        <f t="shared" si="479"/>
        <v>0</v>
      </c>
      <c r="AW799" s="21">
        <f t="shared" si="479"/>
        <v>0</v>
      </c>
      <c r="AX799" s="21">
        <f t="shared" si="479"/>
        <v>0</v>
      </c>
      <c r="AY799" s="21">
        <f t="shared" si="479"/>
        <v>0</v>
      </c>
      <c r="AZ799" s="21">
        <f t="shared" si="479"/>
        <v>0</v>
      </c>
      <c r="BA799" s="21">
        <f t="shared" si="479"/>
        <v>0</v>
      </c>
      <c r="BB799" s="21">
        <f t="shared" si="479"/>
        <v>0</v>
      </c>
      <c r="BC799" s="21">
        <f t="shared" si="479"/>
        <v>0</v>
      </c>
      <c r="BD799" s="21">
        <f t="shared" si="479"/>
        <v>0</v>
      </c>
    </row>
    <row r="800" spans="2:56" ht="15" customHeight="1">
      <c r="B800" s="21"/>
      <c r="C800" s="21">
        <f t="shared" si="472"/>
        <v>10937.054389165573</v>
      </c>
      <c r="D800" s="11" t="s">
        <v>668</v>
      </c>
      <c r="E800" s="18" t="s">
        <v>333</v>
      </c>
      <c r="G800" s="21">
        <f t="shared" ref="G800:AL800" si="480">IF(AND($E$788 =2, $E$789 &lt; 3, $E$790 = 1), G52 * $E$787, G52) + IF(AND($E$788 =2, $E$789 &lt; 3), (SUM(G53:G55) + G56 + (G66 + G78 + G79 + G80) + G236 + G240 + G244 + G210) * $E$787, SUM(G53:G55) + G56 + (G66 + G78 + G79 + G80) + G236 + G240 + G244 + G210) + G311 + G313 + G319 + G410</f>
        <v>20</v>
      </c>
      <c r="H800" s="21">
        <f t="shared" si="480"/>
        <v>20.399999999999999</v>
      </c>
      <c r="I800" s="21">
        <f t="shared" si="480"/>
        <v>80.956125</v>
      </c>
      <c r="J800" s="21">
        <f t="shared" si="480"/>
        <v>330.30098999999996</v>
      </c>
      <c r="K800" s="21">
        <f t="shared" si="480"/>
        <v>219.8176169724</v>
      </c>
      <c r="L800" s="21">
        <f t="shared" si="480"/>
        <v>368.52561089611203</v>
      </c>
      <c r="M800" s="21">
        <f t="shared" si="480"/>
        <v>375.89612311403425</v>
      </c>
      <c r="N800" s="21">
        <f t="shared" si="480"/>
        <v>383.41404557631489</v>
      </c>
      <c r="O800" s="21">
        <f t="shared" si="480"/>
        <v>391.08232648784116</v>
      </c>
      <c r="P800" s="21">
        <f t="shared" si="480"/>
        <v>398.90397301759799</v>
      </c>
      <c r="Q800" s="21">
        <f t="shared" si="480"/>
        <v>406.88205247794997</v>
      </c>
      <c r="R800" s="21">
        <f t="shared" si="480"/>
        <v>415.01969352750893</v>
      </c>
      <c r="S800" s="21">
        <f t="shared" si="480"/>
        <v>423.32008739805923</v>
      </c>
      <c r="T800" s="21">
        <f t="shared" si="480"/>
        <v>431.7864891460203</v>
      </c>
      <c r="U800" s="21">
        <f t="shared" si="480"/>
        <v>440.42221892894082</v>
      </c>
      <c r="V800" s="21">
        <f t="shared" si="480"/>
        <v>449.23066330751948</v>
      </c>
      <c r="W800" s="21">
        <f t="shared" si="480"/>
        <v>458.21527657366994</v>
      </c>
      <c r="X800" s="21">
        <f t="shared" si="480"/>
        <v>467.37958210514341</v>
      </c>
      <c r="Y800" s="21">
        <f t="shared" si="480"/>
        <v>478.99938368657206</v>
      </c>
      <c r="Z800" s="21">
        <f t="shared" si="480"/>
        <v>488.58476304490534</v>
      </c>
      <c r="AA800" s="21">
        <f t="shared" si="480"/>
        <v>498.36883014823968</v>
      </c>
      <c r="AB800" s="21">
        <f t="shared" si="480"/>
        <v>508.35791339138473</v>
      </c>
      <c r="AC800" s="21">
        <f t="shared" si="480"/>
        <v>518.55980771182271</v>
      </c>
      <c r="AD800" s="21">
        <f t="shared" si="480"/>
        <v>528.98503185513812</v>
      </c>
      <c r="AE800" s="21">
        <f t="shared" si="480"/>
        <v>539.64991695871743</v>
      </c>
      <c r="AF800" s="21">
        <f t="shared" si="480"/>
        <v>550.58605081232724</v>
      </c>
      <c r="AG800" s="21">
        <f t="shared" si="480"/>
        <v>527.15934563556709</v>
      </c>
      <c r="AH800" s="21">
        <f t="shared" si="480"/>
        <v>215.73840544879207</v>
      </c>
      <c r="AI800" s="21">
        <f t="shared" si="480"/>
        <v>0.51206594299233643</v>
      </c>
      <c r="AJ800" s="21">
        <f t="shared" si="480"/>
        <v>0</v>
      </c>
      <c r="AK800" s="21">
        <f t="shared" si="480"/>
        <v>0</v>
      </c>
      <c r="AL800" s="21">
        <f t="shared" si="480"/>
        <v>0</v>
      </c>
      <c r="AM800" s="21">
        <f t="shared" ref="AM800:BD800" si="481">IF(AND($E$788 =2, $E$789 &lt; 3, $E$790 = 1), AM52 * $E$787, AM52) + IF(AND($E$788 =2, $E$789 &lt; 3), (SUM(AM53:AM55) + AM56 + (AM66 + AM78 + AM79 + AM80) + AM236 + AM240 + AM244 + AM210) * $E$787, SUM(AM53:AM55) + AM56 + (AM66 + AM78 + AM79 + AM80) + AM236 + AM240 + AM244 + AM210) + AM311 + AM313 + AM319 + AM410</f>
        <v>0</v>
      </c>
      <c r="AN800" s="21">
        <f t="shared" si="481"/>
        <v>0</v>
      </c>
      <c r="AO800" s="21">
        <f t="shared" si="481"/>
        <v>0</v>
      </c>
      <c r="AP800" s="21">
        <f t="shared" si="481"/>
        <v>0</v>
      </c>
      <c r="AQ800" s="21">
        <f t="shared" si="481"/>
        <v>0</v>
      </c>
      <c r="AR800" s="21">
        <f t="shared" si="481"/>
        <v>0</v>
      </c>
      <c r="AS800" s="21">
        <f t="shared" si="481"/>
        <v>0</v>
      </c>
      <c r="AT800" s="21">
        <f t="shared" si="481"/>
        <v>0</v>
      </c>
      <c r="AU800" s="21">
        <f t="shared" si="481"/>
        <v>0</v>
      </c>
      <c r="AV800" s="21">
        <f t="shared" si="481"/>
        <v>0</v>
      </c>
      <c r="AW800" s="21">
        <f t="shared" si="481"/>
        <v>0</v>
      </c>
      <c r="AX800" s="21">
        <f t="shared" si="481"/>
        <v>0</v>
      </c>
      <c r="AY800" s="21">
        <f t="shared" si="481"/>
        <v>0</v>
      </c>
      <c r="AZ800" s="21">
        <f t="shared" si="481"/>
        <v>0</v>
      </c>
      <c r="BA800" s="21">
        <f t="shared" si="481"/>
        <v>0</v>
      </c>
      <c r="BB800" s="21">
        <f t="shared" si="481"/>
        <v>0</v>
      </c>
      <c r="BC800" s="21">
        <f t="shared" si="481"/>
        <v>0</v>
      </c>
      <c r="BD800" s="21">
        <f t="shared" si="481"/>
        <v>0</v>
      </c>
    </row>
    <row r="801" spans="2:56" ht="15" customHeight="1">
      <c r="B801" s="21"/>
      <c r="C801" s="21">
        <f t="shared" si="472"/>
        <v>0</v>
      </c>
      <c r="D801" s="11" t="s">
        <v>669</v>
      </c>
      <c r="E801" s="18" t="s">
        <v>333</v>
      </c>
      <c r="G801" s="21">
        <f t="shared" ref="G801:AL801" si="482">G557 + G585</f>
        <v>0</v>
      </c>
      <c r="H801" s="21">
        <f t="shared" si="482"/>
        <v>0</v>
      </c>
      <c r="I801" s="21">
        <f t="shared" si="482"/>
        <v>0</v>
      </c>
      <c r="J801" s="21">
        <f t="shared" si="482"/>
        <v>0</v>
      </c>
      <c r="K801" s="21">
        <f t="shared" si="482"/>
        <v>0</v>
      </c>
      <c r="L801" s="21">
        <f t="shared" si="482"/>
        <v>0</v>
      </c>
      <c r="M801" s="21">
        <f t="shared" si="482"/>
        <v>0</v>
      </c>
      <c r="N801" s="21">
        <f t="shared" si="482"/>
        <v>0</v>
      </c>
      <c r="O801" s="21">
        <f t="shared" si="482"/>
        <v>0</v>
      </c>
      <c r="P801" s="21">
        <f t="shared" si="482"/>
        <v>0</v>
      </c>
      <c r="Q801" s="21">
        <f t="shared" si="482"/>
        <v>0</v>
      </c>
      <c r="R801" s="21">
        <f t="shared" si="482"/>
        <v>0</v>
      </c>
      <c r="S801" s="21">
        <f t="shared" si="482"/>
        <v>0</v>
      </c>
      <c r="T801" s="21">
        <f t="shared" si="482"/>
        <v>0</v>
      </c>
      <c r="U801" s="21">
        <f t="shared" si="482"/>
        <v>0</v>
      </c>
      <c r="V801" s="21">
        <f t="shared" si="482"/>
        <v>0</v>
      </c>
      <c r="W801" s="21">
        <f t="shared" si="482"/>
        <v>0</v>
      </c>
      <c r="X801" s="21">
        <f t="shared" si="482"/>
        <v>0</v>
      </c>
      <c r="Y801" s="21">
        <f t="shared" si="482"/>
        <v>0</v>
      </c>
      <c r="Z801" s="21">
        <f t="shared" si="482"/>
        <v>0</v>
      </c>
      <c r="AA801" s="21">
        <f t="shared" si="482"/>
        <v>0</v>
      </c>
      <c r="AB801" s="21">
        <f t="shared" si="482"/>
        <v>0</v>
      </c>
      <c r="AC801" s="21">
        <f t="shared" si="482"/>
        <v>0</v>
      </c>
      <c r="AD801" s="21">
        <f t="shared" si="482"/>
        <v>0</v>
      </c>
      <c r="AE801" s="21">
        <f t="shared" si="482"/>
        <v>0</v>
      </c>
      <c r="AF801" s="21">
        <f t="shared" si="482"/>
        <v>0</v>
      </c>
      <c r="AG801" s="21">
        <f t="shared" si="482"/>
        <v>0</v>
      </c>
      <c r="AH801" s="21">
        <f t="shared" si="482"/>
        <v>0</v>
      </c>
      <c r="AI801" s="21">
        <f t="shared" si="482"/>
        <v>0</v>
      </c>
      <c r="AJ801" s="21">
        <f t="shared" si="482"/>
        <v>0</v>
      </c>
      <c r="AK801" s="21">
        <f t="shared" si="482"/>
        <v>0</v>
      </c>
      <c r="AL801" s="21">
        <f t="shared" si="482"/>
        <v>0</v>
      </c>
      <c r="AM801" s="21">
        <f t="shared" ref="AM801:BD801" si="483">AM557 + AM585</f>
        <v>0</v>
      </c>
      <c r="AN801" s="21">
        <f t="shared" si="483"/>
        <v>0</v>
      </c>
      <c r="AO801" s="21">
        <f t="shared" si="483"/>
        <v>0</v>
      </c>
      <c r="AP801" s="21">
        <f t="shared" si="483"/>
        <v>0</v>
      </c>
      <c r="AQ801" s="21">
        <f t="shared" si="483"/>
        <v>0</v>
      </c>
      <c r="AR801" s="21">
        <f t="shared" si="483"/>
        <v>0</v>
      </c>
      <c r="AS801" s="21">
        <f t="shared" si="483"/>
        <v>0</v>
      </c>
      <c r="AT801" s="21">
        <f t="shared" si="483"/>
        <v>0</v>
      </c>
      <c r="AU801" s="21">
        <f t="shared" si="483"/>
        <v>0</v>
      </c>
      <c r="AV801" s="21">
        <f t="shared" si="483"/>
        <v>0</v>
      </c>
      <c r="AW801" s="21">
        <f t="shared" si="483"/>
        <v>0</v>
      </c>
      <c r="AX801" s="21">
        <f t="shared" si="483"/>
        <v>0</v>
      </c>
      <c r="AY801" s="21">
        <f t="shared" si="483"/>
        <v>0</v>
      </c>
      <c r="AZ801" s="21">
        <f t="shared" si="483"/>
        <v>0</v>
      </c>
      <c r="BA801" s="21">
        <f t="shared" si="483"/>
        <v>0</v>
      </c>
      <c r="BB801" s="21">
        <f t="shared" si="483"/>
        <v>0</v>
      </c>
      <c r="BC801" s="21">
        <f t="shared" si="483"/>
        <v>0</v>
      </c>
      <c r="BD801" s="21">
        <f t="shared" si="483"/>
        <v>0</v>
      </c>
    </row>
    <row r="802" spans="2:56" ht="15" customHeight="1">
      <c r="B802" s="21"/>
      <c r="C802" s="21">
        <f t="shared" si="472"/>
        <v>61.422719040000068</v>
      </c>
      <c r="D802" s="11" t="s">
        <v>670</v>
      </c>
      <c r="E802" s="18" t="s">
        <v>333</v>
      </c>
      <c r="G802" s="21">
        <f t="shared" ref="G802:AL802" si="484">IF(AND($E$788 =2, $E$789 &lt; 3), G101 * $E$787, G101)</f>
        <v>0</v>
      </c>
      <c r="H802" s="21">
        <f t="shared" si="484"/>
        <v>0</v>
      </c>
      <c r="I802" s="21">
        <f t="shared" si="484"/>
        <v>-39.015000000000001</v>
      </c>
      <c r="J802" s="21">
        <f t="shared" si="484"/>
        <v>-159.18119999999999</v>
      </c>
      <c r="K802" s="21">
        <f t="shared" si="484"/>
        <v>58.623626880000003</v>
      </c>
      <c r="L802" s="21">
        <f t="shared" si="484"/>
        <v>55.273705344000007</v>
      </c>
      <c r="M802" s="21">
        <f t="shared" si="484"/>
        <v>51.923783808000003</v>
      </c>
      <c r="N802" s="21">
        <f t="shared" si="484"/>
        <v>48.573862272000007</v>
      </c>
      <c r="O802" s="21">
        <f t="shared" si="484"/>
        <v>45.22394073600001</v>
      </c>
      <c r="P802" s="21">
        <f t="shared" si="484"/>
        <v>0</v>
      </c>
      <c r="Q802" s="21">
        <f t="shared" si="484"/>
        <v>0</v>
      </c>
      <c r="R802" s="21">
        <f t="shared" si="484"/>
        <v>0</v>
      </c>
      <c r="S802" s="21">
        <f t="shared" si="484"/>
        <v>0</v>
      </c>
      <c r="T802" s="21">
        <f t="shared" si="484"/>
        <v>0</v>
      </c>
      <c r="U802" s="21">
        <f t="shared" si="484"/>
        <v>0</v>
      </c>
      <c r="V802" s="21">
        <f t="shared" si="484"/>
        <v>0</v>
      </c>
      <c r="W802" s="21">
        <f t="shared" si="484"/>
        <v>0</v>
      </c>
      <c r="X802" s="21">
        <f t="shared" si="484"/>
        <v>0</v>
      </c>
      <c r="Y802" s="21">
        <f t="shared" si="484"/>
        <v>0</v>
      </c>
      <c r="Z802" s="21">
        <f t="shared" si="484"/>
        <v>0</v>
      </c>
      <c r="AA802" s="21">
        <f t="shared" si="484"/>
        <v>0</v>
      </c>
      <c r="AB802" s="21">
        <f t="shared" si="484"/>
        <v>0</v>
      </c>
      <c r="AC802" s="21">
        <f t="shared" si="484"/>
        <v>0</v>
      </c>
      <c r="AD802" s="21">
        <f t="shared" si="484"/>
        <v>0</v>
      </c>
      <c r="AE802" s="21">
        <f t="shared" si="484"/>
        <v>0</v>
      </c>
      <c r="AF802" s="21">
        <f t="shared" si="484"/>
        <v>0</v>
      </c>
      <c r="AG802" s="21">
        <f t="shared" si="484"/>
        <v>0</v>
      </c>
      <c r="AH802" s="21">
        <f t="shared" si="484"/>
        <v>0</v>
      </c>
      <c r="AI802" s="21">
        <f t="shared" si="484"/>
        <v>0</v>
      </c>
      <c r="AJ802" s="21">
        <f t="shared" si="484"/>
        <v>0</v>
      </c>
      <c r="AK802" s="21">
        <f t="shared" si="484"/>
        <v>0</v>
      </c>
      <c r="AL802" s="21">
        <f t="shared" si="484"/>
        <v>0</v>
      </c>
      <c r="AM802" s="21">
        <f t="shared" ref="AM802:BD802" si="485">IF(AND($E$788 =2, $E$789 &lt; 3), AM101 * $E$787, AM101)</f>
        <v>0</v>
      </c>
      <c r="AN802" s="21">
        <f t="shared" si="485"/>
        <v>0</v>
      </c>
      <c r="AO802" s="21">
        <f t="shared" si="485"/>
        <v>0</v>
      </c>
      <c r="AP802" s="21">
        <f t="shared" si="485"/>
        <v>0</v>
      </c>
      <c r="AQ802" s="21">
        <f t="shared" si="485"/>
        <v>0</v>
      </c>
      <c r="AR802" s="21">
        <f t="shared" si="485"/>
        <v>0</v>
      </c>
      <c r="AS802" s="21">
        <f t="shared" si="485"/>
        <v>0</v>
      </c>
      <c r="AT802" s="21">
        <f t="shared" si="485"/>
        <v>0</v>
      </c>
      <c r="AU802" s="21">
        <f t="shared" si="485"/>
        <v>0</v>
      </c>
      <c r="AV802" s="21">
        <f t="shared" si="485"/>
        <v>0</v>
      </c>
      <c r="AW802" s="21">
        <f t="shared" si="485"/>
        <v>0</v>
      </c>
      <c r="AX802" s="21">
        <f t="shared" si="485"/>
        <v>0</v>
      </c>
      <c r="AY802" s="21">
        <f t="shared" si="485"/>
        <v>0</v>
      </c>
      <c r="AZ802" s="21">
        <f t="shared" si="485"/>
        <v>0</v>
      </c>
      <c r="BA802" s="21">
        <f t="shared" si="485"/>
        <v>0</v>
      </c>
      <c r="BB802" s="21">
        <f t="shared" si="485"/>
        <v>0</v>
      </c>
      <c r="BC802" s="21">
        <f t="shared" si="485"/>
        <v>0</v>
      </c>
      <c r="BD802" s="21">
        <f t="shared" si="485"/>
        <v>0</v>
      </c>
    </row>
    <row r="803" spans="2:56" ht="15" customHeight="1">
      <c r="B803" s="21"/>
      <c r="C803" s="21">
        <f t="shared" si="472"/>
        <v>2335.0596593364485</v>
      </c>
      <c r="D803" s="11" t="s">
        <v>671</v>
      </c>
      <c r="E803" s="18" t="s">
        <v>333</v>
      </c>
      <c r="G803" s="21">
        <f t="shared" ref="G803:AL803" si="486">G612 - G610</f>
        <v>0</v>
      </c>
      <c r="H803" s="21">
        <f t="shared" si="486"/>
        <v>0</v>
      </c>
      <c r="I803" s="21">
        <f t="shared" si="486"/>
        <v>0</v>
      </c>
      <c r="J803" s="21">
        <f t="shared" si="486"/>
        <v>0</v>
      </c>
      <c r="K803" s="21">
        <f t="shared" si="486"/>
        <v>0</v>
      </c>
      <c r="L803" s="21">
        <f t="shared" si="486"/>
        <v>38.444527525958449</v>
      </c>
      <c r="M803" s="21">
        <f t="shared" si="486"/>
        <v>55.198022211028892</v>
      </c>
      <c r="N803" s="21">
        <f t="shared" si="486"/>
        <v>65.830681050444781</v>
      </c>
      <c r="O803" s="21">
        <f t="shared" si="486"/>
        <v>66.565411940306703</v>
      </c>
      <c r="P803" s="21">
        <f t="shared" si="486"/>
        <v>97.055727691343506</v>
      </c>
      <c r="Q803" s="21">
        <f t="shared" si="486"/>
        <v>98.99684224517037</v>
      </c>
      <c r="R803" s="21">
        <f t="shared" si="486"/>
        <v>100.97677909007372</v>
      </c>
      <c r="S803" s="21">
        <f t="shared" si="486"/>
        <v>102.99631467187524</v>
      </c>
      <c r="T803" s="21">
        <f t="shared" si="486"/>
        <v>105.05624096531275</v>
      </c>
      <c r="U803" s="21">
        <f t="shared" si="486"/>
        <v>107.157365784619</v>
      </c>
      <c r="V803" s="21">
        <f t="shared" si="486"/>
        <v>109.30051310031135</v>
      </c>
      <c r="W803" s="21">
        <f t="shared" si="486"/>
        <v>111.48652336231761</v>
      </c>
      <c r="X803" s="21">
        <f t="shared" si="486"/>
        <v>113.71625382956398</v>
      </c>
      <c r="Y803" s="21">
        <f t="shared" si="486"/>
        <v>115.17530997992512</v>
      </c>
      <c r="Z803" s="21">
        <f t="shared" si="486"/>
        <v>117.47688164308848</v>
      </c>
      <c r="AA803" s="21">
        <f t="shared" si="486"/>
        <v>119.82198025888414</v>
      </c>
      <c r="AB803" s="21">
        <f t="shared" si="486"/>
        <v>122.21063152156515</v>
      </c>
      <c r="AC803" s="21">
        <f t="shared" si="486"/>
        <v>124.6423808563199</v>
      </c>
      <c r="AD803" s="21">
        <f t="shared" si="486"/>
        <v>125.72965416378452</v>
      </c>
      <c r="AE803" s="21">
        <f t="shared" si="486"/>
        <v>128.21368306048851</v>
      </c>
      <c r="AF803" s="21">
        <f t="shared" si="486"/>
        <v>130.72659969911879</v>
      </c>
      <c r="AG803" s="21">
        <f t="shared" si="486"/>
        <v>138.33995424596026</v>
      </c>
      <c r="AH803" s="21">
        <f t="shared" si="486"/>
        <v>39.941380438987281</v>
      </c>
      <c r="AI803" s="21">
        <f t="shared" si="486"/>
        <v>0</v>
      </c>
      <c r="AJ803" s="21">
        <f t="shared" si="486"/>
        <v>0</v>
      </c>
      <c r="AK803" s="21">
        <f t="shared" si="486"/>
        <v>0</v>
      </c>
      <c r="AL803" s="21">
        <f t="shared" si="486"/>
        <v>0</v>
      </c>
      <c r="AM803" s="21">
        <f t="shared" ref="AM803:BD803" si="487">AM612 - AM610</f>
        <v>0</v>
      </c>
      <c r="AN803" s="21">
        <f t="shared" si="487"/>
        <v>0</v>
      </c>
      <c r="AO803" s="21">
        <f t="shared" si="487"/>
        <v>0</v>
      </c>
      <c r="AP803" s="21">
        <f t="shared" si="487"/>
        <v>0</v>
      </c>
      <c r="AQ803" s="21">
        <f t="shared" si="487"/>
        <v>0</v>
      </c>
      <c r="AR803" s="21">
        <f t="shared" si="487"/>
        <v>0</v>
      </c>
      <c r="AS803" s="21">
        <f t="shared" si="487"/>
        <v>0</v>
      </c>
      <c r="AT803" s="21">
        <f t="shared" si="487"/>
        <v>0</v>
      </c>
      <c r="AU803" s="21">
        <f t="shared" si="487"/>
        <v>0</v>
      </c>
      <c r="AV803" s="21">
        <f t="shared" si="487"/>
        <v>0</v>
      </c>
      <c r="AW803" s="21">
        <f t="shared" si="487"/>
        <v>0</v>
      </c>
      <c r="AX803" s="21">
        <f t="shared" si="487"/>
        <v>0</v>
      </c>
      <c r="AY803" s="21">
        <f t="shared" si="487"/>
        <v>0</v>
      </c>
      <c r="AZ803" s="21">
        <f t="shared" si="487"/>
        <v>0</v>
      </c>
      <c r="BA803" s="21">
        <f t="shared" si="487"/>
        <v>0</v>
      </c>
      <c r="BB803" s="21">
        <f t="shared" si="487"/>
        <v>0</v>
      </c>
      <c r="BC803" s="21">
        <f t="shared" si="487"/>
        <v>0</v>
      </c>
      <c r="BD803" s="21">
        <f t="shared" si="487"/>
        <v>0</v>
      </c>
    </row>
    <row r="804" spans="2:56" ht="15" customHeight="1">
      <c r="B804" s="21"/>
      <c r="C804" s="21">
        <f t="shared" si="472"/>
        <v>0</v>
      </c>
      <c r="D804" s="11" t="s">
        <v>672</v>
      </c>
      <c r="E804" s="18" t="s">
        <v>333</v>
      </c>
      <c r="G804" s="21">
        <f t="shared" ref="G804:AL804" si="488">G519</f>
        <v>0</v>
      </c>
      <c r="H804" s="21">
        <f t="shared" si="488"/>
        <v>0</v>
      </c>
      <c r="I804" s="21">
        <f t="shared" si="488"/>
        <v>0</v>
      </c>
      <c r="J804" s="21">
        <f t="shared" si="488"/>
        <v>0</v>
      </c>
      <c r="K804" s="21">
        <f t="shared" si="488"/>
        <v>0</v>
      </c>
      <c r="L804" s="21">
        <f t="shared" si="488"/>
        <v>0</v>
      </c>
      <c r="M804" s="21">
        <f t="shared" si="488"/>
        <v>0</v>
      </c>
      <c r="N804" s="21">
        <f t="shared" si="488"/>
        <v>0</v>
      </c>
      <c r="O804" s="21">
        <f t="shared" si="488"/>
        <v>0</v>
      </c>
      <c r="P804" s="21">
        <f t="shared" si="488"/>
        <v>0</v>
      </c>
      <c r="Q804" s="21">
        <f t="shared" si="488"/>
        <v>0</v>
      </c>
      <c r="R804" s="21">
        <f t="shared" si="488"/>
        <v>0</v>
      </c>
      <c r="S804" s="21">
        <f t="shared" si="488"/>
        <v>0</v>
      </c>
      <c r="T804" s="21">
        <f t="shared" si="488"/>
        <v>0</v>
      </c>
      <c r="U804" s="21">
        <f t="shared" si="488"/>
        <v>0</v>
      </c>
      <c r="V804" s="21">
        <f t="shared" si="488"/>
        <v>0</v>
      </c>
      <c r="W804" s="21">
        <f t="shared" si="488"/>
        <v>0</v>
      </c>
      <c r="X804" s="21">
        <f t="shared" si="488"/>
        <v>0</v>
      </c>
      <c r="Y804" s="21">
        <f t="shared" si="488"/>
        <v>0</v>
      </c>
      <c r="Z804" s="21">
        <f t="shared" si="488"/>
        <v>0</v>
      </c>
      <c r="AA804" s="21">
        <f t="shared" si="488"/>
        <v>0</v>
      </c>
      <c r="AB804" s="21">
        <f t="shared" si="488"/>
        <v>0</v>
      </c>
      <c r="AC804" s="21">
        <f t="shared" si="488"/>
        <v>0</v>
      </c>
      <c r="AD804" s="21">
        <f t="shared" si="488"/>
        <v>0</v>
      </c>
      <c r="AE804" s="21">
        <f t="shared" si="488"/>
        <v>0</v>
      </c>
      <c r="AF804" s="21">
        <f t="shared" si="488"/>
        <v>0</v>
      </c>
      <c r="AG804" s="21">
        <f t="shared" si="488"/>
        <v>0</v>
      </c>
      <c r="AH804" s="21">
        <f t="shared" si="488"/>
        <v>0</v>
      </c>
      <c r="AI804" s="21">
        <f t="shared" si="488"/>
        <v>0</v>
      </c>
      <c r="AJ804" s="21">
        <f t="shared" si="488"/>
        <v>0</v>
      </c>
      <c r="AK804" s="21">
        <f t="shared" si="488"/>
        <v>0</v>
      </c>
      <c r="AL804" s="21">
        <f t="shared" si="488"/>
        <v>0</v>
      </c>
      <c r="AM804" s="21">
        <f t="shared" ref="AM804:BD804" si="489">AM519</f>
        <v>0</v>
      </c>
      <c r="AN804" s="21">
        <f t="shared" si="489"/>
        <v>0</v>
      </c>
      <c r="AO804" s="21">
        <f t="shared" si="489"/>
        <v>0</v>
      </c>
      <c r="AP804" s="21">
        <f t="shared" si="489"/>
        <v>0</v>
      </c>
      <c r="AQ804" s="21">
        <f t="shared" si="489"/>
        <v>0</v>
      </c>
      <c r="AR804" s="21">
        <f t="shared" si="489"/>
        <v>0</v>
      </c>
      <c r="AS804" s="21">
        <f t="shared" si="489"/>
        <v>0</v>
      </c>
      <c r="AT804" s="21">
        <f t="shared" si="489"/>
        <v>0</v>
      </c>
      <c r="AU804" s="21">
        <f t="shared" si="489"/>
        <v>0</v>
      </c>
      <c r="AV804" s="21">
        <f t="shared" si="489"/>
        <v>0</v>
      </c>
      <c r="AW804" s="21">
        <f t="shared" si="489"/>
        <v>0</v>
      </c>
      <c r="AX804" s="21">
        <f t="shared" si="489"/>
        <v>0</v>
      </c>
      <c r="AY804" s="21">
        <f t="shared" si="489"/>
        <v>0</v>
      </c>
      <c r="AZ804" s="21">
        <f t="shared" si="489"/>
        <v>0</v>
      </c>
      <c r="BA804" s="21">
        <f t="shared" si="489"/>
        <v>0</v>
      </c>
      <c r="BB804" s="21">
        <f t="shared" si="489"/>
        <v>0</v>
      </c>
      <c r="BC804" s="21">
        <f t="shared" si="489"/>
        <v>0</v>
      </c>
      <c r="BD804" s="21">
        <f t="shared" si="489"/>
        <v>0</v>
      </c>
    </row>
    <row r="805" spans="2:56" ht="15" customHeight="1">
      <c r="B805" s="21"/>
      <c r="C805" s="21">
        <f t="shared" si="472"/>
        <v>0</v>
      </c>
      <c r="D805" s="11" t="s">
        <v>673</v>
      </c>
      <c r="E805" s="18" t="s">
        <v>333</v>
      </c>
      <c r="G805" s="21">
        <f t="shared" ref="G805:AL805" si="490">IF(AND($E$788 = 1, $E$789 = 1), G552, 0)</f>
        <v>0</v>
      </c>
      <c r="H805" s="21">
        <f t="shared" si="490"/>
        <v>0</v>
      </c>
      <c r="I805" s="21">
        <f t="shared" si="490"/>
        <v>0</v>
      </c>
      <c r="J805" s="21">
        <f t="shared" si="490"/>
        <v>0</v>
      </c>
      <c r="K805" s="21">
        <f t="shared" si="490"/>
        <v>0</v>
      </c>
      <c r="L805" s="21">
        <f t="shared" si="490"/>
        <v>0</v>
      </c>
      <c r="M805" s="21">
        <f t="shared" si="490"/>
        <v>0</v>
      </c>
      <c r="N805" s="21">
        <f t="shared" si="490"/>
        <v>0</v>
      </c>
      <c r="O805" s="21">
        <f t="shared" si="490"/>
        <v>0</v>
      </c>
      <c r="P805" s="21">
        <f t="shared" si="490"/>
        <v>0</v>
      </c>
      <c r="Q805" s="21">
        <f t="shared" si="490"/>
        <v>0</v>
      </c>
      <c r="R805" s="21">
        <f t="shared" si="490"/>
        <v>0</v>
      </c>
      <c r="S805" s="21">
        <f t="shared" si="490"/>
        <v>0</v>
      </c>
      <c r="T805" s="21">
        <f t="shared" si="490"/>
        <v>0</v>
      </c>
      <c r="U805" s="21">
        <f t="shared" si="490"/>
        <v>0</v>
      </c>
      <c r="V805" s="21">
        <f t="shared" si="490"/>
        <v>0</v>
      </c>
      <c r="W805" s="21">
        <f t="shared" si="490"/>
        <v>0</v>
      </c>
      <c r="X805" s="21">
        <f t="shared" si="490"/>
        <v>0</v>
      </c>
      <c r="Y805" s="21">
        <f t="shared" si="490"/>
        <v>0</v>
      </c>
      <c r="Z805" s="21">
        <f t="shared" si="490"/>
        <v>0</v>
      </c>
      <c r="AA805" s="21">
        <f t="shared" si="490"/>
        <v>0</v>
      </c>
      <c r="AB805" s="21">
        <f t="shared" si="490"/>
        <v>0</v>
      </c>
      <c r="AC805" s="21">
        <f t="shared" si="490"/>
        <v>0</v>
      </c>
      <c r="AD805" s="21">
        <f t="shared" si="490"/>
        <v>0</v>
      </c>
      <c r="AE805" s="21">
        <f t="shared" si="490"/>
        <v>0</v>
      </c>
      <c r="AF805" s="21">
        <f t="shared" si="490"/>
        <v>0</v>
      </c>
      <c r="AG805" s="21">
        <f t="shared" si="490"/>
        <v>0</v>
      </c>
      <c r="AH805" s="21">
        <f t="shared" si="490"/>
        <v>0</v>
      </c>
      <c r="AI805" s="21">
        <f t="shared" si="490"/>
        <v>0</v>
      </c>
      <c r="AJ805" s="21">
        <f t="shared" si="490"/>
        <v>0</v>
      </c>
      <c r="AK805" s="21">
        <f t="shared" si="490"/>
        <v>0</v>
      </c>
      <c r="AL805" s="21">
        <f t="shared" si="490"/>
        <v>0</v>
      </c>
      <c r="AM805" s="21">
        <f t="shared" ref="AM805:BD805" si="491">IF(AND($E$788 = 1, $E$789 = 1), AM552, 0)</f>
        <v>0</v>
      </c>
      <c r="AN805" s="21">
        <f t="shared" si="491"/>
        <v>0</v>
      </c>
      <c r="AO805" s="21">
        <f t="shared" si="491"/>
        <v>0</v>
      </c>
      <c r="AP805" s="21">
        <f t="shared" si="491"/>
        <v>0</v>
      </c>
      <c r="AQ805" s="21">
        <f t="shared" si="491"/>
        <v>0</v>
      </c>
      <c r="AR805" s="21">
        <f t="shared" si="491"/>
        <v>0</v>
      </c>
      <c r="AS805" s="21">
        <f t="shared" si="491"/>
        <v>0</v>
      </c>
      <c r="AT805" s="21">
        <f t="shared" si="491"/>
        <v>0</v>
      </c>
      <c r="AU805" s="21">
        <f t="shared" si="491"/>
        <v>0</v>
      </c>
      <c r="AV805" s="21">
        <f t="shared" si="491"/>
        <v>0</v>
      </c>
      <c r="AW805" s="21">
        <f t="shared" si="491"/>
        <v>0</v>
      </c>
      <c r="AX805" s="21">
        <f t="shared" si="491"/>
        <v>0</v>
      </c>
      <c r="AY805" s="21">
        <f t="shared" si="491"/>
        <v>0</v>
      </c>
      <c r="AZ805" s="21">
        <f t="shared" si="491"/>
        <v>0</v>
      </c>
      <c r="BA805" s="21">
        <f t="shared" si="491"/>
        <v>0</v>
      </c>
      <c r="BB805" s="21">
        <f t="shared" si="491"/>
        <v>0</v>
      </c>
      <c r="BC805" s="21">
        <f t="shared" si="491"/>
        <v>0</v>
      </c>
      <c r="BD805" s="21">
        <f t="shared" si="491"/>
        <v>0</v>
      </c>
    </row>
    <row r="806" spans="2:56" ht="15" customHeight="1">
      <c r="B806" s="21"/>
      <c r="C806" s="21">
        <f t="shared" si="472"/>
        <v>727.39781169922594</v>
      </c>
      <c r="D806" s="11" t="s">
        <v>674</v>
      </c>
      <c r="E806" s="18" t="s">
        <v>333</v>
      </c>
      <c r="G806" s="21">
        <f t="shared" ref="G806:AL806" si="492">IF($E$788 =1, G567, 0)</f>
        <v>0</v>
      </c>
      <c r="H806" s="21">
        <f t="shared" si="492"/>
        <v>0</v>
      </c>
      <c r="I806" s="21">
        <f t="shared" si="492"/>
        <v>0</v>
      </c>
      <c r="J806" s="21">
        <f t="shared" si="492"/>
        <v>0</v>
      </c>
      <c r="K806" s="21">
        <f t="shared" si="492"/>
        <v>0</v>
      </c>
      <c r="L806" s="21">
        <f t="shared" si="492"/>
        <v>0</v>
      </c>
      <c r="M806" s="21">
        <f t="shared" si="492"/>
        <v>5.0178412878112573</v>
      </c>
      <c r="N806" s="21">
        <f t="shared" si="492"/>
        <v>25.19463144695289</v>
      </c>
      <c r="O806" s="21">
        <f t="shared" si="492"/>
        <v>26.554992462370038</v>
      </c>
      <c r="P806" s="21">
        <f t="shared" si="492"/>
        <v>30.050181750654883</v>
      </c>
      <c r="Q806" s="21">
        <f t="shared" si="492"/>
        <v>30.65118538566799</v>
      </c>
      <c r="R806" s="21">
        <f t="shared" si="492"/>
        <v>31.264209093381325</v>
      </c>
      <c r="S806" s="21">
        <f t="shared" si="492"/>
        <v>31.88949327524897</v>
      </c>
      <c r="T806" s="21">
        <f t="shared" si="492"/>
        <v>32.527283140753944</v>
      </c>
      <c r="U806" s="21">
        <f t="shared" si="492"/>
        <v>33.177828803569021</v>
      </c>
      <c r="V806" s="21">
        <f t="shared" si="492"/>
        <v>33.841385379640393</v>
      </c>
      <c r="W806" s="21">
        <f t="shared" si="492"/>
        <v>34.518213087233214</v>
      </c>
      <c r="X806" s="21">
        <f t="shared" si="492"/>
        <v>35.20857734897789</v>
      </c>
      <c r="Y806" s="21">
        <f t="shared" si="492"/>
        <v>35.658261382752947</v>
      </c>
      <c r="Z806" s="21">
        <f t="shared" si="492"/>
        <v>36.370822741732582</v>
      </c>
      <c r="AA806" s="21">
        <f t="shared" si="492"/>
        <v>37.096853550214377</v>
      </c>
      <c r="AB806" s="21">
        <f t="shared" si="492"/>
        <v>37.836359477518485</v>
      </c>
      <c r="AC806" s="21">
        <f t="shared" si="492"/>
        <v>38.589196229176522</v>
      </c>
      <c r="AD806" s="21">
        <f t="shared" si="492"/>
        <v>38.922227860889045</v>
      </c>
      <c r="AE806" s="21">
        <f t="shared" si="492"/>
        <v>39.691131757861449</v>
      </c>
      <c r="AF806" s="21">
        <f t="shared" si="492"/>
        <v>40.468923215401901</v>
      </c>
      <c r="AG806" s="21">
        <f t="shared" si="492"/>
        <v>46.420590525150608</v>
      </c>
      <c r="AH806" s="21">
        <f t="shared" si="492"/>
        <v>26.447622496266209</v>
      </c>
      <c r="AI806" s="21">
        <f t="shared" si="492"/>
        <v>0</v>
      </c>
      <c r="AJ806" s="21">
        <f t="shared" si="492"/>
        <v>0</v>
      </c>
      <c r="AK806" s="21">
        <f t="shared" si="492"/>
        <v>0</v>
      </c>
      <c r="AL806" s="21">
        <f t="shared" si="492"/>
        <v>0</v>
      </c>
      <c r="AM806" s="21">
        <f t="shared" ref="AM806:BD806" si="493">IF($E$788 =1, AM567, 0)</f>
        <v>0</v>
      </c>
      <c r="AN806" s="21">
        <f t="shared" si="493"/>
        <v>0</v>
      </c>
      <c r="AO806" s="21">
        <f t="shared" si="493"/>
        <v>0</v>
      </c>
      <c r="AP806" s="21">
        <f t="shared" si="493"/>
        <v>0</v>
      </c>
      <c r="AQ806" s="21">
        <f t="shared" si="493"/>
        <v>0</v>
      </c>
      <c r="AR806" s="21">
        <f t="shared" si="493"/>
        <v>0</v>
      </c>
      <c r="AS806" s="21">
        <f t="shared" si="493"/>
        <v>0</v>
      </c>
      <c r="AT806" s="21">
        <f t="shared" si="493"/>
        <v>0</v>
      </c>
      <c r="AU806" s="21">
        <f t="shared" si="493"/>
        <v>0</v>
      </c>
      <c r="AV806" s="21">
        <f t="shared" si="493"/>
        <v>0</v>
      </c>
      <c r="AW806" s="21">
        <f t="shared" si="493"/>
        <v>0</v>
      </c>
      <c r="AX806" s="21">
        <f t="shared" si="493"/>
        <v>0</v>
      </c>
      <c r="AY806" s="21">
        <f t="shared" si="493"/>
        <v>0</v>
      </c>
      <c r="AZ806" s="21">
        <f t="shared" si="493"/>
        <v>0</v>
      </c>
      <c r="BA806" s="21">
        <f t="shared" si="493"/>
        <v>0</v>
      </c>
      <c r="BB806" s="21">
        <f t="shared" si="493"/>
        <v>0</v>
      </c>
      <c r="BC806" s="21">
        <f t="shared" si="493"/>
        <v>0</v>
      </c>
      <c r="BD806" s="21">
        <f t="shared" si="493"/>
        <v>0</v>
      </c>
    </row>
    <row r="807" spans="2:56" ht="15" customHeight="1">
      <c r="B807" s="21"/>
      <c r="C807" s="21">
        <f t="shared" si="472"/>
        <v>3436.4425943358506</v>
      </c>
      <c r="D807" s="11" t="s">
        <v>675</v>
      </c>
      <c r="E807" s="18" t="s">
        <v>333</v>
      </c>
      <c r="G807" s="21">
        <f t="shared" ref="G807:AL807" si="494">SUM(G796:G799)-SUM(G800:G806)</f>
        <v>-20</v>
      </c>
      <c r="H807" s="21">
        <f t="shared" si="494"/>
        <v>-20.399999999999999</v>
      </c>
      <c r="I807" s="21">
        <f t="shared" si="494"/>
        <v>-41.941125</v>
      </c>
      <c r="J807" s="21">
        <f t="shared" si="494"/>
        <v>-171.11978999999997</v>
      </c>
      <c r="K807" s="21">
        <f t="shared" si="494"/>
        <v>-19.14461992439999</v>
      </c>
      <c r="L807" s="21">
        <f t="shared" si="494"/>
        <v>154.88212118256962</v>
      </c>
      <c r="M807" s="21">
        <f t="shared" si="494"/>
        <v>141.43271382673845</v>
      </c>
      <c r="N807" s="21">
        <f t="shared" si="494"/>
        <v>119.04463358685234</v>
      </c>
      <c r="O807" s="21">
        <f t="shared" si="494"/>
        <v>125.47233938469833</v>
      </c>
      <c r="P807" s="21">
        <f t="shared" si="494"/>
        <v>141.98710877184431</v>
      </c>
      <c r="Q807" s="21">
        <f t="shared" si="494"/>
        <v>144.82685094728129</v>
      </c>
      <c r="R807" s="21">
        <f t="shared" si="494"/>
        <v>147.72338796622682</v>
      </c>
      <c r="S807" s="21">
        <f t="shared" si="494"/>
        <v>150.67785572555135</v>
      </c>
      <c r="T807" s="21">
        <f t="shared" si="494"/>
        <v>153.69141284006241</v>
      </c>
      <c r="U807" s="21">
        <f t="shared" si="494"/>
        <v>156.76524109686363</v>
      </c>
      <c r="V807" s="21">
        <f t="shared" si="494"/>
        <v>159.90054591880084</v>
      </c>
      <c r="W807" s="21">
        <f t="shared" si="494"/>
        <v>163.09855683717694</v>
      </c>
      <c r="X807" s="21">
        <f t="shared" si="494"/>
        <v>166.36052797392051</v>
      </c>
      <c r="Y807" s="21">
        <f t="shared" si="494"/>
        <v>168.48528503350758</v>
      </c>
      <c r="Z807" s="21">
        <f t="shared" si="494"/>
        <v>171.85213745468639</v>
      </c>
      <c r="AA807" s="21">
        <f t="shared" si="494"/>
        <v>175.28263302476296</v>
      </c>
      <c r="AB807" s="21">
        <f t="shared" si="494"/>
        <v>178.77679853127484</v>
      </c>
      <c r="AC807" s="21">
        <f t="shared" si="494"/>
        <v>182.33395218285887</v>
      </c>
      <c r="AD807" s="21">
        <f t="shared" si="494"/>
        <v>183.90752664270076</v>
      </c>
      <c r="AE807" s="21">
        <f t="shared" si="494"/>
        <v>187.54059755589537</v>
      </c>
      <c r="AF807" s="21">
        <f t="shared" si="494"/>
        <v>191.21566219277406</v>
      </c>
      <c r="AG807" s="21">
        <f t="shared" si="494"/>
        <v>219.33729023133662</v>
      </c>
      <c r="AH807" s="21">
        <f t="shared" si="494"/>
        <v>124.96501629485783</v>
      </c>
      <c r="AI807" s="21">
        <f t="shared" si="494"/>
        <v>-0.51206594299233643</v>
      </c>
      <c r="AJ807" s="21">
        <f t="shared" si="494"/>
        <v>0</v>
      </c>
      <c r="AK807" s="21">
        <f t="shared" si="494"/>
        <v>0</v>
      </c>
      <c r="AL807" s="21">
        <f t="shared" si="494"/>
        <v>0</v>
      </c>
      <c r="AM807" s="21">
        <f t="shared" ref="AM807:BD807" si="495">SUM(AM796:AM799)-SUM(AM800:AM806)</f>
        <v>0</v>
      </c>
      <c r="AN807" s="21">
        <f t="shared" si="495"/>
        <v>0</v>
      </c>
      <c r="AO807" s="21">
        <f t="shared" si="495"/>
        <v>0</v>
      </c>
      <c r="AP807" s="21">
        <f t="shared" si="495"/>
        <v>0</v>
      </c>
      <c r="AQ807" s="21">
        <f t="shared" si="495"/>
        <v>0</v>
      </c>
      <c r="AR807" s="21">
        <f t="shared" si="495"/>
        <v>0</v>
      </c>
      <c r="AS807" s="21">
        <f t="shared" si="495"/>
        <v>0</v>
      </c>
      <c r="AT807" s="21">
        <f t="shared" si="495"/>
        <v>0</v>
      </c>
      <c r="AU807" s="21">
        <f t="shared" si="495"/>
        <v>0</v>
      </c>
      <c r="AV807" s="21">
        <f t="shared" si="495"/>
        <v>0</v>
      </c>
      <c r="AW807" s="21">
        <f t="shared" si="495"/>
        <v>0</v>
      </c>
      <c r="AX807" s="21">
        <f t="shared" si="495"/>
        <v>0</v>
      </c>
      <c r="AY807" s="21">
        <f t="shared" si="495"/>
        <v>0</v>
      </c>
      <c r="AZ807" s="21">
        <f t="shared" si="495"/>
        <v>0</v>
      </c>
      <c r="BA807" s="21">
        <f t="shared" si="495"/>
        <v>0</v>
      </c>
      <c r="BB807" s="21">
        <f t="shared" si="495"/>
        <v>0</v>
      </c>
      <c r="BC807" s="21">
        <f t="shared" si="495"/>
        <v>0</v>
      </c>
      <c r="BD807" s="21">
        <f t="shared" si="495"/>
        <v>0</v>
      </c>
    </row>
    <row r="808" spans="2:56" ht="15" customHeight="1">
      <c r="C808" s="44">
        <f>IFERROR(IRR(G807:BD807),0)</f>
        <v>0.33045311758789597</v>
      </c>
      <c r="D808" s="11" t="s">
        <v>676</v>
      </c>
      <c r="E808" s="18"/>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row>
    <row r="809" spans="2:56" ht="15" customHeight="1">
      <c r="C809" s="44"/>
      <c r="E809" s="18"/>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row>
    <row r="810" spans="2:56" ht="15" customHeight="1">
      <c r="C810" s="21">
        <f t="shared" ref="C810" si="496">SUM(G810:BD810)</f>
        <v>3436.4425943358506</v>
      </c>
      <c r="D810" s="11" t="s">
        <v>677</v>
      </c>
      <c r="E810" s="18" t="s">
        <v>333</v>
      </c>
      <c r="G810" s="21">
        <f>G807 + IF($E$791 = 2, G802 * Inputs!$E$196, 0)</f>
        <v>-20</v>
      </c>
      <c r="H810" s="21">
        <f>H807 + IF($E$791 = 2, H802 * Inputs!$E$196, 0)</f>
        <v>-20.399999999999999</v>
      </c>
      <c r="I810" s="21">
        <f>I807 + IF($E$791 = 2, I802 * Inputs!$E$196, 0)</f>
        <v>-41.941125</v>
      </c>
      <c r="J810" s="21">
        <f>J807 + IF($E$791 = 2, J802 * Inputs!$E$196, 0)</f>
        <v>-171.11978999999997</v>
      </c>
      <c r="K810" s="21">
        <f>K807 + IF($E$791 = 2, K802 * Inputs!$E$196, 0)</f>
        <v>-19.14461992439999</v>
      </c>
      <c r="L810" s="21">
        <f>L807 + IF($E$791 = 2, L802 * Inputs!$E$196, 0)</f>
        <v>154.88212118256962</v>
      </c>
      <c r="M810" s="21">
        <f>M807 + IF($E$791 = 2, M802 * Inputs!$E$196, 0)</f>
        <v>141.43271382673845</v>
      </c>
      <c r="N810" s="21">
        <f>N807 + IF($E$791 = 2, N802 * Inputs!$E$196, 0)</f>
        <v>119.04463358685234</v>
      </c>
      <c r="O810" s="21">
        <f>O807 + IF($E$791 = 2, O802 * Inputs!$E$196, 0)</f>
        <v>125.47233938469833</v>
      </c>
      <c r="P810" s="21">
        <f>P807 + IF($E$791 = 2, P802 * Inputs!$E$196, 0)</f>
        <v>141.98710877184431</v>
      </c>
      <c r="Q810" s="21">
        <f>Q807 + IF($E$791 = 2, Q802 * Inputs!$E$196, 0)</f>
        <v>144.82685094728129</v>
      </c>
      <c r="R810" s="21">
        <f>R807 + IF($E$791 = 2, R802 * Inputs!$E$196, 0)</f>
        <v>147.72338796622682</v>
      </c>
      <c r="S810" s="21">
        <f>S807 + IF($E$791 = 2, S802 * Inputs!$E$196, 0)</f>
        <v>150.67785572555135</v>
      </c>
      <c r="T810" s="21">
        <f>T807 + IF($E$791 = 2, T802 * Inputs!$E$196, 0)</f>
        <v>153.69141284006241</v>
      </c>
      <c r="U810" s="21">
        <f>U807 + IF($E$791 = 2, U802 * Inputs!$E$196, 0)</f>
        <v>156.76524109686363</v>
      </c>
      <c r="V810" s="21">
        <f>V807 + IF($E$791 = 2, V802 * Inputs!$E$196, 0)</f>
        <v>159.90054591880084</v>
      </c>
      <c r="W810" s="21">
        <f>W807 + IF($E$791 = 2, W802 * Inputs!$E$196, 0)</f>
        <v>163.09855683717694</v>
      </c>
      <c r="X810" s="21">
        <f>X807 + IF($E$791 = 2, X802 * Inputs!$E$196, 0)</f>
        <v>166.36052797392051</v>
      </c>
      <c r="Y810" s="21">
        <f>Y807 + IF($E$791 = 2, Y802 * Inputs!$E$196, 0)</f>
        <v>168.48528503350758</v>
      </c>
      <c r="Z810" s="21">
        <f>Z807 + IF($E$791 = 2, Z802 * Inputs!$E$196, 0)</f>
        <v>171.85213745468639</v>
      </c>
      <c r="AA810" s="21">
        <f>AA807 + IF($E$791 = 2, AA802 * Inputs!$E$196, 0)</f>
        <v>175.28263302476296</v>
      </c>
      <c r="AB810" s="21">
        <f>AB807 + IF($E$791 = 2, AB802 * Inputs!$E$196, 0)</f>
        <v>178.77679853127484</v>
      </c>
      <c r="AC810" s="21">
        <f>AC807 + IF($E$791 = 2, AC802 * Inputs!$E$196, 0)</f>
        <v>182.33395218285887</v>
      </c>
      <c r="AD810" s="21">
        <f>AD807 + IF($E$791 = 2, AD802 * Inputs!$E$196, 0)</f>
        <v>183.90752664270076</v>
      </c>
      <c r="AE810" s="21">
        <f>AE807 + IF($E$791 = 2, AE802 * Inputs!$E$196, 0)</f>
        <v>187.54059755589537</v>
      </c>
      <c r="AF810" s="21">
        <f>AF807 + IF($E$791 = 2, AF802 * Inputs!$E$196, 0)</f>
        <v>191.21566219277406</v>
      </c>
      <c r="AG810" s="21">
        <f>AG807 + IF($E$791 = 2, AG802 * Inputs!$E$196, 0)</f>
        <v>219.33729023133662</v>
      </c>
      <c r="AH810" s="21">
        <f>AH807 + IF($E$791 = 2, AH802 * Inputs!$E$196, 0)</f>
        <v>124.96501629485783</v>
      </c>
      <c r="AI810" s="21">
        <f>AI807 + IF($E$791 = 2, AI802 * Inputs!$E$196, 0)</f>
        <v>-0.51206594299233643</v>
      </c>
      <c r="AJ810" s="21">
        <f>AJ807 + IF($E$791 = 2, AJ802 * Inputs!$E$196, 0)</f>
        <v>0</v>
      </c>
      <c r="AK810" s="21">
        <f>AK807 + IF($E$791 = 2, AK802 * Inputs!$E$196, 0)</f>
        <v>0</v>
      </c>
      <c r="AL810" s="21">
        <f>AL807 + IF($E$791 = 2, AL802 * Inputs!$E$196, 0)</f>
        <v>0</v>
      </c>
      <c r="AM810" s="21">
        <f>AM807 + IF($E$791 = 2, AM802 * Inputs!$E$196, 0)</f>
        <v>0</v>
      </c>
      <c r="AN810" s="21">
        <f>AN807 + IF($E$791 = 2, AN802 * Inputs!$E$196, 0)</f>
        <v>0</v>
      </c>
      <c r="AO810" s="21">
        <f>AO807 + IF($E$791 = 2, AO802 * Inputs!$E$196, 0)</f>
        <v>0</v>
      </c>
      <c r="AP810" s="21">
        <f>AP807 + IF($E$791 = 2, AP802 * Inputs!$E$196, 0)</f>
        <v>0</v>
      </c>
      <c r="AQ810" s="21">
        <f>AQ807 + IF($E$791 = 2, AQ802 * Inputs!$E$196, 0)</f>
        <v>0</v>
      </c>
      <c r="AR810" s="21">
        <f>AR807 + IF($E$791 = 2, AR802 * Inputs!$E$196, 0)</f>
        <v>0</v>
      </c>
      <c r="AS810" s="21">
        <f>AS807 + IF($E$791 = 2, AS802 * Inputs!$E$196, 0)</f>
        <v>0</v>
      </c>
      <c r="AT810" s="21">
        <f>AT807 + IF($E$791 = 2, AT802 * Inputs!$E$196, 0)</f>
        <v>0</v>
      </c>
      <c r="AU810" s="21">
        <f>AU807 + IF($E$791 = 2, AU802 * Inputs!$E$196, 0)</f>
        <v>0</v>
      </c>
      <c r="AV810" s="21">
        <f>AV807 + IF($E$791 = 2, AV802 * Inputs!$E$196, 0)</f>
        <v>0</v>
      </c>
      <c r="AW810" s="21">
        <f>AW807 + IF($E$791 = 2, AW802 * Inputs!$E$196, 0)</f>
        <v>0</v>
      </c>
      <c r="AX810" s="21">
        <f>AX807 + IF($E$791 = 2, AX802 * Inputs!$E$196, 0)</f>
        <v>0</v>
      </c>
      <c r="AY810" s="21">
        <f>AY807 + IF($E$791 = 2, AY802 * Inputs!$E$196, 0)</f>
        <v>0</v>
      </c>
      <c r="AZ810" s="21">
        <f>AZ807 + IF($E$791 = 2, AZ802 * Inputs!$E$196, 0)</f>
        <v>0</v>
      </c>
      <c r="BA810" s="21">
        <f>BA807 + IF($E$791 = 2, BA802 * Inputs!$E$196, 0)</f>
        <v>0</v>
      </c>
      <c r="BB810" s="21">
        <f>BB807 + IF($E$791 = 2, BB802 * Inputs!$E$196, 0)</f>
        <v>0</v>
      </c>
      <c r="BC810" s="21">
        <f>BC807 + IF($E$791 = 2, BC802 * Inputs!$E$196, 0)</f>
        <v>0</v>
      </c>
      <c r="BD810" s="21">
        <f>BD807 + IF($E$791 = 2, BD802 * Inputs!$E$196, 0)</f>
        <v>0</v>
      </c>
    </row>
    <row r="811" spans="2:56" ht="15" customHeight="1">
      <c r="C811" s="44">
        <f>IFERROR(IRR(G810:BD810),0)</f>
        <v>0.33045311758789597</v>
      </c>
      <c r="D811" s="11" t="s">
        <v>678</v>
      </c>
      <c r="E811" s="18"/>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row>
    <row r="812" spans="2:56" ht="15" customHeight="1">
      <c r="C812" s="44"/>
      <c r="E812" s="18"/>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row>
    <row r="813" spans="2:56" ht="15" customHeight="1">
      <c r="C813" s="21">
        <f>SUM(G813:BD813)</f>
        <v>0</v>
      </c>
      <c r="D813" s="11" t="s">
        <v>679</v>
      </c>
      <c r="E813" s="18" t="s">
        <v>333</v>
      </c>
      <c r="G813" s="21">
        <f t="shared" ref="G813:AL813" si="497">G78+G79+G80</f>
        <v>0</v>
      </c>
      <c r="H813" s="21">
        <f t="shared" si="497"/>
        <v>0</v>
      </c>
      <c r="I813" s="21">
        <f t="shared" si="497"/>
        <v>0</v>
      </c>
      <c r="J813" s="21">
        <f t="shared" si="497"/>
        <v>0</v>
      </c>
      <c r="K813" s="21">
        <f t="shared" si="497"/>
        <v>0</v>
      </c>
      <c r="L813" s="21">
        <f t="shared" si="497"/>
        <v>0</v>
      </c>
      <c r="M813" s="21">
        <f t="shared" si="497"/>
        <v>0</v>
      </c>
      <c r="N813" s="21">
        <f t="shared" si="497"/>
        <v>0</v>
      </c>
      <c r="O813" s="21">
        <f t="shared" si="497"/>
        <v>0</v>
      </c>
      <c r="P813" s="21">
        <f t="shared" si="497"/>
        <v>0</v>
      </c>
      <c r="Q813" s="21">
        <f t="shared" si="497"/>
        <v>0</v>
      </c>
      <c r="R813" s="21">
        <f t="shared" si="497"/>
        <v>0</v>
      </c>
      <c r="S813" s="21">
        <f t="shared" si="497"/>
        <v>0</v>
      </c>
      <c r="T813" s="21">
        <f t="shared" si="497"/>
        <v>0</v>
      </c>
      <c r="U813" s="21">
        <f t="shared" si="497"/>
        <v>0</v>
      </c>
      <c r="V813" s="21">
        <f t="shared" si="497"/>
        <v>0</v>
      </c>
      <c r="W813" s="21">
        <f t="shared" si="497"/>
        <v>0</v>
      </c>
      <c r="X813" s="21">
        <f t="shared" si="497"/>
        <v>0</v>
      </c>
      <c r="Y813" s="21">
        <f t="shared" si="497"/>
        <v>2.2722099393258888</v>
      </c>
      <c r="Z813" s="21">
        <f t="shared" si="497"/>
        <v>2.3230458227141964</v>
      </c>
      <c r="AA813" s="21">
        <f t="shared" si="497"/>
        <v>2.3818785816047425</v>
      </c>
      <c r="AB813" s="21">
        <f t="shared" si="497"/>
        <v>2.4512227934170654</v>
      </c>
      <c r="AC813" s="21">
        <f t="shared" si="497"/>
        <v>2.5349833018956347</v>
      </c>
      <c r="AD813" s="21">
        <f t="shared" si="497"/>
        <v>2.6397109570127104</v>
      </c>
      <c r="AE813" s="21">
        <f t="shared" si="497"/>
        <v>2.7776896426294577</v>
      </c>
      <c r="AF813" s="21">
        <f t="shared" si="497"/>
        <v>2.9763789499175735</v>
      </c>
      <c r="AG813" s="21">
        <f t="shared" si="497"/>
        <v>3.3209062087551691</v>
      </c>
      <c r="AH813" s="21">
        <f t="shared" si="497"/>
        <v>1.9252709523441318</v>
      </c>
      <c r="AI813" s="21">
        <f t="shared" si="497"/>
        <v>-25.603297149616569</v>
      </c>
      <c r="AJ813" s="21">
        <f t="shared" si="497"/>
        <v>0</v>
      </c>
      <c r="AK813" s="21">
        <f t="shared" si="497"/>
        <v>0</v>
      </c>
      <c r="AL813" s="21">
        <f t="shared" si="497"/>
        <v>0</v>
      </c>
      <c r="AM813" s="21">
        <f t="shared" ref="AM813:BD813" si="498">AM78+AM79+AM80</f>
        <v>0</v>
      </c>
      <c r="AN813" s="21">
        <f t="shared" si="498"/>
        <v>0</v>
      </c>
      <c r="AO813" s="21">
        <f t="shared" si="498"/>
        <v>0</v>
      </c>
      <c r="AP813" s="21">
        <f t="shared" si="498"/>
        <v>0</v>
      </c>
      <c r="AQ813" s="21">
        <f t="shared" si="498"/>
        <v>0</v>
      </c>
      <c r="AR813" s="21">
        <f t="shared" si="498"/>
        <v>0</v>
      </c>
      <c r="AS813" s="21">
        <f t="shared" si="498"/>
        <v>0</v>
      </c>
      <c r="AT813" s="21">
        <f t="shared" si="498"/>
        <v>0</v>
      </c>
      <c r="AU813" s="21">
        <f t="shared" si="498"/>
        <v>0</v>
      </c>
      <c r="AV813" s="21">
        <f t="shared" si="498"/>
        <v>0</v>
      </c>
      <c r="AW813" s="21">
        <f t="shared" si="498"/>
        <v>0</v>
      </c>
      <c r="AX813" s="21">
        <f t="shared" si="498"/>
        <v>0</v>
      </c>
      <c r="AY813" s="21">
        <f t="shared" si="498"/>
        <v>0</v>
      </c>
      <c r="AZ813" s="21">
        <f t="shared" si="498"/>
        <v>0</v>
      </c>
      <c r="BA813" s="21">
        <f t="shared" si="498"/>
        <v>0</v>
      </c>
      <c r="BB813" s="21">
        <f t="shared" si="498"/>
        <v>0</v>
      </c>
      <c r="BC813" s="21">
        <f t="shared" si="498"/>
        <v>0</v>
      </c>
      <c r="BD813" s="21">
        <f t="shared" si="498"/>
        <v>0</v>
      </c>
    </row>
    <row r="814" spans="2:56" ht="15" customHeight="1">
      <c r="C814" s="21"/>
      <c r="E814" s="18"/>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row>
    <row r="815" spans="2:56" ht="15" customHeight="1">
      <c r="C815" s="394"/>
      <c r="D815" s="9" t="s">
        <v>680</v>
      </c>
      <c r="E815" s="18"/>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row>
    <row r="816" spans="2:56" ht="15" customHeight="1">
      <c r="C816" s="19"/>
      <c r="D816" s="11" t="s">
        <v>681</v>
      </c>
      <c r="G816" s="36">
        <f t="shared" ref="G816:AL816" si="499">G44</f>
        <v>1</v>
      </c>
      <c r="H816" s="36">
        <f t="shared" si="499"/>
        <v>1.02</v>
      </c>
      <c r="I816" s="36">
        <f t="shared" si="499"/>
        <v>1.0404</v>
      </c>
      <c r="J816" s="36">
        <f t="shared" si="499"/>
        <v>1.0612079999999999</v>
      </c>
      <c r="K816" s="36">
        <f t="shared" si="499"/>
        <v>1.08243216</v>
      </c>
      <c r="L816" s="36">
        <f t="shared" si="499"/>
        <v>1.1040808032</v>
      </c>
      <c r="M816" s="36">
        <f t="shared" si="499"/>
        <v>1.1261624192640001</v>
      </c>
      <c r="N816" s="36">
        <f t="shared" si="499"/>
        <v>1.1486856676492798</v>
      </c>
      <c r="O816" s="36">
        <f t="shared" si="499"/>
        <v>1.1716593810022655</v>
      </c>
      <c r="P816" s="36">
        <f t="shared" si="499"/>
        <v>1.1950925686223108</v>
      </c>
      <c r="Q816" s="36">
        <f t="shared" si="499"/>
        <v>1.2189944199947571</v>
      </c>
      <c r="R816" s="36">
        <f t="shared" si="499"/>
        <v>1.243374308394652</v>
      </c>
      <c r="S816" s="36">
        <f t="shared" si="499"/>
        <v>1.2682417945625453</v>
      </c>
      <c r="T816" s="36">
        <f t="shared" si="499"/>
        <v>1.2936066304537961</v>
      </c>
      <c r="U816" s="36">
        <f t="shared" si="499"/>
        <v>1.3194787630628722</v>
      </c>
      <c r="V816" s="36">
        <f t="shared" si="499"/>
        <v>1.3458683383241292</v>
      </c>
      <c r="W816" s="36">
        <f t="shared" si="499"/>
        <v>1.372785705090612</v>
      </c>
      <c r="X816" s="36">
        <f t="shared" si="499"/>
        <v>1.4002414191924244</v>
      </c>
      <c r="Y816" s="36">
        <f t="shared" si="499"/>
        <v>1.4282462475762727</v>
      </c>
      <c r="Z816" s="36">
        <f t="shared" si="499"/>
        <v>1.4568111725277981</v>
      </c>
      <c r="AA816" s="36">
        <f t="shared" si="499"/>
        <v>1.4859473959783542</v>
      </c>
      <c r="AB816" s="36">
        <f t="shared" si="499"/>
        <v>1.5156663438979212</v>
      </c>
      <c r="AC816" s="36">
        <f t="shared" si="499"/>
        <v>1.5459796707758797</v>
      </c>
      <c r="AD816" s="36">
        <f t="shared" si="499"/>
        <v>1.576899264191397</v>
      </c>
      <c r="AE816" s="36">
        <f t="shared" si="499"/>
        <v>1.608437249475225</v>
      </c>
      <c r="AF816" s="36">
        <f t="shared" si="499"/>
        <v>1.6406059944647295</v>
      </c>
      <c r="AG816" s="36">
        <f t="shared" si="499"/>
        <v>1.6734181143540243</v>
      </c>
      <c r="AH816" s="36">
        <f t="shared" si="499"/>
        <v>1.7068864766411045</v>
      </c>
      <c r="AI816" s="36">
        <f t="shared" si="499"/>
        <v>1.7410242061739269</v>
      </c>
      <c r="AJ816" s="36">
        <f t="shared" si="499"/>
        <v>1.7758446902974052</v>
      </c>
      <c r="AK816" s="36">
        <f t="shared" si="499"/>
        <v>1.8113615841033535</v>
      </c>
      <c r="AL816" s="36">
        <f t="shared" si="499"/>
        <v>1.8475888157854201</v>
      </c>
      <c r="AM816" s="36">
        <f t="shared" ref="AM816:BD816" si="500">AM44</f>
        <v>1.8845405921011289</v>
      </c>
      <c r="AN816" s="36">
        <f t="shared" si="500"/>
        <v>1.9222314039431516</v>
      </c>
      <c r="AO816" s="36">
        <f t="shared" si="500"/>
        <v>1.9606760320220145</v>
      </c>
      <c r="AP816" s="36">
        <f t="shared" si="500"/>
        <v>1.9998895526624547</v>
      </c>
      <c r="AQ816" s="36">
        <f t="shared" si="500"/>
        <v>2.0398873437157037</v>
      </c>
      <c r="AR816" s="36">
        <f t="shared" si="500"/>
        <v>2.080685090590018</v>
      </c>
      <c r="AS816" s="36">
        <f t="shared" si="500"/>
        <v>2.1222987924018186</v>
      </c>
      <c r="AT816" s="36">
        <f t="shared" si="500"/>
        <v>2.1647447682498542</v>
      </c>
      <c r="AU816" s="36">
        <f t="shared" si="500"/>
        <v>2.2080396636148518</v>
      </c>
      <c r="AV816" s="36">
        <f t="shared" si="500"/>
        <v>2.2522004568871488</v>
      </c>
      <c r="AW816" s="36">
        <f t="shared" si="500"/>
        <v>2.2972444660248916</v>
      </c>
      <c r="AX816" s="36">
        <f t="shared" si="500"/>
        <v>2.3431893553453893</v>
      </c>
      <c r="AY816" s="36">
        <f t="shared" si="500"/>
        <v>2.3900531424522975</v>
      </c>
      <c r="AZ816" s="36">
        <f t="shared" si="500"/>
        <v>2.4378542053013432</v>
      </c>
      <c r="BA816" s="36">
        <f t="shared" si="500"/>
        <v>2.4866112894073704</v>
      </c>
      <c r="BB816" s="36">
        <f t="shared" si="500"/>
        <v>2.5363435151955169</v>
      </c>
      <c r="BC816" s="36">
        <f t="shared" si="500"/>
        <v>2.5870703854994277</v>
      </c>
      <c r="BD816" s="36">
        <f t="shared" si="500"/>
        <v>2.6388117932094164</v>
      </c>
    </row>
    <row r="817" spans="3:56 16384:16384" ht="15" customHeight="1">
      <c r="C817" s="21">
        <f t="shared" ref="C817:C828" si="501">SUM(G817:BD817)</f>
        <v>12765.150000000001</v>
      </c>
      <c r="D817" s="11" t="str">
        <f t="shared" ref="D817:D829" si="502">D796</f>
        <v>Net revenue</v>
      </c>
      <c r="E817" s="18" t="s">
        <v>289</v>
      </c>
      <c r="G817" s="21">
        <f t="shared" ref="G817:AL817" si="503">G796/G$816</f>
        <v>0</v>
      </c>
      <c r="H817" s="21">
        <f t="shared" si="503"/>
        <v>0</v>
      </c>
      <c r="I817" s="21">
        <f t="shared" si="503"/>
        <v>0</v>
      </c>
      <c r="J817" s="21">
        <f t="shared" si="503"/>
        <v>0</v>
      </c>
      <c r="K817" s="21">
        <f t="shared" si="503"/>
        <v>239.55000000000004</v>
      </c>
      <c r="L817" s="21">
        <f t="shared" si="503"/>
        <v>558.95000000000005</v>
      </c>
      <c r="M817" s="21">
        <f t="shared" si="503"/>
        <v>558.95000000000005</v>
      </c>
      <c r="N817" s="21">
        <f t="shared" si="503"/>
        <v>558.95000000000005</v>
      </c>
      <c r="O817" s="21">
        <f t="shared" si="503"/>
        <v>558.95000000000005</v>
      </c>
      <c r="P817" s="21">
        <f t="shared" si="503"/>
        <v>558.95000000000005</v>
      </c>
      <c r="Q817" s="21">
        <f t="shared" si="503"/>
        <v>558.95000000000005</v>
      </c>
      <c r="R817" s="21">
        <f t="shared" si="503"/>
        <v>558.95000000000005</v>
      </c>
      <c r="S817" s="21">
        <f t="shared" si="503"/>
        <v>558.95000000000005</v>
      </c>
      <c r="T817" s="21">
        <f t="shared" si="503"/>
        <v>558.95000000000005</v>
      </c>
      <c r="U817" s="21">
        <f t="shared" si="503"/>
        <v>558.95000000000005</v>
      </c>
      <c r="V817" s="21">
        <f t="shared" si="503"/>
        <v>558.95000000000005</v>
      </c>
      <c r="W817" s="21">
        <f t="shared" si="503"/>
        <v>558.95000000000005</v>
      </c>
      <c r="X817" s="21">
        <f t="shared" si="503"/>
        <v>558.95000000000005</v>
      </c>
      <c r="Y817" s="21">
        <f t="shared" si="503"/>
        <v>558.95000000000005</v>
      </c>
      <c r="Z817" s="21">
        <f t="shared" si="503"/>
        <v>558.95000000000005</v>
      </c>
      <c r="AA817" s="21">
        <f t="shared" si="503"/>
        <v>558.95000000000005</v>
      </c>
      <c r="AB817" s="21">
        <f t="shared" si="503"/>
        <v>558.95000000000005</v>
      </c>
      <c r="AC817" s="21">
        <f t="shared" si="503"/>
        <v>558.95000000000005</v>
      </c>
      <c r="AD817" s="21">
        <f t="shared" si="503"/>
        <v>556.5</v>
      </c>
      <c r="AE817" s="21">
        <f t="shared" si="503"/>
        <v>556.5</v>
      </c>
      <c r="AF817" s="21">
        <f t="shared" si="503"/>
        <v>556.5</v>
      </c>
      <c r="AG817" s="21">
        <f t="shared" si="503"/>
        <v>556.5</v>
      </c>
      <c r="AH817" s="21">
        <f t="shared" si="503"/>
        <v>238.5</v>
      </c>
      <c r="AI817" s="21">
        <f t="shared" si="503"/>
        <v>0</v>
      </c>
      <c r="AJ817" s="21">
        <f t="shared" si="503"/>
        <v>0</v>
      </c>
      <c r="AK817" s="21">
        <f t="shared" si="503"/>
        <v>0</v>
      </c>
      <c r="AL817" s="21">
        <f t="shared" si="503"/>
        <v>0</v>
      </c>
      <c r="AM817" s="21">
        <f t="shared" ref="AM817:BD817" si="504">AM796/AM$816</f>
        <v>0</v>
      </c>
      <c r="AN817" s="21">
        <f t="shared" si="504"/>
        <v>0</v>
      </c>
      <c r="AO817" s="21">
        <f t="shared" si="504"/>
        <v>0</v>
      </c>
      <c r="AP817" s="21">
        <f t="shared" si="504"/>
        <v>0</v>
      </c>
      <c r="AQ817" s="21">
        <f t="shared" si="504"/>
        <v>0</v>
      </c>
      <c r="AR817" s="21">
        <f t="shared" si="504"/>
        <v>0</v>
      </c>
      <c r="AS817" s="21">
        <f t="shared" si="504"/>
        <v>0</v>
      </c>
      <c r="AT817" s="21">
        <f t="shared" si="504"/>
        <v>0</v>
      </c>
      <c r="AU817" s="21">
        <f t="shared" si="504"/>
        <v>0</v>
      </c>
      <c r="AV817" s="21">
        <f t="shared" si="504"/>
        <v>0</v>
      </c>
      <c r="AW817" s="21">
        <f t="shared" si="504"/>
        <v>0</v>
      </c>
      <c r="AX817" s="21">
        <f t="shared" si="504"/>
        <v>0</v>
      </c>
      <c r="AY817" s="21">
        <f t="shared" si="504"/>
        <v>0</v>
      </c>
      <c r="AZ817" s="21">
        <f t="shared" si="504"/>
        <v>0</v>
      </c>
      <c r="BA817" s="21">
        <f t="shared" si="504"/>
        <v>0</v>
      </c>
      <c r="BB817" s="21">
        <f t="shared" si="504"/>
        <v>0</v>
      </c>
      <c r="BC817" s="21">
        <f t="shared" si="504"/>
        <v>0</v>
      </c>
      <c r="BD817" s="21">
        <f t="shared" si="504"/>
        <v>0</v>
      </c>
    </row>
    <row r="818" spans="3:56 16384:16384" ht="15" customHeight="1">
      <c r="C818" s="21">
        <f t="shared" si="501"/>
        <v>0</v>
      </c>
      <c r="D818" s="11" t="str">
        <f t="shared" si="502"/>
        <v>State equity contribution with incorporated JV</v>
      </c>
      <c r="E818" s="18" t="s">
        <v>289</v>
      </c>
      <c r="G818" s="21">
        <f t="shared" ref="G818:BA818" si="505">G797/G$816</f>
        <v>0</v>
      </c>
      <c r="H818" s="21">
        <f t="shared" si="505"/>
        <v>0</v>
      </c>
      <c r="I818" s="21">
        <f t="shared" si="505"/>
        <v>0</v>
      </c>
      <c r="J818" s="21">
        <f t="shared" si="505"/>
        <v>0</v>
      </c>
      <c r="K818" s="21">
        <f t="shared" si="505"/>
        <v>0</v>
      </c>
      <c r="L818" s="21">
        <f t="shared" si="505"/>
        <v>0</v>
      </c>
      <c r="M818" s="21">
        <f t="shared" si="505"/>
        <v>0</v>
      </c>
      <c r="N818" s="21">
        <f t="shared" si="505"/>
        <v>0</v>
      </c>
      <c r="O818" s="21">
        <f t="shared" si="505"/>
        <v>0</v>
      </c>
      <c r="P818" s="21">
        <f t="shared" si="505"/>
        <v>0</v>
      </c>
      <c r="Q818" s="21">
        <f t="shared" si="505"/>
        <v>0</v>
      </c>
      <c r="R818" s="21">
        <f t="shared" si="505"/>
        <v>0</v>
      </c>
      <c r="S818" s="21">
        <f t="shared" si="505"/>
        <v>0</v>
      </c>
      <c r="T818" s="21">
        <f t="shared" si="505"/>
        <v>0</v>
      </c>
      <c r="U818" s="21">
        <f t="shared" si="505"/>
        <v>0</v>
      </c>
      <c r="V818" s="21">
        <f t="shared" si="505"/>
        <v>0</v>
      </c>
      <c r="W818" s="21">
        <f t="shared" si="505"/>
        <v>0</v>
      </c>
      <c r="X818" s="21">
        <f t="shared" si="505"/>
        <v>0</v>
      </c>
      <c r="Y818" s="21">
        <f t="shared" si="505"/>
        <v>0</v>
      </c>
      <c r="Z818" s="21">
        <f t="shared" si="505"/>
        <v>0</v>
      </c>
      <c r="AA818" s="21">
        <f t="shared" si="505"/>
        <v>0</v>
      </c>
      <c r="AB818" s="21">
        <f t="shared" si="505"/>
        <v>0</v>
      </c>
      <c r="AC818" s="21">
        <f t="shared" si="505"/>
        <v>0</v>
      </c>
      <c r="AD818" s="21">
        <f t="shared" si="505"/>
        <v>0</v>
      </c>
      <c r="AE818" s="21">
        <f t="shared" si="505"/>
        <v>0</v>
      </c>
      <c r="AF818" s="21">
        <f t="shared" si="505"/>
        <v>0</v>
      </c>
      <c r="AG818" s="21">
        <f t="shared" si="505"/>
        <v>0</v>
      </c>
      <c r="AH818" s="21">
        <f t="shared" si="505"/>
        <v>0</v>
      </c>
      <c r="AI818" s="21">
        <f t="shared" si="505"/>
        <v>0</v>
      </c>
      <c r="AJ818" s="21">
        <f t="shared" si="505"/>
        <v>0</v>
      </c>
      <c r="AK818" s="21">
        <f t="shared" si="505"/>
        <v>0</v>
      </c>
      <c r="AL818" s="21">
        <f t="shared" si="505"/>
        <v>0</v>
      </c>
      <c r="AM818" s="21">
        <f t="shared" si="505"/>
        <v>0</v>
      </c>
      <c r="AN818" s="21">
        <f t="shared" si="505"/>
        <v>0</v>
      </c>
      <c r="AO818" s="21">
        <f t="shared" si="505"/>
        <v>0</v>
      </c>
      <c r="AP818" s="21">
        <f t="shared" si="505"/>
        <v>0</v>
      </c>
      <c r="AQ818" s="21">
        <f t="shared" si="505"/>
        <v>0</v>
      </c>
      <c r="AR818" s="21">
        <f t="shared" si="505"/>
        <v>0</v>
      </c>
      <c r="AS818" s="21">
        <f t="shared" si="505"/>
        <v>0</v>
      </c>
      <c r="AT818" s="21">
        <f t="shared" si="505"/>
        <v>0</v>
      </c>
      <c r="AU818" s="21">
        <f t="shared" si="505"/>
        <v>0</v>
      </c>
      <c r="AV818" s="21">
        <f t="shared" si="505"/>
        <v>0</v>
      </c>
      <c r="AW818" s="21">
        <f t="shared" si="505"/>
        <v>0</v>
      </c>
      <c r="AX818" s="21">
        <f t="shared" si="505"/>
        <v>0</v>
      </c>
      <c r="AY818" s="21">
        <f t="shared" si="505"/>
        <v>0</v>
      </c>
      <c r="AZ818" s="21">
        <f t="shared" si="505"/>
        <v>0</v>
      </c>
      <c r="BA818" s="21">
        <f t="shared" si="505"/>
        <v>0</v>
      </c>
      <c r="BB818" s="21"/>
      <c r="BC818" s="21"/>
      <c r="BD818" s="21"/>
    </row>
    <row r="819" spans="3:56 16384:16384" ht="15" customHeight="1">
      <c r="C819" s="21">
        <f t="shared" ref="C819" si="506">SUM(G819:BD819)</f>
        <v>0</v>
      </c>
      <c r="D819" s="11" t="str">
        <f t="shared" si="502"/>
        <v>Carry loan to state repayment with unincorporated JV</v>
      </c>
      <c r="E819" s="18" t="s">
        <v>289</v>
      </c>
      <c r="G819" s="21">
        <f t="shared" ref="G819:BA819" si="507">G798/G$816</f>
        <v>0</v>
      </c>
      <c r="H819" s="21">
        <f t="shared" si="507"/>
        <v>0</v>
      </c>
      <c r="I819" s="21">
        <f t="shared" si="507"/>
        <v>0</v>
      </c>
      <c r="J819" s="21">
        <f t="shared" si="507"/>
        <v>0</v>
      </c>
      <c r="K819" s="21">
        <f t="shared" si="507"/>
        <v>0</v>
      </c>
      <c r="L819" s="21">
        <f t="shared" si="507"/>
        <v>0</v>
      </c>
      <c r="M819" s="21">
        <f t="shared" si="507"/>
        <v>0</v>
      </c>
      <c r="N819" s="21">
        <f t="shared" si="507"/>
        <v>0</v>
      </c>
      <c r="O819" s="21">
        <f t="shared" si="507"/>
        <v>0</v>
      </c>
      <c r="P819" s="21">
        <f t="shared" si="507"/>
        <v>0</v>
      </c>
      <c r="Q819" s="21">
        <f t="shared" si="507"/>
        <v>0</v>
      </c>
      <c r="R819" s="21">
        <f t="shared" si="507"/>
        <v>0</v>
      </c>
      <c r="S819" s="21">
        <f t="shared" si="507"/>
        <v>0</v>
      </c>
      <c r="T819" s="21">
        <f t="shared" si="507"/>
        <v>0</v>
      </c>
      <c r="U819" s="21">
        <f t="shared" si="507"/>
        <v>0</v>
      </c>
      <c r="V819" s="21">
        <f t="shared" si="507"/>
        <v>0</v>
      </c>
      <c r="W819" s="21">
        <f t="shared" si="507"/>
        <v>0</v>
      </c>
      <c r="X819" s="21">
        <f t="shared" si="507"/>
        <v>0</v>
      </c>
      <c r="Y819" s="21">
        <f t="shared" si="507"/>
        <v>0</v>
      </c>
      <c r="Z819" s="21">
        <f t="shared" si="507"/>
        <v>0</v>
      </c>
      <c r="AA819" s="21">
        <f t="shared" si="507"/>
        <v>0</v>
      </c>
      <c r="AB819" s="21">
        <f t="shared" si="507"/>
        <v>0</v>
      </c>
      <c r="AC819" s="21">
        <f t="shared" si="507"/>
        <v>0</v>
      </c>
      <c r="AD819" s="21">
        <f t="shared" si="507"/>
        <v>0</v>
      </c>
      <c r="AE819" s="21">
        <f t="shared" si="507"/>
        <v>0</v>
      </c>
      <c r="AF819" s="21">
        <f t="shared" si="507"/>
        <v>0</v>
      </c>
      <c r="AG819" s="21">
        <f t="shared" si="507"/>
        <v>0</v>
      </c>
      <c r="AH819" s="21">
        <f t="shared" si="507"/>
        <v>0</v>
      </c>
      <c r="AI819" s="21">
        <f t="shared" si="507"/>
        <v>0</v>
      </c>
      <c r="AJ819" s="21">
        <f t="shared" si="507"/>
        <v>0</v>
      </c>
      <c r="AK819" s="21">
        <f t="shared" si="507"/>
        <v>0</v>
      </c>
      <c r="AL819" s="21">
        <f t="shared" si="507"/>
        <v>0</v>
      </c>
      <c r="AM819" s="21">
        <f t="shared" si="507"/>
        <v>0</v>
      </c>
      <c r="AN819" s="21">
        <f t="shared" si="507"/>
        <v>0</v>
      </c>
      <c r="AO819" s="21">
        <f t="shared" si="507"/>
        <v>0</v>
      </c>
      <c r="AP819" s="21">
        <f t="shared" si="507"/>
        <v>0</v>
      </c>
      <c r="AQ819" s="21">
        <f t="shared" si="507"/>
        <v>0</v>
      </c>
      <c r="AR819" s="21">
        <f t="shared" si="507"/>
        <v>0</v>
      </c>
      <c r="AS819" s="21">
        <f t="shared" si="507"/>
        <v>0</v>
      </c>
      <c r="AT819" s="21">
        <f t="shared" si="507"/>
        <v>0</v>
      </c>
      <c r="AU819" s="21">
        <f t="shared" si="507"/>
        <v>0</v>
      </c>
      <c r="AV819" s="21">
        <f t="shared" si="507"/>
        <v>0</v>
      </c>
      <c r="AW819" s="21">
        <f t="shared" si="507"/>
        <v>0</v>
      </c>
      <c r="AX819" s="21">
        <f t="shared" si="507"/>
        <v>0</v>
      </c>
      <c r="AY819" s="21">
        <f t="shared" si="507"/>
        <v>0</v>
      </c>
      <c r="AZ819" s="21">
        <f t="shared" si="507"/>
        <v>0</v>
      </c>
      <c r="BA819" s="21">
        <f t="shared" si="507"/>
        <v>0</v>
      </c>
      <c r="BB819" s="21">
        <f>BB798/BB$816</f>
        <v>0</v>
      </c>
      <c r="BC819" s="21">
        <f>BC798/BC$816</f>
        <v>0</v>
      </c>
      <c r="BD819" s="21">
        <f>BD798/BD$816</f>
        <v>0</v>
      </c>
    </row>
    <row r="820" spans="3:56 16384:16384" ht="15" customHeight="1">
      <c r="C820" s="21">
        <f t="shared" ref="C820" si="508">SUM(G820:BD820)</f>
        <v>0</v>
      </c>
      <c r="D820" s="11" t="str">
        <f t="shared" si="502"/>
        <v>Adjustment made to investor share of benefits</v>
      </c>
      <c r="E820" s="18" t="s">
        <v>289</v>
      </c>
      <c r="G820" s="21">
        <f t="shared" ref="G820:BA820" si="509">G799/G$816</f>
        <v>0</v>
      </c>
      <c r="H820" s="21">
        <f t="shared" si="509"/>
        <v>0</v>
      </c>
      <c r="I820" s="21">
        <f t="shared" si="509"/>
        <v>0</v>
      </c>
      <c r="J820" s="21">
        <f t="shared" si="509"/>
        <v>0</v>
      </c>
      <c r="K820" s="21">
        <f t="shared" si="509"/>
        <v>0</v>
      </c>
      <c r="L820" s="21">
        <f t="shared" si="509"/>
        <v>0</v>
      </c>
      <c r="M820" s="21">
        <f t="shared" si="509"/>
        <v>0</v>
      </c>
      <c r="N820" s="21">
        <f t="shared" si="509"/>
        <v>0</v>
      </c>
      <c r="O820" s="21">
        <f t="shared" si="509"/>
        <v>0</v>
      </c>
      <c r="P820" s="21">
        <f t="shared" si="509"/>
        <v>0</v>
      </c>
      <c r="Q820" s="21">
        <f t="shared" si="509"/>
        <v>0</v>
      </c>
      <c r="R820" s="21">
        <f t="shared" si="509"/>
        <v>0</v>
      </c>
      <c r="S820" s="21">
        <f t="shared" si="509"/>
        <v>0</v>
      </c>
      <c r="T820" s="21">
        <f t="shared" si="509"/>
        <v>0</v>
      </c>
      <c r="U820" s="21">
        <f t="shared" si="509"/>
        <v>0</v>
      </c>
      <c r="V820" s="21">
        <f t="shared" si="509"/>
        <v>0</v>
      </c>
      <c r="W820" s="21">
        <f t="shared" si="509"/>
        <v>0</v>
      </c>
      <c r="X820" s="21">
        <f t="shared" si="509"/>
        <v>0</v>
      </c>
      <c r="Y820" s="21">
        <f t="shared" si="509"/>
        <v>0</v>
      </c>
      <c r="Z820" s="21">
        <f t="shared" si="509"/>
        <v>0</v>
      </c>
      <c r="AA820" s="21">
        <f t="shared" si="509"/>
        <v>0</v>
      </c>
      <c r="AB820" s="21">
        <f t="shared" si="509"/>
        <v>0</v>
      </c>
      <c r="AC820" s="21">
        <f t="shared" si="509"/>
        <v>0</v>
      </c>
      <c r="AD820" s="21">
        <f t="shared" si="509"/>
        <v>0</v>
      </c>
      <c r="AE820" s="21">
        <f t="shared" si="509"/>
        <v>0</v>
      </c>
      <c r="AF820" s="21">
        <f t="shared" si="509"/>
        <v>0</v>
      </c>
      <c r="AG820" s="21">
        <f t="shared" si="509"/>
        <v>0</v>
      </c>
      <c r="AH820" s="21">
        <f t="shared" si="509"/>
        <v>0</v>
      </c>
      <c r="AI820" s="21">
        <f t="shared" si="509"/>
        <v>0</v>
      </c>
      <c r="AJ820" s="21">
        <f t="shared" si="509"/>
        <v>0</v>
      </c>
      <c r="AK820" s="21">
        <f t="shared" si="509"/>
        <v>0</v>
      </c>
      <c r="AL820" s="21">
        <f t="shared" si="509"/>
        <v>0</v>
      </c>
      <c r="AM820" s="21">
        <f t="shared" si="509"/>
        <v>0</v>
      </c>
      <c r="AN820" s="21">
        <f t="shared" si="509"/>
        <v>0</v>
      </c>
      <c r="AO820" s="21">
        <f t="shared" si="509"/>
        <v>0</v>
      </c>
      <c r="AP820" s="21">
        <f t="shared" si="509"/>
        <v>0</v>
      </c>
      <c r="AQ820" s="21">
        <f t="shared" si="509"/>
        <v>0</v>
      </c>
      <c r="AR820" s="21">
        <f t="shared" si="509"/>
        <v>0</v>
      </c>
      <c r="AS820" s="21">
        <f t="shared" si="509"/>
        <v>0</v>
      </c>
      <c r="AT820" s="21">
        <f t="shared" si="509"/>
        <v>0</v>
      </c>
      <c r="AU820" s="21">
        <f t="shared" si="509"/>
        <v>0</v>
      </c>
      <c r="AV820" s="21">
        <f t="shared" si="509"/>
        <v>0</v>
      </c>
      <c r="AW820" s="21">
        <f t="shared" si="509"/>
        <v>0</v>
      </c>
      <c r="AX820" s="21">
        <f t="shared" si="509"/>
        <v>0</v>
      </c>
      <c r="AY820" s="21">
        <f t="shared" si="509"/>
        <v>0</v>
      </c>
      <c r="AZ820" s="21">
        <f t="shared" si="509"/>
        <v>0</v>
      </c>
      <c r="BA820" s="21">
        <f t="shared" si="509"/>
        <v>0</v>
      </c>
      <c r="BB820" s="21">
        <f>BB799/BB$816</f>
        <v>0</v>
      </c>
      <c r="BC820" s="21">
        <f>BC799/BC$816</f>
        <v>0</v>
      </c>
      <c r="BD820" s="21">
        <f>BD799/BD$816</f>
        <v>0</v>
      </c>
    </row>
    <row r="821" spans="3:56 16384:16384" ht="15" customHeight="1">
      <c r="C821" s="21">
        <f t="shared" si="501"/>
        <v>8096.5921369743573</v>
      </c>
      <c r="D821" s="11" t="str">
        <f t="shared" si="502"/>
        <v>Less: Project costs</v>
      </c>
      <c r="E821" s="18" t="s">
        <v>289</v>
      </c>
      <c r="G821" s="21">
        <f t="shared" ref="G821:BA821" si="510">G800/G$816</f>
        <v>20</v>
      </c>
      <c r="H821" s="21">
        <f t="shared" si="510"/>
        <v>20</v>
      </c>
      <c r="I821" s="21">
        <f t="shared" si="510"/>
        <v>77.8125</v>
      </c>
      <c r="J821" s="21">
        <f t="shared" si="510"/>
        <v>311.25</v>
      </c>
      <c r="K821" s="21">
        <f t="shared" si="510"/>
        <v>203.07750000000001</v>
      </c>
      <c r="L821" s="21">
        <f t="shared" si="510"/>
        <v>333.78500000000003</v>
      </c>
      <c r="M821" s="21">
        <f t="shared" si="510"/>
        <v>333.78499999999997</v>
      </c>
      <c r="N821" s="21">
        <f t="shared" si="510"/>
        <v>333.78500000000003</v>
      </c>
      <c r="O821" s="21">
        <f t="shared" si="510"/>
        <v>333.78499999999997</v>
      </c>
      <c r="P821" s="21">
        <f t="shared" si="510"/>
        <v>333.78499999999997</v>
      </c>
      <c r="Q821" s="21">
        <f t="shared" si="510"/>
        <v>333.78499999999997</v>
      </c>
      <c r="R821" s="21">
        <f t="shared" si="510"/>
        <v>333.78500000000003</v>
      </c>
      <c r="S821" s="21">
        <f t="shared" si="510"/>
        <v>333.78500000000003</v>
      </c>
      <c r="T821" s="21">
        <f t="shared" si="510"/>
        <v>333.78499999999997</v>
      </c>
      <c r="U821" s="21">
        <f t="shared" si="510"/>
        <v>333.78500000000003</v>
      </c>
      <c r="V821" s="21">
        <f t="shared" si="510"/>
        <v>333.78500000000003</v>
      </c>
      <c r="W821" s="21">
        <f t="shared" si="510"/>
        <v>333.78500000000003</v>
      </c>
      <c r="X821" s="21">
        <f t="shared" si="510"/>
        <v>333.78500000000003</v>
      </c>
      <c r="Y821" s="21">
        <f t="shared" si="510"/>
        <v>335.37590909090909</v>
      </c>
      <c r="Z821" s="21">
        <f t="shared" si="510"/>
        <v>335.37961010906679</v>
      </c>
      <c r="AA821" s="21">
        <f t="shared" si="510"/>
        <v>335.38793600436406</v>
      </c>
      <c r="AB821" s="21">
        <f t="shared" si="510"/>
        <v>335.40225752061838</v>
      </c>
      <c r="AC821" s="21">
        <f t="shared" si="510"/>
        <v>335.42472615540504</v>
      </c>
      <c r="AD821" s="21">
        <f t="shared" si="510"/>
        <v>335.45898832440082</v>
      </c>
      <c r="AE821" s="21">
        <f t="shared" si="510"/>
        <v>335.51194933764788</v>
      </c>
      <c r="AF821" s="21">
        <f t="shared" si="510"/>
        <v>335.59919485236526</v>
      </c>
      <c r="AG821" s="21">
        <f t="shared" si="510"/>
        <v>315.01950475722083</v>
      </c>
      <c r="AH821" s="21">
        <f t="shared" si="510"/>
        <v>126.39294317530288</v>
      </c>
      <c r="AI821" s="21">
        <f t="shared" si="510"/>
        <v>0.29411764705882637</v>
      </c>
      <c r="AJ821" s="21">
        <f t="shared" si="510"/>
        <v>0</v>
      </c>
      <c r="AK821" s="21">
        <f t="shared" si="510"/>
        <v>0</v>
      </c>
      <c r="AL821" s="21">
        <f t="shared" si="510"/>
        <v>0</v>
      </c>
      <c r="AM821" s="21">
        <f t="shared" si="510"/>
        <v>0</v>
      </c>
      <c r="AN821" s="21">
        <f t="shared" si="510"/>
        <v>0</v>
      </c>
      <c r="AO821" s="21">
        <f t="shared" si="510"/>
        <v>0</v>
      </c>
      <c r="AP821" s="21">
        <f t="shared" si="510"/>
        <v>0</v>
      </c>
      <c r="AQ821" s="21">
        <f t="shared" si="510"/>
        <v>0</v>
      </c>
      <c r="AR821" s="21">
        <f t="shared" si="510"/>
        <v>0</v>
      </c>
      <c r="AS821" s="21">
        <f t="shared" si="510"/>
        <v>0</v>
      </c>
      <c r="AT821" s="21">
        <f t="shared" si="510"/>
        <v>0</v>
      </c>
      <c r="AU821" s="21">
        <f t="shared" si="510"/>
        <v>0</v>
      </c>
      <c r="AV821" s="21">
        <f t="shared" si="510"/>
        <v>0</v>
      </c>
      <c r="AW821" s="21">
        <f t="shared" si="510"/>
        <v>0</v>
      </c>
      <c r="AX821" s="21">
        <f t="shared" si="510"/>
        <v>0</v>
      </c>
      <c r="AY821" s="21">
        <f t="shared" si="510"/>
        <v>0</v>
      </c>
      <c r="AZ821" s="21">
        <f t="shared" si="510"/>
        <v>0</v>
      </c>
      <c r="BA821" s="21">
        <f t="shared" si="510"/>
        <v>0</v>
      </c>
      <c r="BB821" s="21">
        <f>BB800/BB$816</f>
        <v>0</v>
      </c>
      <c r="BC821" s="21">
        <f>BC800/BC$816</f>
        <v>0</v>
      </c>
      <c r="BD821" s="21">
        <f>BD800/BD$816</f>
        <v>0</v>
      </c>
      <c r="XFD821" s="116"/>
    </row>
    <row r="822" spans="3:56 16384:16384" ht="15" customHeight="1">
      <c r="C822" s="21">
        <f t="shared" si="501"/>
        <v>0</v>
      </c>
      <c r="D822" s="11" t="str">
        <f t="shared" si="502"/>
        <v>Less: Carry loan to state</v>
      </c>
      <c r="E822" s="18" t="s">
        <v>289</v>
      </c>
      <c r="G822" s="21">
        <f t="shared" ref="G822:BA822" si="511">G801/G$816</f>
        <v>0</v>
      </c>
      <c r="H822" s="21">
        <f t="shared" si="511"/>
        <v>0</v>
      </c>
      <c r="I822" s="21">
        <f t="shared" si="511"/>
        <v>0</v>
      </c>
      <c r="J822" s="21">
        <f t="shared" si="511"/>
        <v>0</v>
      </c>
      <c r="K822" s="21">
        <f t="shared" si="511"/>
        <v>0</v>
      </c>
      <c r="L822" s="21">
        <f t="shared" si="511"/>
        <v>0</v>
      </c>
      <c r="M822" s="21">
        <f t="shared" si="511"/>
        <v>0</v>
      </c>
      <c r="N822" s="21">
        <f t="shared" si="511"/>
        <v>0</v>
      </c>
      <c r="O822" s="21">
        <f t="shared" si="511"/>
        <v>0</v>
      </c>
      <c r="P822" s="21">
        <f t="shared" si="511"/>
        <v>0</v>
      </c>
      <c r="Q822" s="21">
        <f t="shared" si="511"/>
        <v>0</v>
      </c>
      <c r="R822" s="21">
        <f t="shared" si="511"/>
        <v>0</v>
      </c>
      <c r="S822" s="21">
        <f t="shared" si="511"/>
        <v>0</v>
      </c>
      <c r="T822" s="21">
        <f t="shared" si="511"/>
        <v>0</v>
      </c>
      <c r="U822" s="21">
        <f t="shared" si="511"/>
        <v>0</v>
      </c>
      <c r="V822" s="21">
        <f t="shared" si="511"/>
        <v>0</v>
      </c>
      <c r="W822" s="21">
        <f t="shared" si="511"/>
        <v>0</v>
      </c>
      <c r="X822" s="21">
        <f t="shared" si="511"/>
        <v>0</v>
      </c>
      <c r="Y822" s="21">
        <f t="shared" si="511"/>
        <v>0</v>
      </c>
      <c r="Z822" s="21">
        <f t="shared" si="511"/>
        <v>0</v>
      </c>
      <c r="AA822" s="21">
        <f t="shared" si="511"/>
        <v>0</v>
      </c>
      <c r="AB822" s="21">
        <f t="shared" si="511"/>
        <v>0</v>
      </c>
      <c r="AC822" s="21">
        <f t="shared" si="511"/>
        <v>0</v>
      </c>
      <c r="AD822" s="21">
        <f t="shared" si="511"/>
        <v>0</v>
      </c>
      <c r="AE822" s="21">
        <f t="shared" si="511"/>
        <v>0</v>
      </c>
      <c r="AF822" s="21">
        <f t="shared" si="511"/>
        <v>0</v>
      </c>
      <c r="AG822" s="21">
        <f t="shared" si="511"/>
        <v>0</v>
      </c>
      <c r="AH822" s="21">
        <f t="shared" si="511"/>
        <v>0</v>
      </c>
      <c r="AI822" s="21">
        <f t="shared" si="511"/>
        <v>0</v>
      </c>
      <c r="AJ822" s="21">
        <f t="shared" si="511"/>
        <v>0</v>
      </c>
      <c r="AK822" s="21">
        <f t="shared" si="511"/>
        <v>0</v>
      </c>
      <c r="AL822" s="21">
        <f t="shared" si="511"/>
        <v>0</v>
      </c>
      <c r="AM822" s="21">
        <f t="shared" si="511"/>
        <v>0</v>
      </c>
      <c r="AN822" s="21">
        <f t="shared" si="511"/>
        <v>0</v>
      </c>
      <c r="AO822" s="21">
        <f t="shared" si="511"/>
        <v>0</v>
      </c>
      <c r="AP822" s="21">
        <f t="shared" si="511"/>
        <v>0</v>
      </c>
      <c r="AQ822" s="21">
        <f t="shared" si="511"/>
        <v>0</v>
      </c>
      <c r="AR822" s="21">
        <f t="shared" si="511"/>
        <v>0</v>
      </c>
      <c r="AS822" s="21">
        <f t="shared" si="511"/>
        <v>0</v>
      </c>
      <c r="AT822" s="21">
        <f t="shared" si="511"/>
        <v>0</v>
      </c>
      <c r="AU822" s="21">
        <f t="shared" si="511"/>
        <v>0</v>
      </c>
      <c r="AV822" s="21">
        <f t="shared" si="511"/>
        <v>0</v>
      </c>
      <c r="AW822" s="21">
        <f t="shared" si="511"/>
        <v>0</v>
      </c>
      <c r="AX822" s="21">
        <f t="shared" si="511"/>
        <v>0</v>
      </c>
      <c r="AY822" s="21">
        <f t="shared" si="511"/>
        <v>0</v>
      </c>
      <c r="AZ822" s="21">
        <f t="shared" si="511"/>
        <v>0</v>
      </c>
      <c r="BA822" s="21">
        <f t="shared" si="511"/>
        <v>0</v>
      </c>
      <c r="BB822" s="21">
        <f>BB801/BB$816</f>
        <v>0</v>
      </c>
      <c r="BC822" s="21">
        <f>BC801/BC$816</f>
        <v>0</v>
      </c>
      <c r="BD822" s="21">
        <f>BD801/BD$816</f>
        <v>0</v>
      </c>
    </row>
    <row r="823" spans="3:56 16384:16384" ht="15" customHeight="1">
      <c r="C823" s="21">
        <f t="shared" si="501"/>
        <v>43.7137697109493</v>
      </c>
      <c r="D823" s="11" t="str">
        <f t="shared" si="502"/>
        <v>Less: Lender net cash flow</v>
      </c>
      <c r="E823" s="18" t="s">
        <v>289</v>
      </c>
      <c r="G823" s="21">
        <f t="shared" ref="G823:BA823" si="512">G802/G$816</f>
        <v>0</v>
      </c>
      <c r="H823" s="21">
        <f t="shared" si="512"/>
        <v>0</v>
      </c>
      <c r="I823" s="21">
        <f t="shared" si="512"/>
        <v>-37.5</v>
      </c>
      <c r="J823" s="21">
        <f t="shared" si="512"/>
        <v>-150</v>
      </c>
      <c r="K823" s="21">
        <f t="shared" si="512"/>
        <v>54.159169550173011</v>
      </c>
      <c r="L823" s="21">
        <f t="shared" si="512"/>
        <v>50.063097903521275</v>
      </c>
      <c r="M823" s="21">
        <f t="shared" si="512"/>
        <v>46.106834076326777</v>
      </c>
      <c r="N823" s="21">
        <f t="shared" si="512"/>
        <v>42.28647021547998</v>
      </c>
      <c r="O823" s="21">
        <f t="shared" si="512"/>
        <v>38.598197965448257</v>
      </c>
      <c r="P823" s="21">
        <f t="shared" si="512"/>
        <v>0</v>
      </c>
      <c r="Q823" s="21">
        <f t="shared" si="512"/>
        <v>0</v>
      </c>
      <c r="R823" s="21">
        <f t="shared" si="512"/>
        <v>0</v>
      </c>
      <c r="S823" s="21">
        <f t="shared" si="512"/>
        <v>0</v>
      </c>
      <c r="T823" s="21">
        <f t="shared" si="512"/>
        <v>0</v>
      </c>
      <c r="U823" s="21">
        <f t="shared" si="512"/>
        <v>0</v>
      </c>
      <c r="V823" s="21">
        <f t="shared" si="512"/>
        <v>0</v>
      </c>
      <c r="W823" s="21">
        <f t="shared" si="512"/>
        <v>0</v>
      </c>
      <c r="X823" s="21">
        <f t="shared" si="512"/>
        <v>0</v>
      </c>
      <c r="Y823" s="21">
        <f t="shared" si="512"/>
        <v>0</v>
      </c>
      <c r="Z823" s="21">
        <f t="shared" si="512"/>
        <v>0</v>
      </c>
      <c r="AA823" s="21">
        <f t="shared" si="512"/>
        <v>0</v>
      </c>
      <c r="AB823" s="21">
        <f t="shared" si="512"/>
        <v>0</v>
      </c>
      <c r="AC823" s="21">
        <f t="shared" si="512"/>
        <v>0</v>
      </c>
      <c r="AD823" s="21">
        <f t="shared" si="512"/>
        <v>0</v>
      </c>
      <c r="AE823" s="21">
        <f t="shared" si="512"/>
        <v>0</v>
      </c>
      <c r="AF823" s="21">
        <f t="shared" si="512"/>
        <v>0</v>
      </c>
      <c r="AG823" s="21">
        <f t="shared" si="512"/>
        <v>0</v>
      </c>
      <c r="AH823" s="21">
        <f t="shared" si="512"/>
        <v>0</v>
      </c>
      <c r="AI823" s="21">
        <f t="shared" si="512"/>
        <v>0</v>
      </c>
      <c r="AJ823" s="21">
        <f t="shared" si="512"/>
        <v>0</v>
      </c>
      <c r="AK823" s="21">
        <f t="shared" si="512"/>
        <v>0</v>
      </c>
      <c r="AL823" s="21">
        <f t="shared" si="512"/>
        <v>0</v>
      </c>
      <c r="AM823" s="21">
        <f t="shared" si="512"/>
        <v>0</v>
      </c>
      <c r="AN823" s="21">
        <f t="shared" si="512"/>
        <v>0</v>
      </c>
      <c r="AO823" s="21">
        <f t="shared" si="512"/>
        <v>0</v>
      </c>
      <c r="AP823" s="21">
        <f t="shared" si="512"/>
        <v>0</v>
      </c>
      <c r="AQ823" s="21">
        <f t="shared" si="512"/>
        <v>0</v>
      </c>
      <c r="AR823" s="21">
        <f t="shared" si="512"/>
        <v>0</v>
      </c>
      <c r="AS823" s="21">
        <f t="shared" si="512"/>
        <v>0</v>
      </c>
      <c r="AT823" s="21">
        <f t="shared" si="512"/>
        <v>0</v>
      </c>
      <c r="AU823" s="21">
        <f t="shared" si="512"/>
        <v>0</v>
      </c>
      <c r="AV823" s="21">
        <f t="shared" si="512"/>
        <v>0</v>
      </c>
      <c r="AW823" s="21">
        <f t="shared" si="512"/>
        <v>0</v>
      </c>
      <c r="AX823" s="21">
        <f t="shared" si="512"/>
        <v>0</v>
      </c>
      <c r="AY823" s="21">
        <f t="shared" si="512"/>
        <v>0</v>
      </c>
      <c r="AZ823" s="21">
        <f t="shared" si="512"/>
        <v>0</v>
      </c>
      <c r="BA823" s="21">
        <f t="shared" si="512"/>
        <v>0</v>
      </c>
      <c r="BB823" s="21">
        <f t="shared" ref="BB823:BD827" si="513">BB802/BB$816</f>
        <v>0</v>
      </c>
      <c r="BC823" s="21">
        <f t="shared" si="513"/>
        <v>0</v>
      </c>
      <c r="BD823" s="21">
        <f t="shared" si="513"/>
        <v>0</v>
      </c>
    </row>
    <row r="824" spans="3:56 16384:16384" ht="15" customHeight="1">
      <c r="C824" s="21">
        <f t="shared" si="501"/>
        <v>1677.2334723031488</v>
      </c>
      <c r="D824" s="11" t="str">
        <f t="shared" si="502"/>
        <v>Less: Profit taxes</v>
      </c>
      <c r="E824" s="18" t="s">
        <v>289</v>
      </c>
      <c r="G824" s="21">
        <f t="shared" ref="G824:BA824" si="514">G803/G$816</f>
        <v>0</v>
      </c>
      <c r="H824" s="21">
        <f t="shared" si="514"/>
        <v>0</v>
      </c>
      <c r="I824" s="21">
        <f t="shared" si="514"/>
        <v>0</v>
      </c>
      <c r="J824" s="21">
        <f t="shared" si="514"/>
        <v>0</v>
      </c>
      <c r="K824" s="21">
        <f t="shared" si="514"/>
        <v>0</v>
      </c>
      <c r="L824" s="21">
        <f t="shared" si="514"/>
        <v>34.820393049614836</v>
      </c>
      <c r="M824" s="21">
        <f t="shared" si="514"/>
        <v>49.014264076671452</v>
      </c>
      <c r="N824" s="21">
        <f t="shared" si="514"/>
        <v>57.309569453550807</v>
      </c>
      <c r="O824" s="21">
        <f t="shared" si="514"/>
        <v>56.812938145355055</v>
      </c>
      <c r="P824" s="21">
        <f t="shared" si="514"/>
        <v>81.211891228834475</v>
      </c>
      <c r="Q824" s="21">
        <f t="shared" si="514"/>
        <v>81.21189122883446</v>
      </c>
      <c r="R824" s="21">
        <f t="shared" si="514"/>
        <v>81.211891228834432</v>
      </c>
      <c r="S824" s="21">
        <f t="shared" si="514"/>
        <v>81.21189122883446</v>
      </c>
      <c r="T824" s="21">
        <f t="shared" si="514"/>
        <v>81.211891228834475</v>
      </c>
      <c r="U824" s="21">
        <f t="shared" si="514"/>
        <v>81.21189122883446</v>
      </c>
      <c r="V824" s="21">
        <f t="shared" si="514"/>
        <v>81.211891228834446</v>
      </c>
      <c r="W824" s="21">
        <f t="shared" si="514"/>
        <v>81.21189122883446</v>
      </c>
      <c r="X824" s="21">
        <f t="shared" si="514"/>
        <v>81.211891228834475</v>
      </c>
      <c r="Y824" s="21">
        <f t="shared" si="514"/>
        <v>80.641073047016292</v>
      </c>
      <c r="Z824" s="21">
        <f t="shared" si="514"/>
        <v>80.63974512170131</v>
      </c>
      <c r="AA824" s="21">
        <f t="shared" si="514"/>
        <v>80.636757790468636</v>
      </c>
      <c r="AB824" s="21">
        <f t="shared" si="514"/>
        <v>80.631619230436598</v>
      </c>
      <c r="AC824" s="21">
        <f t="shared" si="514"/>
        <v>80.623557484275139</v>
      </c>
      <c r="AD824" s="21">
        <f t="shared" si="514"/>
        <v>79.732204218039385</v>
      </c>
      <c r="AE824" s="21">
        <f t="shared" si="514"/>
        <v>79.713201806486381</v>
      </c>
      <c r="AF824" s="21">
        <f t="shared" si="514"/>
        <v>79.68189811580578</v>
      </c>
      <c r="AG824" s="21">
        <f t="shared" si="514"/>
        <v>82.669090921943607</v>
      </c>
      <c r="AH824" s="21">
        <f t="shared" si="514"/>
        <v>23.400138782273267</v>
      </c>
      <c r="AI824" s="21">
        <f t="shared" si="514"/>
        <v>0</v>
      </c>
      <c r="AJ824" s="21">
        <f t="shared" si="514"/>
        <v>0</v>
      </c>
      <c r="AK824" s="21">
        <f t="shared" si="514"/>
        <v>0</v>
      </c>
      <c r="AL824" s="21">
        <f t="shared" si="514"/>
        <v>0</v>
      </c>
      <c r="AM824" s="21">
        <f t="shared" si="514"/>
        <v>0</v>
      </c>
      <c r="AN824" s="21">
        <f t="shared" si="514"/>
        <v>0</v>
      </c>
      <c r="AO824" s="21">
        <f t="shared" si="514"/>
        <v>0</v>
      </c>
      <c r="AP824" s="21">
        <f t="shared" si="514"/>
        <v>0</v>
      </c>
      <c r="AQ824" s="21">
        <f t="shared" si="514"/>
        <v>0</v>
      </c>
      <c r="AR824" s="21">
        <f t="shared" si="514"/>
        <v>0</v>
      </c>
      <c r="AS824" s="21">
        <f t="shared" si="514"/>
        <v>0</v>
      </c>
      <c r="AT824" s="21">
        <f t="shared" si="514"/>
        <v>0</v>
      </c>
      <c r="AU824" s="21">
        <f t="shared" si="514"/>
        <v>0</v>
      </c>
      <c r="AV824" s="21">
        <f t="shared" si="514"/>
        <v>0</v>
      </c>
      <c r="AW824" s="21">
        <f t="shared" si="514"/>
        <v>0</v>
      </c>
      <c r="AX824" s="21">
        <f t="shared" si="514"/>
        <v>0</v>
      </c>
      <c r="AY824" s="21">
        <f t="shared" si="514"/>
        <v>0</v>
      </c>
      <c r="AZ824" s="21">
        <f t="shared" si="514"/>
        <v>0</v>
      </c>
      <c r="BA824" s="21">
        <f t="shared" si="514"/>
        <v>0</v>
      </c>
      <c r="BB824" s="21">
        <f t="shared" si="513"/>
        <v>0</v>
      </c>
      <c r="BC824" s="21">
        <f t="shared" si="513"/>
        <v>0</v>
      </c>
      <c r="BD824" s="21">
        <f t="shared" si="513"/>
        <v>0</v>
      </c>
    </row>
    <row r="825" spans="3:56 16384:16384" ht="15" customHeight="1">
      <c r="C825" s="21">
        <f t="shared" ref="C825" si="515">SUM(G825:BD825)</f>
        <v>0</v>
      </c>
      <c r="D825" s="11" t="str">
        <f t="shared" si="502"/>
        <v>Less: Government share of loan repayments</v>
      </c>
      <c r="E825" s="18" t="s">
        <v>289</v>
      </c>
      <c r="G825" s="21">
        <f t="shared" ref="G825:BA825" si="516">G804/G$816</f>
        <v>0</v>
      </c>
      <c r="H825" s="21">
        <f t="shared" si="516"/>
        <v>0</v>
      </c>
      <c r="I825" s="21">
        <f t="shared" si="516"/>
        <v>0</v>
      </c>
      <c r="J825" s="21">
        <f t="shared" si="516"/>
        <v>0</v>
      </c>
      <c r="K825" s="21">
        <f t="shared" si="516"/>
        <v>0</v>
      </c>
      <c r="L825" s="21">
        <f t="shared" si="516"/>
        <v>0</v>
      </c>
      <c r="M825" s="21">
        <f t="shared" si="516"/>
        <v>0</v>
      </c>
      <c r="N825" s="21">
        <f t="shared" si="516"/>
        <v>0</v>
      </c>
      <c r="O825" s="21">
        <f t="shared" si="516"/>
        <v>0</v>
      </c>
      <c r="P825" s="21">
        <f t="shared" si="516"/>
        <v>0</v>
      </c>
      <c r="Q825" s="21">
        <f t="shared" si="516"/>
        <v>0</v>
      </c>
      <c r="R825" s="21">
        <f t="shared" si="516"/>
        <v>0</v>
      </c>
      <c r="S825" s="21">
        <f t="shared" si="516"/>
        <v>0</v>
      </c>
      <c r="T825" s="21">
        <f t="shared" si="516"/>
        <v>0</v>
      </c>
      <c r="U825" s="21">
        <f t="shared" si="516"/>
        <v>0</v>
      </c>
      <c r="V825" s="21">
        <f t="shared" si="516"/>
        <v>0</v>
      </c>
      <c r="W825" s="21">
        <f t="shared" si="516"/>
        <v>0</v>
      </c>
      <c r="X825" s="21">
        <f t="shared" si="516"/>
        <v>0</v>
      </c>
      <c r="Y825" s="21">
        <f t="shared" si="516"/>
        <v>0</v>
      </c>
      <c r="Z825" s="21">
        <f t="shared" si="516"/>
        <v>0</v>
      </c>
      <c r="AA825" s="21">
        <f t="shared" si="516"/>
        <v>0</v>
      </c>
      <c r="AB825" s="21">
        <f t="shared" si="516"/>
        <v>0</v>
      </c>
      <c r="AC825" s="21">
        <f t="shared" si="516"/>
        <v>0</v>
      </c>
      <c r="AD825" s="21">
        <f t="shared" si="516"/>
        <v>0</v>
      </c>
      <c r="AE825" s="21">
        <f t="shared" si="516"/>
        <v>0</v>
      </c>
      <c r="AF825" s="21">
        <f t="shared" si="516"/>
        <v>0</v>
      </c>
      <c r="AG825" s="21">
        <f t="shared" si="516"/>
        <v>0</v>
      </c>
      <c r="AH825" s="21">
        <f t="shared" si="516"/>
        <v>0</v>
      </c>
      <c r="AI825" s="21">
        <f t="shared" si="516"/>
        <v>0</v>
      </c>
      <c r="AJ825" s="21">
        <f t="shared" si="516"/>
        <v>0</v>
      </c>
      <c r="AK825" s="21">
        <f t="shared" si="516"/>
        <v>0</v>
      </c>
      <c r="AL825" s="21">
        <f t="shared" si="516"/>
        <v>0</v>
      </c>
      <c r="AM825" s="21">
        <f t="shared" si="516"/>
        <v>0</v>
      </c>
      <c r="AN825" s="21">
        <f t="shared" si="516"/>
        <v>0</v>
      </c>
      <c r="AO825" s="21">
        <f t="shared" si="516"/>
        <v>0</v>
      </c>
      <c r="AP825" s="21">
        <f t="shared" si="516"/>
        <v>0</v>
      </c>
      <c r="AQ825" s="21">
        <f t="shared" si="516"/>
        <v>0</v>
      </c>
      <c r="AR825" s="21">
        <f t="shared" si="516"/>
        <v>0</v>
      </c>
      <c r="AS825" s="21">
        <f t="shared" si="516"/>
        <v>0</v>
      </c>
      <c r="AT825" s="21">
        <f t="shared" si="516"/>
        <v>0</v>
      </c>
      <c r="AU825" s="21">
        <f t="shared" si="516"/>
        <v>0</v>
      </c>
      <c r="AV825" s="21">
        <f t="shared" si="516"/>
        <v>0</v>
      </c>
      <c r="AW825" s="21">
        <f t="shared" si="516"/>
        <v>0</v>
      </c>
      <c r="AX825" s="21">
        <f t="shared" si="516"/>
        <v>0</v>
      </c>
      <c r="AY825" s="21">
        <f t="shared" si="516"/>
        <v>0</v>
      </c>
      <c r="AZ825" s="21">
        <f t="shared" si="516"/>
        <v>0</v>
      </c>
      <c r="BA825" s="21">
        <f t="shared" si="516"/>
        <v>0</v>
      </c>
      <c r="BB825" s="21">
        <f t="shared" si="513"/>
        <v>0</v>
      </c>
      <c r="BC825" s="21">
        <f t="shared" si="513"/>
        <v>0</v>
      </c>
      <c r="BD825" s="21">
        <f t="shared" si="513"/>
        <v>0</v>
      </c>
    </row>
    <row r="826" spans="3:56 16384:16384" ht="15" customHeight="1">
      <c r="C826" s="21">
        <f t="shared" ref="C826:C827" si="517">SUM(G826:BD826)</f>
        <v>0</v>
      </c>
      <c r="D826" s="11" t="str">
        <f t="shared" si="502"/>
        <v>Less: State share of equity contribution repayments with incorporated JV</v>
      </c>
      <c r="E826" s="18" t="s">
        <v>289</v>
      </c>
      <c r="G826" s="21">
        <f t="shared" ref="G826:BA826" si="518">G805/G$816</f>
        <v>0</v>
      </c>
      <c r="H826" s="21">
        <f t="shared" si="518"/>
        <v>0</v>
      </c>
      <c r="I826" s="21">
        <f t="shared" si="518"/>
        <v>0</v>
      </c>
      <c r="J826" s="21">
        <f t="shared" si="518"/>
        <v>0</v>
      </c>
      <c r="K826" s="21">
        <f t="shared" si="518"/>
        <v>0</v>
      </c>
      <c r="L826" s="21">
        <f t="shared" si="518"/>
        <v>0</v>
      </c>
      <c r="M826" s="21">
        <f t="shared" si="518"/>
        <v>0</v>
      </c>
      <c r="N826" s="21">
        <f t="shared" si="518"/>
        <v>0</v>
      </c>
      <c r="O826" s="21">
        <f t="shared" si="518"/>
        <v>0</v>
      </c>
      <c r="P826" s="21">
        <f t="shared" si="518"/>
        <v>0</v>
      </c>
      <c r="Q826" s="21">
        <f t="shared" si="518"/>
        <v>0</v>
      </c>
      <c r="R826" s="21">
        <f t="shared" si="518"/>
        <v>0</v>
      </c>
      <c r="S826" s="21">
        <f t="shared" si="518"/>
        <v>0</v>
      </c>
      <c r="T826" s="21">
        <f t="shared" si="518"/>
        <v>0</v>
      </c>
      <c r="U826" s="21">
        <f t="shared" si="518"/>
        <v>0</v>
      </c>
      <c r="V826" s="21">
        <f t="shared" si="518"/>
        <v>0</v>
      </c>
      <c r="W826" s="21">
        <f t="shared" si="518"/>
        <v>0</v>
      </c>
      <c r="X826" s="21">
        <f t="shared" si="518"/>
        <v>0</v>
      </c>
      <c r="Y826" s="21">
        <f t="shared" si="518"/>
        <v>0</v>
      </c>
      <c r="Z826" s="21">
        <f t="shared" si="518"/>
        <v>0</v>
      </c>
      <c r="AA826" s="21">
        <f t="shared" si="518"/>
        <v>0</v>
      </c>
      <c r="AB826" s="21">
        <f t="shared" si="518"/>
        <v>0</v>
      </c>
      <c r="AC826" s="21">
        <f t="shared" si="518"/>
        <v>0</v>
      </c>
      <c r="AD826" s="21">
        <f t="shared" si="518"/>
        <v>0</v>
      </c>
      <c r="AE826" s="21">
        <f t="shared" si="518"/>
        <v>0</v>
      </c>
      <c r="AF826" s="21">
        <f t="shared" si="518"/>
        <v>0</v>
      </c>
      <c r="AG826" s="21">
        <f t="shared" si="518"/>
        <v>0</v>
      </c>
      <c r="AH826" s="21">
        <f t="shared" si="518"/>
        <v>0</v>
      </c>
      <c r="AI826" s="21">
        <f t="shared" si="518"/>
        <v>0</v>
      </c>
      <c r="AJ826" s="21">
        <f t="shared" si="518"/>
        <v>0</v>
      </c>
      <c r="AK826" s="21">
        <f t="shared" si="518"/>
        <v>0</v>
      </c>
      <c r="AL826" s="21">
        <f t="shared" si="518"/>
        <v>0</v>
      </c>
      <c r="AM826" s="21">
        <f t="shared" si="518"/>
        <v>0</v>
      </c>
      <c r="AN826" s="21">
        <f t="shared" si="518"/>
        <v>0</v>
      </c>
      <c r="AO826" s="21">
        <f t="shared" si="518"/>
        <v>0</v>
      </c>
      <c r="AP826" s="21">
        <f t="shared" si="518"/>
        <v>0</v>
      </c>
      <c r="AQ826" s="21">
        <f t="shared" si="518"/>
        <v>0</v>
      </c>
      <c r="AR826" s="21">
        <f t="shared" si="518"/>
        <v>0</v>
      </c>
      <c r="AS826" s="21">
        <f t="shared" si="518"/>
        <v>0</v>
      </c>
      <c r="AT826" s="21">
        <f t="shared" si="518"/>
        <v>0</v>
      </c>
      <c r="AU826" s="21">
        <f t="shared" si="518"/>
        <v>0</v>
      </c>
      <c r="AV826" s="21">
        <f t="shared" si="518"/>
        <v>0</v>
      </c>
      <c r="AW826" s="21">
        <f t="shared" si="518"/>
        <v>0</v>
      </c>
      <c r="AX826" s="21">
        <f t="shared" si="518"/>
        <v>0</v>
      </c>
      <c r="AY826" s="21">
        <f t="shared" si="518"/>
        <v>0</v>
      </c>
      <c r="AZ826" s="21">
        <f t="shared" si="518"/>
        <v>0</v>
      </c>
      <c r="BA826" s="21">
        <f t="shared" si="518"/>
        <v>0</v>
      </c>
      <c r="BB826" s="21">
        <f t="shared" si="513"/>
        <v>0</v>
      </c>
      <c r="BC826" s="21">
        <f t="shared" si="513"/>
        <v>0</v>
      </c>
      <c r="BD826" s="21">
        <f t="shared" si="513"/>
        <v>0</v>
      </c>
    </row>
    <row r="827" spans="3:56 16384:16384" ht="15" customHeight="1">
      <c r="C827" s="21">
        <f t="shared" si="517"/>
        <v>517.43884309972077</v>
      </c>
      <c r="D827" s="11" t="str">
        <f t="shared" si="502"/>
        <v>Less: State dividends with incorporated JV</v>
      </c>
      <c r="E827" s="18" t="s">
        <v>289</v>
      </c>
      <c r="G827" s="21">
        <f t="shared" ref="G827:BA827" si="519">G806/G$816</f>
        <v>0</v>
      </c>
      <c r="H827" s="21">
        <f t="shared" si="519"/>
        <v>0</v>
      </c>
      <c r="I827" s="21">
        <f t="shared" si="519"/>
        <v>0</v>
      </c>
      <c r="J827" s="21">
        <f t="shared" si="519"/>
        <v>0</v>
      </c>
      <c r="K827" s="21">
        <f t="shared" si="519"/>
        <v>0</v>
      </c>
      <c r="L827" s="21">
        <f t="shared" si="519"/>
        <v>0</v>
      </c>
      <c r="M827" s="21">
        <f t="shared" si="519"/>
        <v>4.4556994639287035</v>
      </c>
      <c r="N827" s="21">
        <f t="shared" si="519"/>
        <v>21.933442852571041</v>
      </c>
      <c r="O827" s="21">
        <f t="shared" si="519"/>
        <v>22.664430373658821</v>
      </c>
      <c r="P827" s="21">
        <f t="shared" si="519"/>
        <v>25.144647820290935</v>
      </c>
      <c r="Q827" s="21">
        <f t="shared" si="519"/>
        <v>25.144647820290942</v>
      </c>
      <c r="R827" s="21">
        <f t="shared" si="519"/>
        <v>25.144647820290928</v>
      </c>
      <c r="S827" s="21">
        <f t="shared" si="519"/>
        <v>25.144647820290938</v>
      </c>
      <c r="T827" s="21">
        <f t="shared" si="519"/>
        <v>25.144647820290935</v>
      </c>
      <c r="U827" s="21">
        <f t="shared" si="519"/>
        <v>25.144647820290931</v>
      </c>
      <c r="V827" s="21">
        <f t="shared" si="519"/>
        <v>25.144647820290931</v>
      </c>
      <c r="W827" s="21">
        <f t="shared" si="519"/>
        <v>25.144647820290935</v>
      </c>
      <c r="X827" s="21">
        <f t="shared" si="519"/>
        <v>25.144647820290942</v>
      </c>
      <c r="Y827" s="21">
        <f t="shared" si="519"/>
        <v>24.966466002109126</v>
      </c>
      <c r="Z827" s="21">
        <f t="shared" si="519"/>
        <v>24.966051488075454</v>
      </c>
      <c r="AA827" s="21">
        <f t="shared" si="519"/>
        <v>24.965118987802153</v>
      </c>
      <c r="AB827" s="21">
        <f t="shared" si="519"/>
        <v>24.963514977981678</v>
      </c>
      <c r="AC827" s="21">
        <f t="shared" si="519"/>
        <v>24.960998490885583</v>
      </c>
      <c r="AD827" s="21">
        <f t="shared" si="519"/>
        <v>24.682761127958038</v>
      </c>
      <c r="AE827" s="21">
        <f t="shared" si="519"/>
        <v>24.676829494474362</v>
      </c>
      <c r="AF827" s="21">
        <f t="shared" si="519"/>
        <v>24.667057996826014</v>
      </c>
      <c r="AG827" s="21">
        <f t="shared" si="519"/>
        <v>27.739983287482197</v>
      </c>
      <c r="AH827" s="21">
        <f t="shared" si="519"/>
        <v>15.494658173349142</v>
      </c>
      <c r="AI827" s="21">
        <f t="shared" si="519"/>
        <v>0</v>
      </c>
      <c r="AJ827" s="21">
        <f t="shared" si="519"/>
        <v>0</v>
      </c>
      <c r="AK827" s="21">
        <f t="shared" si="519"/>
        <v>0</v>
      </c>
      <c r="AL827" s="21">
        <f t="shared" si="519"/>
        <v>0</v>
      </c>
      <c r="AM827" s="21">
        <f t="shared" si="519"/>
        <v>0</v>
      </c>
      <c r="AN827" s="21">
        <f t="shared" si="519"/>
        <v>0</v>
      </c>
      <c r="AO827" s="21">
        <f t="shared" si="519"/>
        <v>0</v>
      </c>
      <c r="AP827" s="21">
        <f t="shared" si="519"/>
        <v>0</v>
      </c>
      <c r="AQ827" s="21">
        <f t="shared" si="519"/>
        <v>0</v>
      </c>
      <c r="AR827" s="21">
        <f t="shared" si="519"/>
        <v>0</v>
      </c>
      <c r="AS827" s="21">
        <f t="shared" si="519"/>
        <v>0</v>
      </c>
      <c r="AT827" s="21">
        <f t="shared" si="519"/>
        <v>0</v>
      </c>
      <c r="AU827" s="21">
        <f t="shared" si="519"/>
        <v>0</v>
      </c>
      <c r="AV827" s="21">
        <f t="shared" si="519"/>
        <v>0</v>
      </c>
      <c r="AW827" s="21">
        <f t="shared" si="519"/>
        <v>0</v>
      </c>
      <c r="AX827" s="21">
        <f t="shared" si="519"/>
        <v>0</v>
      </c>
      <c r="AY827" s="21">
        <f t="shared" si="519"/>
        <v>0</v>
      </c>
      <c r="AZ827" s="21">
        <f t="shared" si="519"/>
        <v>0</v>
      </c>
      <c r="BA827" s="21">
        <f t="shared" si="519"/>
        <v>0</v>
      </c>
      <c r="BB827" s="21">
        <f t="shared" si="513"/>
        <v>0</v>
      </c>
      <c r="BC827" s="21">
        <f t="shared" si="513"/>
        <v>0</v>
      </c>
      <c r="BD827" s="21">
        <f t="shared" si="513"/>
        <v>0</v>
      </c>
    </row>
    <row r="828" spans="3:56 16384:16384" ht="15" customHeight="1">
      <c r="C828" s="21">
        <f t="shared" si="501"/>
        <v>2430.1717779118221</v>
      </c>
      <c r="D828" s="11" t="str">
        <f t="shared" si="502"/>
        <v>Contractor post-tax cash flow</v>
      </c>
      <c r="E828" s="18" t="s">
        <v>289</v>
      </c>
      <c r="G828" s="21">
        <f t="shared" ref="G828:AL828" si="520">SUM(G817:G820)-SUM(G821:G827)</f>
        <v>-20</v>
      </c>
      <c r="H828" s="21">
        <f t="shared" si="520"/>
        <v>-20</v>
      </c>
      <c r="I828" s="21">
        <f t="shared" si="520"/>
        <v>-40.3125</v>
      </c>
      <c r="J828" s="21">
        <f t="shared" si="520"/>
        <v>-161.25</v>
      </c>
      <c r="K828" s="21">
        <f t="shared" si="520"/>
        <v>-17.686669550172979</v>
      </c>
      <c r="L828" s="21">
        <f t="shared" si="520"/>
        <v>140.2815090468639</v>
      </c>
      <c r="M828" s="21">
        <f t="shared" si="520"/>
        <v>125.58820238307317</v>
      </c>
      <c r="N828" s="21">
        <f t="shared" si="520"/>
        <v>103.63551747839819</v>
      </c>
      <c r="O828" s="21">
        <f t="shared" si="520"/>
        <v>107.08943351553791</v>
      </c>
      <c r="P828" s="21">
        <f t="shared" si="520"/>
        <v>118.80846095087469</v>
      </c>
      <c r="Q828" s="21">
        <f t="shared" si="520"/>
        <v>118.80846095087463</v>
      </c>
      <c r="R828" s="21">
        <f t="shared" si="520"/>
        <v>118.80846095087469</v>
      </c>
      <c r="S828" s="21">
        <f t="shared" si="520"/>
        <v>118.80846095087463</v>
      </c>
      <c r="T828" s="21">
        <f t="shared" si="520"/>
        <v>118.80846095087469</v>
      </c>
      <c r="U828" s="21">
        <f t="shared" si="520"/>
        <v>118.80846095087463</v>
      </c>
      <c r="V828" s="21">
        <f t="shared" si="520"/>
        <v>118.80846095087469</v>
      </c>
      <c r="W828" s="21">
        <f t="shared" si="520"/>
        <v>118.80846095087463</v>
      </c>
      <c r="X828" s="21">
        <f t="shared" si="520"/>
        <v>118.80846095087463</v>
      </c>
      <c r="Y828" s="21">
        <f t="shared" si="520"/>
        <v>117.96655185996553</v>
      </c>
      <c r="Z828" s="21">
        <f t="shared" si="520"/>
        <v>117.96459328115651</v>
      </c>
      <c r="AA828" s="21">
        <f t="shared" si="520"/>
        <v>117.96018721736516</v>
      </c>
      <c r="AB828" s="21">
        <f t="shared" si="520"/>
        <v>117.95260827096337</v>
      </c>
      <c r="AC828" s="21">
        <f t="shared" si="520"/>
        <v>117.94071786943431</v>
      </c>
      <c r="AD828" s="21">
        <f t="shared" si="520"/>
        <v>116.62604632960176</v>
      </c>
      <c r="AE828" s="21">
        <f t="shared" si="520"/>
        <v>116.59801936139138</v>
      </c>
      <c r="AF828" s="21">
        <f t="shared" si="520"/>
        <v>116.55184903500293</v>
      </c>
      <c r="AG828" s="21">
        <f t="shared" si="520"/>
        <v>131.07142103335337</v>
      </c>
      <c r="AH828" s="21">
        <f t="shared" si="520"/>
        <v>73.212259869074728</v>
      </c>
      <c r="AI828" s="21">
        <f t="shared" si="520"/>
        <v>-0.29411764705882637</v>
      </c>
      <c r="AJ828" s="21">
        <f t="shared" si="520"/>
        <v>0</v>
      </c>
      <c r="AK828" s="21">
        <f t="shared" si="520"/>
        <v>0</v>
      </c>
      <c r="AL828" s="21">
        <f t="shared" si="520"/>
        <v>0</v>
      </c>
      <c r="AM828" s="21">
        <f t="shared" ref="AM828:BD828" si="521">SUM(AM817:AM820)-SUM(AM821:AM827)</f>
        <v>0</v>
      </c>
      <c r="AN828" s="21">
        <f t="shared" si="521"/>
        <v>0</v>
      </c>
      <c r="AO828" s="21">
        <f t="shared" si="521"/>
        <v>0</v>
      </c>
      <c r="AP828" s="21">
        <f t="shared" si="521"/>
        <v>0</v>
      </c>
      <c r="AQ828" s="21">
        <f t="shared" si="521"/>
        <v>0</v>
      </c>
      <c r="AR828" s="21">
        <f t="shared" si="521"/>
        <v>0</v>
      </c>
      <c r="AS828" s="21">
        <f t="shared" si="521"/>
        <v>0</v>
      </c>
      <c r="AT828" s="21">
        <f t="shared" si="521"/>
        <v>0</v>
      </c>
      <c r="AU828" s="21">
        <f t="shared" si="521"/>
        <v>0</v>
      </c>
      <c r="AV828" s="21">
        <f t="shared" si="521"/>
        <v>0</v>
      </c>
      <c r="AW828" s="21">
        <f t="shared" si="521"/>
        <v>0</v>
      </c>
      <c r="AX828" s="21">
        <f t="shared" si="521"/>
        <v>0</v>
      </c>
      <c r="AY828" s="21">
        <f t="shared" si="521"/>
        <v>0</v>
      </c>
      <c r="AZ828" s="21">
        <f t="shared" si="521"/>
        <v>0</v>
      </c>
      <c r="BA828" s="21">
        <f t="shared" si="521"/>
        <v>0</v>
      </c>
      <c r="BB828" s="21">
        <f t="shared" si="521"/>
        <v>0</v>
      </c>
      <c r="BC828" s="21">
        <f t="shared" si="521"/>
        <v>0</v>
      </c>
      <c r="BD828" s="21">
        <f t="shared" si="521"/>
        <v>0</v>
      </c>
    </row>
    <row r="829" spans="3:56 16384:16384" ht="15" customHeight="1">
      <c r="C829" s="44">
        <f>IFERROR(IRR(G828:BD828),0)</f>
        <v>0.30436580155902648</v>
      </c>
      <c r="D829" s="11" t="str">
        <f t="shared" si="502"/>
        <v>Contractor post-tax IRR</v>
      </c>
      <c r="E829" s="18"/>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row>
    <row r="830" spans="3:56 16384:16384" ht="15" customHeight="1">
      <c r="C830" s="44"/>
      <c r="E830" s="18"/>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row>
    <row r="831" spans="3:56 16384:16384" ht="15" customHeight="1">
      <c r="C831" s="21">
        <f t="shared" ref="C831" si="522">SUM(G831:BD831)</f>
        <v>2430.1717779118221</v>
      </c>
      <c r="D831" s="11" t="s">
        <v>677</v>
      </c>
      <c r="E831" s="18" t="s">
        <v>289</v>
      </c>
      <c r="G831" s="21">
        <f>G828 + IF($E$791 = 2, G823 * Inputs!$E$196, 0)</f>
        <v>-20</v>
      </c>
      <c r="H831" s="21">
        <f>H828 + IF($E$791 = 2, H823 * Inputs!$E$196, 0)</f>
        <v>-20</v>
      </c>
      <c r="I831" s="21">
        <f>I828 + IF($E$791 = 2, I823 * Inputs!$E$196, 0)</f>
        <v>-40.3125</v>
      </c>
      <c r="J831" s="21">
        <f>J828 + IF($E$791 = 2, J823 * Inputs!$E$196, 0)</f>
        <v>-161.25</v>
      </c>
      <c r="K831" s="21">
        <f>K828 + IF($E$791 = 2, K823 * Inputs!$E$196, 0)</f>
        <v>-17.686669550172979</v>
      </c>
      <c r="L831" s="21">
        <f>L828 + IF($E$791 = 2, L823 * Inputs!$E$196, 0)</f>
        <v>140.2815090468639</v>
      </c>
      <c r="M831" s="21">
        <f>M828 + IF($E$791 = 2, M823 * Inputs!$E$196, 0)</f>
        <v>125.58820238307317</v>
      </c>
      <c r="N831" s="21">
        <f>N828 + IF($E$791 = 2, N823 * Inputs!$E$196, 0)</f>
        <v>103.63551747839819</v>
      </c>
      <c r="O831" s="21">
        <f>O828 + IF($E$791 = 2, O823 * Inputs!$E$196, 0)</f>
        <v>107.08943351553791</v>
      </c>
      <c r="P831" s="21">
        <f>P828 + IF($E$791 = 2, P823 * Inputs!$E$196, 0)</f>
        <v>118.80846095087469</v>
      </c>
      <c r="Q831" s="21">
        <f>Q828 + IF($E$791 = 2, Q823 * Inputs!$E$196, 0)</f>
        <v>118.80846095087463</v>
      </c>
      <c r="R831" s="21">
        <f>R828 + IF($E$791 = 2, R823 * Inputs!$E$196, 0)</f>
        <v>118.80846095087469</v>
      </c>
      <c r="S831" s="21">
        <f>S828 + IF($E$791 = 2, S823 * Inputs!$E$196, 0)</f>
        <v>118.80846095087463</v>
      </c>
      <c r="T831" s="21">
        <f>T828 + IF($E$791 = 2, T823 * Inputs!$E$196, 0)</f>
        <v>118.80846095087469</v>
      </c>
      <c r="U831" s="21">
        <f>U828 + IF($E$791 = 2, U823 * Inputs!$E$196, 0)</f>
        <v>118.80846095087463</v>
      </c>
      <c r="V831" s="21">
        <f>V828 + IF($E$791 = 2, V823 * Inputs!$E$196, 0)</f>
        <v>118.80846095087469</v>
      </c>
      <c r="W831" s="21">
        <f>W828 + IF($E$791 = 2, W823 * Inputs!$E$196, 0)</f>
        <v>118.80846095087463</v>
      </c>
      <c r="X831" s="21">
        <f>X828 + IF($E$791 = 2, X823 * Inputs!$E$196, 0)</f>
        <v>118.80846095087463</v>
      </c>
      <c r="Y831" s="21">
        <f>Y828 + IF($E$791 = 2, Y823 * Inputs!$E$196, 0)</f>
        <v>117.96655185996553</v>
      </c>
      <c r="Z831" s="21">
        <f>Z828 + IF($E$791 = 2, Z823 * Inputs!$E$196, 0)</f>
        <v>117.96459328115651</v>
      </c>
      <c r="AA831" s="21">
        <f>AA828 + IF($E$791 = 2, AA823 * Inputs!$E$196, 0)</f>
        <v>117.96018721736516</v>
      </c>
      <c r="AB831" s="21">
        <f>AB828 + IF($E$791 = 2, AB823 * Inputs!$E$196, 0)</f>
        <v>117.95260827096337</v>
      </c>
      <c r="AC831" s="21">
        <f>AC828 + IF($E$791 = 2, AC823 * Inputs!$E$196, 0)</f>
        <v>117.94071786943431</v>
      </c>
      <c r="AD831" s="21">
        <f>AD828 + IF($E$791 = 2, AD823 * Inputs!$E$196, 0)</f>
        <v>116.62604632960176</v>
      </c>
      <c r="AE831" s="21">
        <f>AE828 + IF($E$791 = 2, AE823 * Inputs!$E$196, 0)</f>
        <v>116.59801936139138</v>
      </c>
      <c r="AF831" s="21">
        <f>AF828 + IF($E$791 = 2, AF823 * Inputs!$E$196, 0)</f>
        <v>116.55184903500293</v>
      </c>
      <c r="AG831" s="21">
        <f>AG828 + IF($E$791 = 2, AG823 * Inputs!$E$196, 0)</f>
        <v>131.07142103335337</v>
      </c>
      <c r="AH831" s="21">
        <f>AH828 + IF($E$791 = 2, AH823 * Inputs!$E$196, 0)</f>
        <v>73.212259869074728</v>
      </c>
      <c r="AI831" s="21">
        <f>AI828 + IF($E$791 = 2, AI823 * Inputs!$E$196, 0)</f>
        <v>-0.29411764705882637</v>
      </c>
      <c r="AJ831" s="21">
        <f>AJ828 + IF($E$791 = 2, AJ823 * Inputs!$E$196, 0)</f>
        <v>0</v>
      </c>
      <c r="AK831" s="21">
        <f>AK828 + IF($E$791 = 2, AK823 * Inputs!$E$196, 0)</f>
        <v>0</v>
      </c>
      <c r="AL831" s="21">
        <f>AL828 + IF($E$791 = 2, AL823 * Inputs!$E$196, 0)</f>
        <v>0</v>
      </c>
      <c r="AM831" s="21">
        <f>AM828 + IF($E$791 = 2, AM823 * Inputs!$E$196, 0)</f>
        <v>0</v>
      </c>
      <c r="AN831" s="21">
        <f>AN828 + IF($E$791 = 2, AN823 * Inputs!$E$196, 0)</f>
        <v>0</v>
      </c>
      <c r="AO831" s="21">
        <f>AO828 + IF($E$791 = 2, AO823 * Inputs!$E$196, 0)</f>
        <v>0</v>
      </c>
      <c r="AP831" s="21">
        <f>AP828 + IF($E$791 = 2, AP823 * Inputs!$E$196, 0)</f>
        <v>0</v>
      </c>
      <c r="AQ831" s="21">
        <f>AQ828 + IF($E$791 = 2, AQ823 * Inputs!$E$196, 0)</f>
        <v>0</v>
      </c>
      <c r="AR831" s="21">
        <f>AR828 + IF($E$791 = 2, AR823 * Inputs!$E$196, 0)</f>
        <v>0</v>
      </c>
      <c r="AS831" s="21">
        <f>AS828 + IF($E$791 = 2, AS823 * Inputs!$E$196, 0)</f>
        <v>0</v>
      </c>
      <c r="AT831" s="21">
        <f>AT828 + IF($E$791 = 2, AT823 * Inputs!$E$196, 0)</f>
        <v>0</v>
      </c>
      <c r="AU831" s="21">
        <f>AU828 + IF($E$791 = 2, AU823 * Inputs!$E$196, 0)</f>
        <v>0</v>
      </c>
      <c r="AV831" s="21">
        <f>AV828 + IF($E$791 = 2, AV823 * Inputs!$E$196, 0)</f>
        <v>0</v>
      </c>
      <c r="AW831" s="21">
        <f>AW828 + IF($E$791 = 2, AW823 * Inputs!$E$196, 0)</f>
        <v>0</v>
      </c>
      <c r="AX831" s="21">
        <f>AX828 + IF($E$791 = 2, AX823 * Inputs!$E$196, 0)</f>
        <v>0</v>
      </c>
      <c r="AY831" s="21">
        <f>AY828 + IF($E$791 = 2, AY823 * Inputs!$E$196, 0)</f>
        <v>0</v>
      </c>
      <c r="AZ831" s="21">
        <f>AZ828 + IF($E$791 = 2, AZ823 * Inputs!$E$196, 0)</f>
        <v>0</v>
      </c>
      <c r="BA831" s="21">
        <f>BA828 + IF($E$791 = 2, BA823 * Inputs!$E$196, 0)</f>
        <v>0</v>
      </c>
      <c r="BB831" s="21">
        <f>BB828 + IF($E$791 = 2, BB823 * Inputs!$E$196, 0)</f>
        <v>0</v>
      </c>
      <c r="BC831" s="21">
        <f>BC828 + IF($E$791 = 2, BC823 * Inputs!$E$196, 0)</f>
        <v>0</v>
      </c>
      <c r="BD831" s="21">
        <f>BD828 + IF($E$791 = 2, BD823 * Inputs!$E$196, 0)</f>
        <v>0</v>
      </c>
    </row>
    <row r="832" spans="3:56 16384:16384" ht="15" customHeight="1">
      <c r="C832" s="44">
        <f>IFERROR(IRR(G831:BD831),0)</f>
        <v>0.30436580155902648</v>
      </c>
      <c r="D832" s="11" t="s">
        <v>678</v>
      </c>
      <c r="E832" s="18"/>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row>
    <row r="833" spans="1:57" ht="15" customHeight="1">
      <c r="C833" s="44"/>
      <c r="E833" s="18"/>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row>
    <row r="834" spans="1:57" ht="15" customHeight="1">
      <c r="C834" s="21">
        <f>SUM(G834:BD834)</f>
        <v>1.6671369743599627</v>
      </c>
      <c r="D834" s="11" t="str">
        <f>D813</f>
        <v>Decommissioning cash flow</v>
      </c>
      <c r="E834" s="18" t="s">
        <v>289</v>
      </c>
      <c r="G834" s="21">
        <f t="shared" ref="G834:AL834" si="523">G813/G$816</f>
        <v>0</v>
      </c>
      <c r="H834" s="21">
        <f t="shared" si="523"/>
        <v>0</v>
      </c>
      <c r="I834" s="21">
        <f t="shared" si="523"/>
        <v>0</v>
      </c>
      <c r="J834" s="21">
        <f t="shared" si="523"/>
        <v>0</v>
      </c>
      <c r="K834" s="21">
        <f t="shared" si="523"/>
        <v>0</v>
      </c>
      <c r="L834" s="21">
        <f t="shared" si="523"/>
        <v>0</v>
      </c>
      <c r="M834" s="21">
        <f t="shared" si="523"/>
        <v>0</v>
      </c>
      <c r="N834" s="21">
        <f t="shared" si="523"/>
        <v>0</v>
      </c>
      <c r="O834" s="21">
        <f t="shared" si="523"/>
        <v>0</v>
      </c>
      <c r="P834" s="21">
        <f t="shared" si="523"/>
        <v>0</v>
      </c>
      <c r="Q834" s="21">
        <f t="shared" si="523"/>
        <v>0</v>
      </c>
      <c r="R834" s="21">
        <f t="shared" si="523"/>
        <v>0</v>
      </c>
      <c r="S834" s="21">
        <f t="shared" si="523"/>
        <v>0</v>
      </c>
      <c r="T834" s="21">
        <f t="shared" si="523"/>
        <v>0</v>
      </c>
      <c r="U834" s="21">
        <f t="shared" si="523"/>
        <v>0</v>
      </c>
      <c r="V834" s="21">
        <f t="shared" si="523"/>
        <v>0</v>
      </c>
      <c r="W834" s="21">
        <f t="shared" si="523"/>
        <v>0</v>
      </c>
      <c r="X834" s="21">
        <f t="shared" si="523"/>
        <v>0</v>
      </c>
      <c r="Y834" s="21">
        <f t="shared" si="523"/>
        <v>1.5909090909090911</v>
      </c>
      <c r="Z834" s="21">
        <f t="shared" si="523"/>
        <v>1.5946101090667393</v>
      </c>
      <c r="AA834" s="21">
        <f t="shared" si="523"/>
        <v>1.6029360043640732</v>
      </c>
      <c r="AB834" s="21">
        <f t="shared" si="523"/>
        <v>1.6172575206183724</v>
      </c>
      <c r="AC834" s="21">
        <f t="shared" si="523"/>
        <v>1.6397261554050089</v>
      </c>
      <c r="AD834" s="21">
        <f t="shared" si="523"/>
        <v>1.6739883244008629</v>
      </c>
      <c r="AE834" s="21">
        <f t="shared" si="523"/>
        <v>1.7269493376479048</v>
      </c>
      <c r="AF834" s="21">
        <f t="shared" si="523"/>
        <v>1.8141948523653044</v>
      </c>
      <c r="AG834" s="21">
        <f t="shared" si="523"/>
        <v>1.9845047572208878</v>
      </c>
      <c r="AH834" s="21">
        <f t="shared" si="523"/>
        <v>1.1279431753028912</v>
      </c>
      <c r="AI834" s="21">
        <f t="shared" si="523"/>
        <v>-14.705882352941174</v>
      </c>
      <c r="AJ834" s="21">
        <f t="shared" si="523"/>
        <v>0</v>
      </c>
      <c r="AK834" s="21">
        <f t="shared" si="523"/>
        <v>0</v>
      </c>
      <c r="AL834" s="21">
        <f t="shared" si="523"/>
        <v>0</v>
      </c>
      <c r="AM834" s="21">
        <f t="shared" ref="AM834:BD834" si="524">AM813/AM$816</f>
        <v>0</v>
      </c>
      <c r="AN834" s="21">
        <f t="shared" si="524"/>
        <v>0</v>
      </c>
      <c r="AO834" s="21">
        <f t="shared" si="524"/>
        <v>0</v>
      </c>
      <c r="AP834" s="21">
        <f t="shared" si="524"/>
        <v>0</v>
      </c>
      <c r="AQ834" s="21">
        <f t="shared" si="524"/>
        <v>0</v>
      </c>
      <c r="AR834" s="21">
        <f t="shared" si="524"/>
        <v>0</v>
      </c>
      <c r="AS834" s="21">
        <f t="shared" si="524"/>
        <v>0</v>
      </c>
      <c r="AT834" s="21">
        <f t="shared" si="524"/>
        <v>0</v>
      </c>
      <c r="AU834" s="21">
        <f t="shared" si="524"/>
        <v>0</v>
      </c>
      <c r="AV834" s="21">
        <f t="shared" si="524"/>
        <v>0</v>
      </c>
      <c r="AW834" s="21">
        <f t="shared" si="524"/>
        <v>0</v>
      </c>
      <c r="AX834" s="21">
        <f t="shared" si="524"/>
        <v>0</v>
      </c>
      <c r="AY834" s="21">
        <f t="shared" si="524"/>
        <v>0</v>
      </c>
      <c r="AZ834" s="21">
        <f t="shared" si="524"/>
        <v>0</v>
      </c>
      <c r="BA834" s="21">
        <f t="shared" si="524"/>
        <v>0</v>
      </c>
      <c r="BB834" s="21">
        <f t="shared" si="524"/>
        <v>0</v>
      </c>
      <c r="BC834" s="21">
        <f t="shared" si="524"/>
        <v>0</v>
      </c>
      <c r="BD834" s="21">
        <f t="shared" si="524"/>
        <v>0</v>
      </c>
    </row>
    <row r="835" spans="1:57" ht="15" customHeight="1">
      <c r="C835" s="21"/>
      <c r="E835" s="18"/>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row>
    <row r="836" spans="1:57" ht="15" customHeight="1">
      <c r="C836" s="21"/>
      <c r="D836" s="9" t="s">
        <v>682</v>
      </c>
      <c r="E836" s="18"/>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row>
    <row r="837" spans="1:57" ht="15" customHeight="1">
      <c r="C837" s="21">
        <f>SUM(G837:BD837)</f>
        <v>2430.1717779118221</v>
      </c>
      <c r="D837" s="11" t="s">
        <v>675</v>
      </c>
      <c r="E837" s="18" t="s">
        <v>289</v>
      </c>
      <c r="G837" s="21">
        <f>G828</f>
        <v>-20</v>
      </c>
      <c r="H837" s="21">
        <f t="shared" ref="H837:AL837" si="525">H828</f>
        <v>-20</v>
      </c>
      <c r="I837" s="21">
        <f t="shared" si="525"/>
        <v>-40.3125</v>
      </c>
      <c r="J837" s="21">
        <f t="shared" si="525"/>
        <v>-161.25</v>
      </c>
      <c r="K837" s="21">
        <f t="shared" si="525"/>
        <v>-17.686669550172979</v>
      </c>
      <c r="L837" s="21">
        <f t="shared" si="525"/>
        <v>140.2815090468639</v>
      </c>
      <c r="M837" s="21">
        <f t="shared" si="525"/>
        <v>125.58820238307317</v>
      </c>
      <c r="N837" s="21">
        <f t="shared" si="525"/>
        <v>103.63551747839819</v>
      </c>
      <c r="O837" s="21">
        <f t="shared" si="525"/>
        <v>107.08943351553791</v>
      </c>
      <c r="P837" s="21">
        <f t="shared" si="525"/>
        <v>118.80846095087469</v>
      </c>
      <c r="Q837" s="21">
        <f t="shared" si="525"/>
        <v>118.80846095087463</v>
      </c>
      <c r="R837" s="21">
        <f t="shared" si="525"/>
        <v>118.80846095087469</v>
      </c>
      <c r="S837" s="21">
        <f t="shared" si="525"/>
        <v>118.80846095087463</v>
      </c>
      <c r="T837" s="21">
        <f t="shared" si="525"/>
        <v>118.80846095087469</v>
      </c>
      <c r="U837" s="21">
        <f t="shared" si="525"/>
        <v>118.80846095087463</v>
      </c>
      <c r="V837" s="21">
        <f t="shared" si="525"/>
        <v>118.80846095087469</v>
      </c>
      <c r="W837" s="21">
        <f t="shared" si="525"/>
        <v>118.80846095087463</v>
      </c>
      <c r="X837" s="21">
        <f t="shared" si="525"/>
        <v>118.80846095087463</v>
      </c>
      <c r="Y837" s="21">
        <f t="shared" si="525"/>
        <v>117.96655185996553</v>
      </c>
      <c r="Z837" s="21">
        <f t="shared" si="525"/>
        <v>117.96459328115651</v>
      </c>
      <c r="AA837" s="21">
        <f t="shared" si="525"/>
        <v>117.96018721736516</v>
      </c>
      <c r="AB837" s="21">
        <f t="shared" si="525"/>
        <v>117.95260827096337</v>
      </c>
      <c r="AC837" s="21">
        <f t="shared" si="525"/>
        <v>117.94071786943431</v>
      </c>
      <c r="AD837" s="21">
        <f t="shared" si="525"/>
        <v>116.62604632960176</v>
      </c>
      <c r="AE837" s="21">
        <f t="shared" si="525"/>
        <v>116.59801936139138</v>
      </c>
      <c r="AF837" s="21">
        <f t="shared" si="525"/>
        <v>116.55184903500293</v>
      </c>
      <c r="AG837" s="21">
        <f t="shared" si="525"/>
        <v>131.07142103335337</v>
      </c>
      <c r="AH837" s="21">
        <f t="shared" si="525"/>
        <v>73.212259869074728</v>
      </c>
      <c r="AI837" s="21">
        <f t="shared" si="525"/>
        <v>-0.29411764705882637</v>
      </c>
      <c r="AJ837" s="21">
        <f t="shared" si="525"/>
        <v>0</v>
      </c>
      <c r="AK837" s="21">
        <f t="shared" si="525"/>
        <v>0</v>
      </c>
      <c r="AL837" s="21">
        <f t="shared" si="525"/>
        <v>0</v>
      </c>
      <c r="AM837" s="21">
        <f t="shared" ref="AM837:BD837" si="526">AM828</f>
        <v>0</v>
      </c>
      <c r="AN837" s="21">
        <f t="shared" si="526"/>
        <v>0</v>
      </c>
      <c r="AO837" s="21">
        <f t="shared" si="526"/>
        <v>0</v>
      </c>
      <c r="AP837" s="21">
        <f t="shared" si="526"/>
        <v>0</v>
      </c>
      <c r="AQ837" s="21">
        <f t="shared" si="526"/>
        <v>0</v>
      </c>
      <c r="AR837" s="21">
        <f t="shared" si="526"/>
        <v>0</v>
      </c>
      <c r="AS837" s="21">
        <f t="shared" si="526"/>
        <v>0</v>
      </c>
      <c r="AT837" s="21">
        <f t="shared" si="526"/>
        <v>0</v>
      </c>
      <c r="AU837" s="21">
        <f t="shared" si="526"/>
        <v>0</v>
      </c>
      <c r="AV837" s="21">
        <f t="shared" si="526"/>
        <v>0</v>
      </c>
      <c r="AW837" s="21">
        <f t="shared" si="526"/>
        <v>0</v>
      </c>
      <c r="AX837" s="21">
        <f t="shared" si="526"/>
        <v>0</v>
      </c>
      <c r="AY837" s="21">
        <f t="shared" si="526"/>
        <v>0</v>
      </c>
      <c r="AZ837" s="21">
        <f t="shared" si="526"/>
        <v>0</v>
      </c>
      <c r="BA837" s="21">
        <f t="shared" si="526"/>
        <v>0</v>
      </c>
      <c r="BB837" s="21">
        <f t="shared" si="526"/>
        <v>0</v>
      </c>
      <c r="BC837" s="21">
        <f t="shared" si="526"/>
        <v>0</v>
      </c>
      <c r="BD837" s="21">
        <f t="shared" si="526"/>
        <v>0</v>
      </c>
    </row>
    <row r="838" spans="1:57" ht="15" customHeight="1">
      <c r="C838" s="21">
        <f>SUM(G838:BD838)</f>
        <v>79659.489850203259</v>
      </c>
      <c r="D838" s="11" t="s">
        <v>683</v>
      </c>
      <c r="E838" s="18" t="s">
        <v>289</v>
      </c>
      <c r="G838" s="21">
        <f t="shared" ref="G838:AL838" si="527">G837+F838</f>
        <v>-20</v>
      </c>
      <c r="H838" s="21">
        <f t="shared" si="527"/>
        <v>-40</v>
      </c>
      <c r="I838" s="21">
        <f t="shared" si="527"/>
        <v>-80.3125</v>
      </c>
      <c r="J838" s="21">
        <f t="shared" si="527"/>
        <v>-241.5625</v>
      </c>
      <c r="K838" s="21">
        <f t="shared" si="527"/>
        <v>-259.24916955017295</v>
      </c>
      <c r="L838" s="21">
        <f t="shared" si="527"/>
        <v>-118.96766050330905</v>
      </c>
      <c r="M838" s="21">
        <f t="shared" si="527"/>
        <v>6.6205418797641187</v>
      </c>
      <c r="N838" s="21">
        <f t="shared" si="527"/>
        <v>110.2560593581623</v>
      </c>
      <c r="O838" s="21">
        <f t="shared" si="527"/>
        <v>217.34549287370021</v>
      </c>
      <c r="P838" s="21">
        <f t="shared" si="527"/>
        <v>336.1539538245749</v>
      </c>
      <c r="Q838" s="21">
        <f t="shared" si="527"/>
        <v>454.96241477544953</v>
      </c>
      <c r="R838" s="21">
        <f t="shared" si="527"/>
        <v>573.77087572632422</v>
      </c>
      <c r="S838" s="21">
        <f t="shared" si="527"/>
        <v>692.57933667719885</v>
      </c>
      <c r="T838" s="21">
        <f t="shared" si="527"/>
        <v>811.38779762807349</v>
      </c>
      <c r="U838" s="21">
        <f t="shared" si="527"/>
        <v>930.19625857894812</v>
      </c>
      <c r="V838" s="21">
        <f t="shared" si="527"/>
        <v>1049.0047195298228</v>
      </c>
      <c r="W838" s="21">
        <f t="shared" si="527"/>
        <v>1167.8131804806974</v>
      </c>
      <c r="X838" s="21">
        <f t="shared" si="527"/>
        <v>1286.621641431572</v>
      </c>
      <c r="Y838" s="21">
        <f t="shared" si="527"/>
        <v>1404.5881932915377</v>
      </c>
      <c r="Z838" s="21">
        <f t="shared" si="527"/>
        <v>1522.5527865726942</v>
      </c>
      <c r="AA838" s="21">
        <f t="shared" si="527"/>
        <v>1640.5129737900593</v>
      </c>
      <c r="AB838" s="21">
        <f t="shared" si="527"/>
        <v>1758.4655820610226</v>
      </c>
      <c r="AC838" s="21">
        <f t="shared" si="527"/>
        <v>1876.406299930457</v>
      </c>
      <c r="AD838" s="21">
        <f t="shared" si="527"/>
        <v>1993.0323462600586</v>
      </c>
      <c r="AE838" s="21">
        <f t="shared" si="527"/>
        <v>2109.63036562145</v>
      </c>
      <c r="AF838" s="21">
        <f t="shared" si="527"/>
        <v>2226.1822146564527</v>
      </c>
      <c r="AG838" s="21">
        <f t="shared" si="527"/>
        <v>2357.2536356898063</v>
      </c>
      <c r="AH838" s="21">
        <f t="shared" si="527"/>
        <v>2430.4658955588811</v>
      </c>
      <c r="AI838" s="21">
        <f t="shared" si="527"/>
        <v>2430.1717779118221</v>
      </c>
      <c r="AJ838" s="21">
        <f t="shared" si="527"/>
        <v>2430.1717779118221</v>
      </c>
      <c r="AK838" s="21">
        <f t="shared" si="527"/>
        <v>2430.1717779118221</v>
      </c>
      <c r="AL838" s="21">
        <f t="shared" si="527"/>
        <v>2430.1717779118221</v>
      </c>
      <c r="AM838" s="21">
        <f t="shared" ref="AM838:BD838" si="528">AM837+AL838</f>
        <v>2430.1717779118221</v>
      </c>
      <c r="AN838" s="21">
        <f t="shared" si="528"/>
        <v>2430.1717779118221</v>
      </c>
      <c r="AO838" s="21">
        <f t="shared" si="528"/>
        <v>2430.1717779118221</v>
      </c>
      <c r="AP838" s="21">
        <f t="shared" si="528"/>
        <v>2430.1717779118221</v>
      </c>
      <c r="AQ838" s="21">
        <f t="shared" si="528"/>
        <v>2430.1717779118221</v>
      </c>
      <c r="AR838" s="21">
        <f t="shared" si="528"/>
        <v>2430.1717779118221</v>
      </c>
      <c r="AS838" s="21">
        <f t="shared" si="528"/>
        <v>2430.1717779118221</v>
      </c>
      <c r="AT838" s="21">
        <f t="shared" si="528"/>
        <v>2430.1717779118221</v>
      </c>
      <c r="AU838" s="21">
        <f t="shared" si="528"/>
        <v>2430.1717779118221</v>
      </c>
      <c r="AV838" s="21">
        <f t="shared" si="528"/>
        <v>2430.1717779118221</v>
      </c>
      <c r="AW838" s="21">
        <f t="shared" si="528"/>
        <v>2430.1717779118221</v>
      </c>
      <c r="AX838" s="21">
        <f t="shared" si="528"/>
        <v>2430.1717779118221</v>
      </c>
      <c r="AY838" s="21">
        <f t="shared" si="528"/>
        <v>2430.1717779118221</v>
      </c>
      <c r="AZ838" s="21">
        <f t="shared" si="528"/>
        <v>2430.1717779118221</v>
      </c>
      <c r="BA838" s="21">
        <f t="shared" si="528"/>
        <v>2430.1717779118221</v>
      </c>
      <c r="BB838" s="21">
        <f t="shared" si="528"/>
        <v>2430.1717779118221</v>
      </c>
      <c r="BC838" s="21">
        <f t="shared" si="528"/>
        <v>2430.1717779118221</v>
      </c>
      <c r="BD838" s="21">
        <f t="shared" si="528"/>
        <v>2430.1717779118221</v>
      </c>
    </row>
    <row r="839" spans="1:57" ht="15" customHeight="1">
      <c r="C839" s="21">
        <f>SUM(G839:BD839)</f>
        <v>6.947283727658033</v>
      </c>
      <c r="D839" s="11" t="s">
        <v>684</v>
      </c>
      <c r="E839" s="18" t="s">
        <v>19</v>
      </c>
      <c r="G839" s="36">
        <f t="shared" ref="G839:AL839" si="529">IF(AND(G838&lt;=0,H838&gt;0),G$31+(-G838/H837),0)</f>
        <v>0</v>
      </c>
      <c r="H839" s="36">
        <f t="shared" si="529"/>
        <v>0</v>
      </c>
      <c r="I839" s="36">
        <f t="shared" si="529"/>
        <v>0</v>
      </c>
      <c r="J839" s="36">
        <f t="shared" si="529"/>
        <v>0</v>
      </c>
      <c r="K839" s="36">
        <f t="shared" si="529"/>
        <v>0</v>
      </c>
      <c r="L839" s="36">
        <f t="shared" si="529"/>
        <v>6.947283727658033</v>
      </c>
      <c r="M839" s="36">
        <f t="shared" si="529"/>
        <v>0</v>
      </c>
      <c r="N839" s="36">
        <f t="shared" si="529"/>
        <v>0</v>
      </c>
      <c r="O839" s="36">
        <f t="shared" si="529"/>
        <v>0</v>
      </c>
      <c r="P839" s="36">
        <f t="shared" si="529"/>
        <v>0</v>
      </c>
      <c r="Q839" s="36">
        <f t="shared" si="529"/>
        <v>0</v>
      </c>
      <c r="R839" s="36">
        <f t="shared" si="529"/>
        <v>0</v>
      </c>
      <c r="S839" s="36">
        <f t="shared" si="529"/>
        <v>0</v>
      </c>
      <c r="T839" s="36">
        <f t="shared" si="529"/>
        <v>0</v>
      </c>
      <c r="U839" s="36">
        <f t="shared" si="529"/>
        <v>0</v>
      </c>
      <c r="V839" s="36">
        <f t="shared" si="529"/>
        <v>0</v>
      </c>
      <c r="W839" s="36">
        <f t="shared" si="529"/>
        <v>0</v>
      </c>
      <c r="X839" s="36">
        <f t="shared" si="529"/>
        <v>0</v>
      </c>
      <c r="Y839" s="36">
        <f t="shared" si="529"/>
        <v>0</v>
      </c>
      <c r="Z839" s="36">
        <f t="shared" si="529"/>
        <v>0</v>
      </c>
      <c r="AA839" s="36">
        <f t="shared" si="529"/>
        <v>0</v>
      </c>
      <c r="AB839" s="36">
        <f t="shared" si="529"/>
        <v>0</v>
      </c>
      <c r="AC839" s="36">
        <f t="shared" si="529"/>
        <v>0</v>
      </c>
      <c r="AD839" s="36">
        <f t="shared" si="529"/>
        <v>0</v>
      </c>
      <c r="AE839" s="36">
        <f t="shared" si="529"/>
        <v>0</v>
      </c>
      <c r="AF839" s="36">
        <f t="shared" si="529"/>
        <v>0</v>
      </c>
      <c r="AG839" s="36">
        <f t="shared" si="529"/>
        <v>0</v>
      </c>
      <c r="AH839" s="36">
        <f t="shared" si="529"/>
        <v>0</v>
      </c>
      <c r="AI839" s="36">
        <f t="shared" si="529"/>
        <v>0</v>
      </c>
      <c r="AJ839" s="36">
        <f t="shared" si="529"/>
        <v>0</v>
      </c>
      <c r="AK839" s="36">
        <f t="shared" si="529"/>
        <v>0</v>
      </c>
      <c r="AL839" s="36">
        <f t="shared" si="529"/>
        <v>0</v>
      </c>
      <c r="AM839" s="36">
        <f t="shared" ref="AM839:BD839" si="530">IF(AND(AM838&lt;=0,AN838&gt;0),AM$31+(-AM838/AN837),0)</f>
        <v>0</v>
      </c>
      <c r="AN839" s="36">
        <f t="shared" si="530"/>
        <v>0</v>
      </c>
      <c r="AO839" s="36">
        <f t="shared" si="530"/>
        <v>0</v>
      </c>
      <c r="AP839" s="36">
        <f t="shared" si="530"/>
        <v>0</v>
      </c>
      <c r="AQ839" s="36">
        <f t="shared" si="530"/>
        <v>0</v>
      </c>
      <c r="AR839" s="36">
        <f t="shared" si="530"/>
        <v>0</v>
      </c>
      <c r="AS839" s="36">
        <f t="shared" si="530"/>
        <v>0</v>
      </c>
      <c r="AT839" s="36">
        <f t="shared" si="530"/>
        <v>0</v>
      </c>
      <c r="AU839" s="36">
        <f t="shared" si="530"/>
        <v>0</v>
      </c>
      <c r="AV839" s="36">
        <f t="shared" si="530"/>
        <v>0</v>
      </c>
      <c r="AW839" s="36">
        <f t="shared" si="530"/>
        <v>0</v>
      </c>
      <c r="AX839" s="36">
        <f t="shared" si="530"/>
        <v>0</v>
      </c>
      <c r="AY839" s="36">
        <f t="shared" si="530"/>
        <v>0</v>
      </c>
      <c r="AZ839" s="36">
        <f t="shared" si="530"/>
        <v>0</v>
      </c>
      <c r="BA839" s="36">
        <f t="shared" si="530"/>
        <v>0</v>
      </c>
      <c r="BB839" s="36">
        <f t="shared" si="530"/>
        <v>0</v>
      </c>
      <c r="BC839" s="36">
        <f t="shared" si="530"/>
        <v>0</v>
      </c>
      <c r="BD839" s="36">
        <f t="shared" si="530"/>
        <v>0</v>
      </c>
    </row>
    <row r="840" spans="1:57" ht="15" customHeight="1">
      <c r="C840" s="21"/>
      <c r="E840" s="18"/>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row>
    <row r="841" spans="1:57" ht="15" customHeight="1">
      <c r="C841" s="21"/>
      <c r="D841" s="11" t="s">
        <v>645</v>
      </c>
      <c r="E841" s="18"/>
      <c r="G841" s="35">
        <f>(1+Inputs!$E$200)^(G6-1)</f>
        <v>1</v>
      </c>
      <c r="H841" s="35">
        <f>(1+Inputs!$E$200)^(H6-1)</f>
        <v>1.08</v>
      </c>
      <c r="I841" s="35">
        <f>(1+Inputs!$E$200)^(I6-1)</f>
        <v>1.1664000000000001</v>
      </c>
      <c r="J841" s="35">
        <f>(1+Inputs!$E$200)^(J6-1)</f>
        <v>1.2597120000000002</v>
      </c>
      <c r="K841" s="35">
        <f>(1+Inputs!$E$200)^(K6-1)</f>
        <v>1.3604889600000003</v>
      </c>
      <c r="L841" s="35">
        <f>(1+Inputs!$E$200)^(L6-1)</f>
        <v>1.4693280768000003</v>
      </c>
      <c r="M841" s="35">
        <f>(1+Inputs!$E$200)^(M6-1)</f>
        <v>1.5868743229440005</v>
      </c>
      <c r="N841" s="35">
        <f>(1+Inputs!$E$200)^(N6-1)</f>
        <v>1.7138242687795207</v>
      </c>
      <c r="O841" s="35">
        <f>(1+Inputs!$E$200)^(O6-1)</f>
        <v>1.8509302102818823</v>
      </c>
      <c r="P841" s="35">
        <f>(1+Inputs!$E$200)^(P6-1)</f>
        <v>1.9990046271044331</v>
      </c>
      <c r="Q841" s="35">
        <f>(1+Inputs!$E$200)^(Q6-1)</f>
        <v>2.1589249972727877</v>
      </c>
      <c r="R841" s="35">
        <f>(1+Inputs!$E$200)^(R6-1)</f>
        <v>2.3316389970546108</v>
      </c>
      <c r="S841" s="35">
        <f>(1+Inputs!$E$200)^(S6-1)</f>
        <v>2.5181701168189798</v>
      </c>
      <c r="T841" s="35">
        <f>(1+Inputs!$E$200)^(T6-1)</f>
        <v>2.7196237261644982</v>
      </c>
      <c r="U841" s="35">
        <f>(1+Inputs!$E$200)^(U6-1)</f>
        <v>2.9371936242576586</v>
      </c>
      <c r="V841" s="35">
        <f>(1+Inputs!$E$200)^(V6-1)</f>
        <v>3.1721691141982715</v>
      </c>
      <c r="W841" s="35">
        <f>(1+Inputs!$E$200)^(W6-1)</f>
        <v>3.4259426433341331</v>
      </c>
      <c r="X841" s="35">
        <f>(1+Inputs!$E$200)^(X6-1)</f>
        <v>3.7000180548008639</v>
      </c>
      <c r="Y841" s="35">
        <f>(1+Inputs!$E$200)^(Y6-1)</f>
        <v>3.9960194991849334</v>
      </c>
      <c r="Z841" s="35">
        <f>(1+Inputs!$E$200)^(Z6-1)</f>
        <v>4.3157010591197285</v>
      </c>
      <c r="AA841" s="35">
        <f>(1+Inputs!$E$200)^(AA6-1)</f>
        <v>4.6609571438493065</v>
      </c>
      <c r="AB841" s="35">
        <f>(1+Inputs!$E$200)^(AB6-1)</f>
        <v>5.0338337153572512</v>
      </c>
      <c r="AC841" s="35">
        <f>(1+Inputs!$E$200)^(AC6-1)</f>
        <v>5.4365404125858321</v>
      </c>
      <c r="AD841" s="35">
        <f>(1+Inputs!$E$200)^(AD6-1)</f>
        <v>5.8714636455926987</v>
      </c>
      <c r="AE841" s="35">
        <f>(1+Inputs!$E$200)^(AE6-1)</f>
        <v>6.3411807372401148</v>
      </c>
      <c r="AF841" s="35">
        <f>(1+Inputs!$E$200)^(AF6-1)</f>
        <v>6.8484751962193249</v>
      </c>
      <c r="AG841" s="35">
        <f>(1+Inputs!$E$200)^(AG6-1)</f>
        <v>7.3963532119168702</v>
      </c>
      <c r="AH841" s="35">
        <f>(1+Inputs!$E$200)^(AH6-1)</f>
        <v>7.9880614688702201</v>
      </c>
      <c r="AI841" s="35">
        <f>(1+Inputs!$E$200)^(AI6-1)</f>
        <v>8.6271063863798378</v>
      </c>
      <c r="AJ841" s="35">
        <f>(1+Inputs!$E$200)^(AJ6-1)</f>
        <v>9.3172748972902255</v>
      </c>
      <c r="AK841" s="35">
        <f>(1+Inputs!$E$200)^(AK6-1)</f>
        <v>10.062656889073445</v>
      </c>
      <c r="AL841" s="35">
        <f>(1+Inputs!$E$200)^(AL6-1)</f>
        <v>10.867669440199322</v>
      </c>
      <c r="AM841" s="35">
        <f>(1+Inputs!$E$200)^(AM6-1)</f>
        <v>11.737082995415268</v>
      </c>
      <c r="AN841" s="35">
        <f>(1+Inputs!$E$200)^(AN6-1)</f>
        <v>12.676049635048489</v>
      </c>
      <c r="AO841" s="35">
        <f>(1+Inputs!$E$200)^(AO6-1)</f>
        <v>13.690133605852369</v>
      </c>
      <c r="AP841" s="35">
        <f>(1+Inputs!$E$200)^(AP6-1)</f>
        <v>14.785344294320559</v>
      </c>
      <c r="AQ841" s="35">
        <f>(1+Inputs!$E$200)^(AQ6-1)</f>
        <v>15.968171837866207</v>
      </c>
      <c r="AR841" s="35">
        <f>(1+Inputs!$E$200)^(AR6-1)</f>
        <v>17.245625584895503</v>
      </c>
      <c r="AS841" s="35">
        <f>(1+Inputs!$E$200)^(AS6-1)</f>
        <v>18.625275631687146</v>
      </c>
      <c r="AT841" s="35">
        <f>(1+Inputs!$E$200)^(AT6-1)</f>
        <v>20.115297682222117</v>
      </c>
      <c r="AU841" s="35">
        <f>(1+Inputs!$E$200)^(AU6-1)</f>
        <v>21.724521496799888</v>
      </c>
      <c r="AV841" s="35">
        <f>(1+Inputs!$E$200)^(AV6-1)</f>
        <v>23.46248321654388</v>
      </c>
      <c r="AW841" s="35">
        <f>(1+Inputs!$E$200)^(AW6-1)</f>
        <v>25.339481873867388</v>
      </c>
      <c r="AX841" s="35">
        <f>(1+Inputs!$E$200)^(AX6-1)</f>
        <v>27.366640423776779</v>
      </c>
      <c r="AY841" s="35">
        <f>(1+Inputs!$E$200)^(AY6-1)</f>
        <v>29.555971657678928</v>
      </c>
      <c r="AZ841" s="35">
        <f>(1+Inputs!$E$200)^(AZ6-1)</f>
        <v>31.920449390293239</v>
      </c>
      <c r="BA841" s="35">
        <f>(1+Inputs!$E$200)^(BA6-1)</f>
        <v>34.474085341516705</v>
      </c>
      <c r="BB841" s="35">
        <f>(1+Inputs!$E$200)^(BB6-1)</f>
        <v>37.232012168838047</v>
      </c>
      <c r="BC841" s="35">
        <f>(1+Inputs!$E$200)^(BC6-1)</f>
        <v>40.210573142345083</v>
      </c>
      <c r="BD841" s="35">
        <f>(1+Inputs!$E$200)^(BD6-1)</f>
        <v>43.427418993732694</v>
      </c>
    </row>
    <row r="842" spans="1:57" ht="15" customHeight="1">
      <c r="C842" s="21">
        <f>SUM(G842:BD842)</f>
        <v>689.24582452943957</v>
      </c>
      <c r="D842" s="11" t="str">
        <f>"Contractor post-tax cash flow NPV"&amp;Inputs!$E$200*100</f>
        <v>Contractor post-tax cash flow NPV8</v>
      </c>
      <c r="E842" s="18" t="s">
        <v>289</v>
      </c>
      <c r="G842" s="21">
        <f>G837/G841</f>
        <v>-20</v>
      </c>
      <c r="H842" s="21">
        <f t="shared" ref="H842:AL842" si="531">H837/H841</f>
        <v>-18.518518518518519</v>
      </c>
      <c r="I842" s="21">
        <f t="shared" si="531"/>
        <v>-34.561471193415635</v>
      </c>
      <c r="J842" s="21">
        <f t="shared" si="531"/>
        <v>-128.00544886450234</v>
      </c>
      <c r="K842" s="21">
        <f t="shared" si="531"/>
        <v>-13.000230115923157</v>
      </c>
      <c r="L842" s="21">
        <f t="shared" si="531"/>
        <v>95.473237911833976</v>
      </c>
      <c r="M842" s="21">
        <f t="shared" si="531"/>
        <v>79.141870636661039</v>
      </c>
      <c r="N842" s="21">
        <f t="shared" si="531"/>
        <v>60.470329056666337</v>
      </c>
      <c r="O842" s="21">
        <f t="shared" si="531"/>
        <v>57.857088787388165</v>
      </c>
      <c r="P842" s="21">
        <f t="shared" si="531"/>
        <v>59.433809877153344</v>
      </c>
      <c r="Q842" s="21">
        <f t="shared" si="531"/>
        <v>55.031305441808627</v>
      </c>
      <c r="R842" s="21">
        <f t="shared" si="531"/>
        <v>50.954912446119124</v>
      </c>
      <c r="S842" s="21">
        <f t="shared" si="531"/>
        <v>47.180474487147308</v>
      </c>
      <c r="T842" s="21">
        <f t="shared" si="531"/>
        <v>43.685624525136419</v>
      </c>
      <c r="U842" s="21">
        <f t="shared" si="531"/>
        <v>40.449652338089251</v>
      </c>
      <c r="V842" s="21">
        <f t="shared" si="531"/>
        <v>37.453381794527097</v>
      </c>
      <c r="W842" s="21">
        <f t="shared" si="531"/>
        <v>34.679057217154707</v>
      </c>
      <c r="X842" s="21">
        <f t="shared" si="531"/>
        <v>32.110238164032133</v>
      </c>
      <c r="Y842" s="21">
        <f t="shared" si="531"/>
        <v>29.52101507112944</v>
      </c>
      <c r="Z842" s="21">
        <f t="shared" si="531"/>
        <v>27.333819387670399</v>
      </c>
      <c r="AA842" s="21">
        <f t="shared" si="531"/>
        <v>25.308146712532601</v>
      </c>
      <c r="AB842" s="21">
        <f t="shared" si="531"/>
        <v>23.431963577007483</v>
      </c>
      <c r="AC842" s="21">
        <f t="shared" si="531"/>
        <v>21.694075444817134</v>
      </c>
      <c r="AD842" s="21">
        <f t="shared" si="531"/>
        <v>19.863198236294089</v>
      </c>
      <c r="AE842" s="21">
        <f t="shared" si="531"/>
        <v>18.387430384477351</v>
      </c>
      <c r="AF842" s="21">
        <f t="shared" si="531"/>
        <v>17.018656809817308</v>
      </c>
      <c r="AG842" s="21">
        <f t="shared" si="531"/>
        <v>17.721087308563561</v>
      </c>
      <c r="AH842" s="21">
        <f t="shared" si="531"/>
        <v>9.1652098765621286</v>
      </c>
      <c r="AI842" s="21">
        <f t="shared" si="531"/>
        <v>-3.4092270790026261E-2</v>
      </c>
      <c r="AJ842" s="21">
        <f t="shared" si="531"/>
        <v>0</v>
      </c>
      <c r="AK842" s="21">
        <f t="shared" si="531"/>
        <v>0</v>
      </c>
      <c r="AL842" s="21">
        <f t="shared" si="531"/>
        <v>0</v>
      </c>
      <c r="AM842" s="21">
        <f t="shared" ref="AM842:BD842" si="532">AM837/AM841</f>
        <v>0</v>
      </c>
      <c r="AN842" s="21">
        <f t="shared" si="532"/>
        <v>0</v>
      </c>
      <c r="AO842" s="21">
        <f t="shared" si="532"/>
        <v>0</v>
      </c>
      <c r="AP842" s="21">
        <f t="shared" si="532"/>
        <v>0</v>
      </c>
      <c r="AQ842" s="21">
        <f t="shared" si="532"/>
        <v>0</v>
      </c>
      <c r="AR842" s="21">
        <f t="shared" si="532"/>
        <v>0</v>
      </c>
      <c r="AS842" s="21">
        <f t="shared" si="532"/>
        <v>0</v>
      </c>
      <c r="AT842" s="21">
        <f t="shared" si="532"/>
        <v>0</v>
      </c>
      <c r="AU842" s="21">
        <f t="shared" si="532"/>
        <v>0</v>
      </c>
      <c r="AV842" s="21">
        <f t="shared" si="532"/>
        <v>0</v>
      </c>
      <c r="AW842" s="21">
        <f t="shared" si="532"/>
        <v>0</v>
      </c>
      <c r="AX842" s="21">
        <f t="shared" si="532"/>
        <v>0</v>
      </c>
      <c r="AY842" s="21">
        <f t="shared" si="532"/>
        <v>0</v>
      </c>
      <c r="AZ842" s="21">
        <f t="shared" si="532"/>
        <v>0</v>
      </c>
      <c r="BA842" s="21">
        <f t="shared" si="532"/>
        <v>0</v>
      </c>
      <c r="BB842" s="21">
        <f t="shared" si="532"/>
        <v>0</v>
      </c>
      <c r="BC842" s="21">
        <f t="shared" si="532"/>
        <v>0</v>
      </c>
      <c r="BD842" s="21">
        <f t="shared" si="532"/>
        <v>0</v>
      </c>
    </row>
    <row r="843" spans="1:57" ht="15" customHeight="1">
      <c r="C843" s="21">
        <f>SUM(G843:BD843)</f>
        <v>23581.851179737918</v>
      </c>
      <c r="D843" s="11" t="str">
        <f>"Cumulative contractor post-tax cash flow NPV"&amp;Inputs!$E$200*100</f>
        <v>Cumulative contractor post-tax cash flow NPV8</v>
      </c>
      <c r="E843" s="18" t="s">
        <v>289</v>
      </c>
      <c r="G843" s="21">
        <f t="shared" ref="G843:AL843" si="533">G842+F843</f>
        <v>-20</v>
      </c>
      <c r="H843" s="21">
        <f t="shared" si="533"/>
        <v>-38.518518518518519</v>
      </c>
      <c r="I843" s="21">
        <f t="shared" si="533"/>
        <v>-73.079989711934161</v>
      </c>
      <c r="J843" s="21">
        <f t="shared" si="533"/>
        <v>-201.0854385764365</v>
      </c>
      <c r="K843" s="21">
        <f t="shared" si="533"/>
        <v>-214.08566869235966</v>
      </c>
      <c r="L843" s="21">
        <f t="shared" si="533"/>
        <v>-118.61243078052568</v>
      </c>
      <c r="M843" s="21">
        <f t="shared" si="533"/>
        <v>-39.470560143864645</v>
      </c>
      <c r="N843" s="21">
        <f t="shared" si="533"/>
        <v>20.999768912801692</v>
      </c>
      <c r="O843" s="21">
        <f t="shared" si="533"/>
        <v>78.856857700189863</v>
      </c>
      <c r="P843" s="21">
        <f t="shared" si="533"/>
        <v>138.29066757734321</v>
      </c>
      <c r="Q843" s="21">
        <f t="shared" si="533"/>
        <v>193.32197301915184</v>
      </c>
      <c r="R843" s="21">
        <f t="shared" si="533"/>
        <v>244.27688546527096</v>
      </c>
      <c r="S843" s="21">
        <f t="shared" si="533"/>
        <v>291.4573599524183</v>
      </c>
      <c r="T843" s="21">
        <f t="shared" si="533"/>
        <v>335.14298447755471</v>
      </c>
      <c r="U843" s="114">
        <f t="shared" si="533"/>
        <v>375.59263681564397</v>
      </c>
      <c r="V843" s="21">
        <f t="shared" si="533"/>
        <v>413.04601861017107</v>
      </c>
      <c r="W843" s="114">
        <f t="shared" si="533"/>
        <v>447.72507582732578</v>
      </c>
      <c r="X843" s="21">
        <f t="shared" si="533"/>
        <v>479.83531399135791</v>
      </c>
      <c r="Y843" s="21">
        <f t="shared" si="533"/>
        <v>509.35632906248736</v>
      </c>
      <c r="Z843" s="21">
        <f t="shared" si="533"/>
        <v>536.69014845015772</v>
      </c>
      <c r="AA843" s="21">
        <f t="shared" si="533"/>
        <v>561.99829516269028</v>
      </c>
      <c r="AB843" s="21">
        <f t="shared" si="533"/>
        <v>585.43025873969782</v>
      </c>
      <c r="AC843" s="21">
        <f t="shared" si="533"/>
        <v>607.12433418451496</v>
      </c>
      <c r="AD843" s="21">
        <f t="shared" si="533"/>
        <v>626.98753242080909</v>
      </c>
      <c r="AE843" s="21">
        <f t="shared" si="533"/>
        <v>645.37496280528649</v>
      </c>
      <c r="AF843" s="21">
        <f t="shared" si="533"/>
        <v>662.39361961510383</v>
      </c>
      <c r="AG843" s="21">
        <f t="shared" si="533"/>
        <v>680.11470692366743</v>
      </c>
      <c r="AH843" s="21">
        <f t="shared" si="533"/>
        <v>689.27991680022956</v>
      </c>
      <c r="AI843" s="21">
        <f t="shared" si="533"/>
        <v>689.24582452943957</v>
      </c>
      <c r="AJ843" s="21">
        <f t="shared" si="533"/>
        <v>689.24582452943957</v>
      </c>
      <c r="AK843" s="21">
        <f t="shared" si="533"/>
        <v>689.24582452943957</v>
      </c>
      <c r="AL843" s="21">
        <f t="shared" si="533"/>
        <v>689.24582452943957</v>
      </c>
      <c r="AM843" s="21">
        <f t="shared" ref="AM843:BD843" si="534">AM842+AL843</f>
        <v>689.24582452943957</v>
      </c>
      <c r="AN843" s="21">
        <f t="shared" si="534"/>
        <v>689.24582452943957</v>
      </c>
      <c r="AO843" s="21">
        <f t="shared" si="534"/>
        <v>689.24582452943957</v>
      </c>
      <c r="AP843" s="21">
        <f t="shared" si="534"/>
        <v>689.24582452943957</v>
      </c>
      <c r="AQ843" s="21">
        <f t="shared" si="534"/>
        <v>689.24582452943957</v>
      </c>
      <c r="AR843" s="21">
        <f t="shared" si="534"/>
        <v>689.24582452943957</v>
      </c>
      <c r="AS843" s="21">
        <f t="shared" si="534"/>
        <v>689.24582452943957</v>
      </c>
      <c r="AT843" s="21">
        <f t="shared" si="534"/>
        <v>689.24582452943957</v>
      </c>
      <c r="AU843" s="21">
        <f t="shared" si="534"/>
        <v>689.24582452943957</v>
      </c>
      <c r="AV843" s="21">
        <f t="shared" si="534"/>
        <v>689.24582452943957</v>
      </c>
      <c r="AW843" s="21">
        <f t="shared" si="534"/>
        <v>689.24582452943957</v>
      </c>
      <c r="AX843" s="21">
        <f t="shared" si="534"/>
        <v>689.24582452943957</v>
      </c>
      <c r="AY843" s="21">
        <f t="shared" si="534"/>
        <v>689.24582452943957</v>
      </c>
      <c r="AZ843" s="21">
        <f t="shared" si="534"/>
        <v>689.24582452943957</v>
      </c>
      <c r="BA843" s="21">
        <f t="shared" si="534"/>
        <v>689.24582452943957</v>
      </c>
      <c r="BB843" s="21">
        <f t="shared" si="534"/>
        <v>689.24582452943957</v>
      </c>
      <c r="BC843" s="21">
        <f t="shared" si="534"/>
        <v>689.24582452943957</v>
      </c>
      <c r="BD843" s="21">
        <f t="shared" si="534"/>
        <v>689.24582452943957</v>
      </c>
    </row>
    <row r="844" spans="1:57" ht="15" customHeight="1">
      <c r="C844" s="21">
        <f>SUM(G844:BD844)</f>
        <v>7.6527260684637097</v>
      </c>
      <c r="D844" s="11" t="str">
        <f>"Payback period NPV"&amp;Inputs!$E$200*100</f>
        <v>Payback period NPV8</v>
      </c>
      <c r="E844" s="18" t="s">
        <v>19</v>
      </c>
      <c r="G844" s="36">
        <f t="shared" ref="G844:AL844" si="535">IF(AND(G843&lt;=0,H843&gt;0),G$31+(-G843/H842),0)</f>
        <v>0</v>
      </c>
      <c r="H844" s="36">
        <f t="shared" si="535"/>
        <v>0</v>
      </c>
      <c r="I844" s="36">
        <f t="shared" si="535"/>
        <v>0</v>
      </c>
      <c r="J844" s="36">
        <f t="shared" si="535"/>
        <v>0</v>
      </c>
      <c r="K844" s="36">
        <f t="shared" si="535"/>
        <v>0</v>
      </c>
      <c r="L844" s="36">
        <f t="shared" si="535"/>
        <v>0</v>
      </c>
      <c r="M844" s="36">
        <f t="shared" si="535"/>
        <v>7.6527260684637097</v>
      </c>
      <c r="N844" s="36">
        <f t="shared" si="535"/>
        <v>0</v>
      </c>
      <c r="O844" s="36">
        <f t="shared" si="535"/>
        <v>0</v>
      </c>
      <c r="P844" s="36">
        <f t="shared" si="535"/>
        <v>0</v>
      </c>
      <c r="Q844" s="36">
        <f t="shared" si="535"/>
        <v>0</v>
      </c>
      <c r="R844" s="36">
        <f t="shared" si="535"/>
        <v>0</v>
      </c>
      <c r="S844" s="36">
        <f t="shared" si="535"/>
        <v>0</v>
      </c>
      <c r="T844" s="36">
        <f t="shared" si="535"/>
        <v>0</v>
      </c>
      <c r="U844" s="36">
        <f t="shared" si="535"/>
        <v>0</v>
      </c>
      <c r="V844" s="36">
        <f t="shared" si="535"/>
        <v>0</v>
      </c>
      <c r="W844" s="36">
        <f t="shared" si="535"/>
        <v>0</v>
      </c>
      <c r="X844" s="36">
        <f t="shared" si="535"/>
        <v>0</v>
      </c>
      <c r="Y844" s="36">
        <f t="shared" si="535"/>
        <v>0</v>
      </c>
      <c r="Z844" s="36">
        <f t="shared" si="535"/>
        <v>0</v>
      </c>
      <c r="AA844" s="36">
        <f t="shared" si="535"/>
        <v>0</v>
      </c>
      <c r="AB844" s="36">
        <f t="shared" si="535"/>
        <v>0</v>
      </c>
      <c r="AC844" s="36">
        <f t="shared" si="535"/>
        <v>0</v>
      </c>
      <c r="AD844" s="36">
        <f t="shared" si="535"/>
        <v>0</v>
      </c>
      <c r="AE844" s="36">
        <f t="shared" si="535"/>
        <v>0</v>
      </c>
      <c r="AF844" s="36">
        <f t="shared" si="535"/>
        <v>0</v>
      </c>
      <c r="AG844" s="36">
        <f t="shared" si="535"/>
        <v>0</v>
      </c>
      <c r="AH844" s="36">
        <f t="shared" si="535"/>
        <v>0</v>
      </c>
      <c r="AI844" s="36">
        <f t="shared" si="535"/>
        <v>0</v>
      </c>
      <c r="AJ844" s="36">
        <f t="shared" si="535"/>
        <v>0</v>
      </c>
      <c r="AK844" s="36">
        <f t="shared" si="535"/>
        <v>0</v>
      </c>
      <c r="AL844" s="36">
        <f t="shared" si="535"/>
        <v>0</v>
      </c>
      <c r="AM844" s="36">
        <f t="shared" ref="AM844:BD844" si="536">IF(AND(AM843&lt;=0,AN843&gt;0),AM$31+(-AM843/AN842),0)</f>
        <v>0</v>
      </c>
      <c r="AN844" s="36">
        <f t="shared" si="536"/>
        <v>0</v>
      </c>
      <c r="AO844" s="36">
        <f t="shared" si="536"/>
        <v>0</v>
      </c>
      <c r="AP844" s="36">
        <f t="shared" si="536"/>
        <v>0</v>
      </c>
      <c r="AQ844" s="36">
        <f t="shared" si="536"/>
        <v>0</v>
      </c>
      <c r="AR844" s="36">
        <f t="shared" si="536"/>
        <v>0</v>
      </c>
      <c r="AS844" s="36">
        <f t="shared" si="536"/>
        <v>0</v>
      </c>
      <c r="AT844" s="36">
        <f t="shared" si="536"/>
        <v>0</v>
      </c>
      <c r="AU844" s="36">
        <f t="shared" si="536"/>
        <v>0</v>
      </c>
      <c r="AV844" s="36">
        <f t="shared" si="536"/>
        <v>0</v>
      </c>
      <c r="AW844" s="36">
        <f t="shared" si="536"/>
        <v>0</v>
      </c>
      <c r="AX844" s="36">
        <f t="shared" si="536"/>
        <v>0</v>
      </c>
      <c r="AY844" s="36">
        <f t="shared" si="536"/>
        <v>0</v>
      </c>
      <c r="AZ844" s="36">
        <f t="shared" si="536"/>
        <v>0</v>
      </c>
      <c r="BA844" s="36">
        <f t="shared" si="536"/>
        <v>0</v>
      </c>
      <c r="BB844" s="36">
        <f t="shared" si="536"/>
        <v>0</v>
      </c>
      <c r="BC844" s="36">
        <f t="shared" si="536"/>
        <v>0</v>
      </c>
      <c r="BD844" s="36">
        <f t="shared" si="536"/>
        <v>0</v>
      </c>
    </row>
    <row r="845" spans="1:57" s="90" customFormat="1" ht="15" customHeight="1">
      <c r="A845" s="45"/>
      <c r="B845" s="46"/>
      <c r="C845" s="48"/>
      <c r="D845" s="48"/>
      <c r="E845" s="48"/>
      <c r="F845" s="48"/>
      <c r="G845" s="48"/>
      <c r="H845" s="48"/>
      <c r="I845" s="48"/>
      <c r="J845" s="48"/>
      <c r="K845" s="48"/>
      <c r="L845" s="48"/>
      <c r="M845" s="48"/>
      <c r="N845" s="48"/>
      <c r="O845" s="48"/>
      <c r="P845" s="48"/>
      <c r="Q845" s="48"/>
      <c r="R845" s="48"/>
      <c r="S845" s="48"/>
      <c r="T845" s="48"/>
      <c r="U845" s="48"/>
      <c r="V845" s="48"/>
      <c r="W845" s="48"/>
      <c r="X845" s="48"/>
      <c r="Y845" s="48"/>
      <c r="Z845" s="48"/>
      <c r="AA845" s="48"/>
      <c r="AB845" s="48"/>
      <c r="AC845" s="48"/>
      <c r="AD845" s="48"/>
      <c r="AE845" s="48"/>
      <c r="AF845" s="48"/>
      <c r="AG845" s="48"/>
      <c r="AH845" s="48"/>
      <c r="AI845" s="48"/>
      <c r="AJ845" s="48"/>
      <c r="AK845" s="48"/>
      <c r="AL845" s="48"/>
      <c r="AM845" s="48"/>
      <c r="AN845" s="48"/>
      <c r="AO845" s="48"/>
      <c r="AP845" s="48"/>
      <c r="AQ845" s="48"/>
      <c r="AR845" s="48"/>
      <c r="AS845" s="48"/>
      <c r="AT845" s="48"/>
      <c r="AU845" s="48"/>
      <c r="AV845" s="48"/>
      <c r="AW845" s="48"/>
      <c r="AX845" s="48"/>
      <c r="AY845" s="48"/>
      <c r="AZ845" s="48"/>
      <c r="BA845" s="48"/>
      <c r="BB845" s="48"/>
      <c r="BC845" s="48"/>
      <c r="BD845" s="48"/>
      <c r="BE845" s="46"/>
    </row>
    <row r="846" spans="1:57" ht="15" customHeight="1">
      <c r="C846" s="20"/>
      <c r="D846" s="9" t="s">
        <v>685</v>
      </c>
      <c r="E846" s="18"/>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row>
    <row r="847" spans="1:57" ht="15" customHeight="1">
      <c r="C847" s="21">
        <f t="shared" ref="C847:C866" si="537">SUM(G847:BD847)</f>
        <v>253.7956162848387</v>
      </c>
      <c r="D847" s="11" t="s">
        <v>686</v>
      </c>
      <c r="E847" s="18" t="s">
        <v>333</v>
      </c>
      <c r="G847" s="21">
        <f t="shared" ref="G847:AL847" si="538">G236</f>
        <v>0</v>
      </c>
      <c r="H847" s="21">
        <f t="shared" si="538"/>
        <v>0</v>
      </c>
      <c r="I847" s="21">
        <f t="shared" si="538"/>
        <v>2.9261250000000003</v>
      </c>
      <c r="J847" s="21">
        <f t="shared" si="538"/>
        <v>11.93859</v>
      </c>
      <c r="K847" s="21">
        <f t="shared" si="538"/>
        <v>5.8857248700000007</v>
      </c>
      <c r="L847" s="21">
        <f t="shared" si="538"/>
        <v>8.4186161244000015</v>
      </c>
      <c r="M847" s="21">
        <f t="shared" si="538"/>
        <v>8.5869884468880002</v>
      </c>
      <c r="N847" s="21">
        <f t="shared" si="538"/>
        <v>8.7587282158257587</v>
      </c>
      <c r="O847" s="21">
        <f t="shared" si="538"/>
        <v>8.9339027801422741</v>
      </c>
      <c r="P847" s="21">
        <f t="shared" si="538"/>
        <v>9.1125808357451188</v>
      </c>
      <c r="Q847" s="21">
        <f t="shared" si="538"/>
        <v>9.2948324524600228</v>
      </c>
      <c r="R847" s="21">
        <f t="shared" si="538"/>
        <v>9.4807291015092208</v>
      </c>
      <c r="S847" s="21">
        <f t="shared" si="538"/>
        <v>9.670343683539409</v>
      </c>
      <c r="T847" s="21">
        <f t="shared" si="538"/>
        <v>9.8637505572101958</v>
      </c>
      <c r="U847" s="21">
        <f t="shared" si="538"/>
        <v>10.061025568354403</v>
      </c>
      <c r="V847" s="21">
        <f t="shared" si="538"/>
        <v>10.262246079721486</v>
      </c>
      <c r="W847" s="21">
        <f t="shared" si="538"/>
        <v>10.467491001315919</v>
      </c>
      <c r="X847" s="21">
        <f t="shared" si="538"/>
        <v>10.676840821342237</v>
      </c>
      <c r="Y847" s="21">
        <f t="shared" si="538"/>
        <v>10.890377637769081</v>
      </c>
      <c r="Z847" s="21">
        <f t="shared" si="538"/>
        <v>11.108185190524461</v>
      </c>
      <c r="AA847" s="21">
        <f t="shared" si="538"/>
        <v>11.330348894334952</v>
      </c>
      <c r="AB847" s="21">
        <f t="shared" si="538"/>
        <v>11.55695587222165</v>
      </c>
      <c r="AC847" s="21">
        <f t="shared" si="538"/>
        <v>11.788094989666085</v>
      </c>
      <c r="AD847" s="21">
        <f t="shared" si="538"/>
        <v>12.023856889459402</v>
      </c>
      <c r="AE847" s="21">
        <f t="shared" si="538"/>
        <v>12.264334027248593</v>
      </c>
      <c r="AF847" s="21">
        <f t="shared" si="538"/>
        <v>12.509620707793564</v>
      </c>
      <c r="AG847" s="21">
        <f t="shared" si="538"/>
        <v>11.504749536183917</v>
      </c>
      <c r="AH847" s="21">
        <f t="shared" si="538"/>
        <v>4.4805770011828994</v>
      </c>
      <c r="AI847" s="21">
        <f t="shared" si="538"/>
        <v>0</v>
      </c>
      <c r="AJ847" s="21">
        <f t="shared" si="538"/>
        <v>0</v>
      </c>
      <c r="AK847" s="21">
        <f t="shared" si="538"/>
        <v>0</v>
      </c>
      <c r="AL847" s="21">
        <f t="shared" si="538"/>
        <v>0</v>
      </c>
      <c r="AM847" s="21">
        <f t="shared" ref="AM847:BD847" si="539">AM236</f>
        <v>0</v>
      </c>
      <c r="AN847" s="21">
        <f t="shared" si="539"/>
        <v>0</v>
      </c>
      <c r="AO847" s="21">
        <f t="shared" si="539"/>
        <v>0</v>
      </c>
      <c r="AP847" s="21">
        <f t="shared" si="539"/>
        <v>0</v>
      </c>
      <c r="AQ847" s="21">
        <f t="shared" si="539"/>
        <v>0</v>
      </c>
      <c r="AR847" s="21">
        <f t="shared" si="539"/>
        <v>0</v>
      </c>
      <c r="AS847" s="21">
        <f t="shared" si="539"/>
        <v>0</v>
      </c>
      <c r="AT847" s="21">
        <f t="shared" si="539"/>
        <v>0</v>
      </c>
      <c r="AU847" s="21">
        <f t="shared" si="539"/>
        <v>0</v>
      </c>
      <c r="AV847" s="21">
        <f t="shared" si="539"/>
        <v>0</v>
      </c>
      <c r="AW847" s="21">
        <f t="shared" si="539"/>
        <v>0</v>
      </c>
      <c r="AX847" s="21">
        <f t="shared" si="539"/>
        <v>0</v>
      </c>
      <c r="AY847" s="21">
        <f t="shared" si="539"/>
        <v>0</v>
      </c>
      <c r="AZ847" s="21">
        <f t="shared" si="539"/>
        <v>0</v>
      </c>
      <c r="BA847" s="21">
        <f t="shared" si="539"/>
        <v>0</v>
      </c>
      <c r="BB847" s="21">
        <f t="shared" si="539"/>
        <v>0</v>
      </c>
      <c r="BC847" s="21">
        <f t="shared" si="539"/>
        <v>0</v>
      </c>
      <c r="BD847" s="21">
        <f t="shared" si="539"/>
        <v>0</v>
      </c>
    </row>
    <row r="848" spans="1:57" ht="15" customHeight="1">
      <c r="C848" s="21">
        <f t="shared" si="537"/>
        <v>0</v>
      </c>
      <c r="D848" s="11" t="s">
        <v>438</v>
      </c>
      <c r="E848" s="18" t="s">
        <v>333</v>
      </c>
      <c r="G848" s="21">
        <f t="shared" ref="G848:AL848" si="540">G240</f>
        <v>0</v>
      </c>
      <c r="H848" s="21">
        <f t="shared" si="540"/>
        <v>0</v>
      </c>
      <c r="I848" s="21">
        <f t="shared" si="540"/>
        <v>0</v>
      </c>
      <c r="J848" s="21">
        <f t="shared" si="540"/>
        <v>0</v>
      </c>
      <c r="K848" s="21">
        <f t="shared" si="540"/>
        <v>0</v>
      </c>
      <c r="L848" s="21">
        <f t="shared" si="540"/>
        <v>0</v>
      </c>
      <c r="M848" s="21">
        <f t="shared" si="540"/>
        <v>0</v>
      </c>
      <c r="N848" s="21">
        <f t="shared" si="540"/>
        <v>0</v>
      </c>
      <c r="O848" s="21">
        <f t="shared" si="540"/>
        <v>0</v>
      </c>
      <c r="P848" s="21">
        <f t="shared" si="540"/>
        <v>0</v>
      </c>
      <c r="Q848" s="21">
        <f t="shared" si="540"/>
        <v>0</v>
      </c>
      <c r="R848" s="21">
        <f t="shared" si="540"/>
        <v>0</v>
      </c>
      <c r="S848" s="21">
        <f t="shared" si="540"/>
        <v>0</v>
      </c>
      <c r="T848" s="21">
        <f t="shared" si="540"/>
        <v>0</v>
      </c>
      <c r="U848" s="21">
        <f t="shared" si="540"/>
        <v>0</v>
      </c>
      <c r="V848" s="21">
        <f t="shared" si="540"/>
        <v>0</v>
      </c>
      <c r="W848" s="21">
        <f t="shared" si="540"/>
        <v>0</v>
      </c>
      <c r="X848" s="21">
        <f t="shared" si="540"/>
        <v>0</v>
      </c>
      <c r="Y848" s="21">
        <f t="shared" si="540"/>
        <v>0</v>
      </c>
      <c r="Z848" s="21">
        <f t="shared" si="540"/>
        <v>0</v>
      </c>
      <c r="AA848" s="21">
        <f t="shared" si="540"/>
        <v>0</v>
      </c>
      <c r="AB848" s="21">
        <f t="shared" si="540"/>
        <v>0</v>
      </c>
      <c r="AC848" s="21">
        <f t="shared" si="540"/>
        <v>0</v>
      </c>
      <c r="AD848" s="21">
        <f t="shared" si="540"/>
        <v>0</v>
      </c>
      <c r="AE848" s="21">
        <f t="shared" si="540"/>
        <v>0</v>
      </c>
      <c r="AF848" s="21">
        <f t="shared" si="540"/>
        <v>0</v>
      </c>
      <c r="AG848" s="21">
        <f t="shared" si="540"/>
        <v>0</v>
      </c>
      <c r="AH848" s="21">
        <f t="shared" si="540"/>
        <v>0</v>
      </c>
      <c r="AI848" s="21">
        <f t="shared" si="540"/>
        <v>0</v>
      </c>
      <c r="AJ848" s="21">
        <f t="shared" si="540"/>
        <v>0</v>
      </c>
      <c r="AK848" s="21">
        <f t="shared" si="540"/>
        <v>0</v>
      </c>
      <c r="AL848" s="21">
        <f t="shared" si="540"/>
        <v>0</v>
      </c>
      <c r="AM848" s="21">
        <f t="shared" ref="AM848:BD848" si="541">AM240</f>
        <v>0</v>
      </c>
      <c r="AN848" s="21">
        <f t="shared" si="541"/>
        <v>0</v>
      </c>
      <c r="AO848" s="21">
        <f t="shared" si="541"/>
        <v>0</v>
      </c>
      <c r="AP848" s="21">
        <f t="shared" si="541"/>
        <v>0</v>
      </c>
      <c r="AQ848" s="21">
        <f t="shared" si="541"/>
        <v>0</v>
      </c>
      <c r="AR848" s="21">
        <f t="shared" si="541"/>
        <v>0</v>
      </c>
      <c r="AS848" s="21">
        <f t="shared" si="541"/>
        <v>0</v>
      </c>
      <c r="AT848" s="21">
        <f t="shared" si="541"/>
        <v>0</v>
      </c>
      <c r="AU848" s="21">
        <f t="shared" si="541"/>
        <v>0</v>
      </c>
      <c r="AV848" s="21">
        <f t="shared" si="541"/>
        <v>0</v>
      </c>
      <c r="AW848" s="21">
        <f t="shared" si="541"/>
        <v>0</v>
      </c>
      <c r="AX848" s="21">
        <f t="shared" si="541"/>
        <v>0</v>
      </c>
      <c r="AY848" s="21">
        <f t="shared" si="541"/>
        <v>0</v>
      </c>
      <c r="AZ848" s="21">
        <f t="shared" si="541"/>
        <v>0</v>
      </c>
      <c r="BA848" s="21">
        <f t="shared" si="541"/>
        <v>0</v>
      </c>
      <c r="BB848" s="21">
        <f t="shared" si="541"/>
        <v>0</v>
      </c>
      <c r="BC848" s="21">
        <f t="shared" si="541"/>
        <v>0</v>
      </c>
      <c r="BD848" s="21">
        <f t="shared" si="541"/>
        <v>0</v>
      </c>
    </row>
    <row r="849" spans="3:56" ht="15" customHeight="1">
      <c r="C849" s="21">
        <f>SUM(G849:BD849)</f>
        <v>61.417983652006825</v>
      </c>
      <c r="D849" s="11" t="s">
        <v>441</v>
      </c>
      <c r="E849" s="18" t="s">
        <v>333</v>
      </c>
      <c r="G849" s="21">
        <f t="shared" ref="G849:AL849" si="542">G244</f>
        <v>0</v>
      </c>
      <c r="H849" s="21">
        <f t="shared" si="542"/>
        <v>0</v>
      </c>
      <c r="I849" s="21">
        <f t="shared" si="542"/>
        <v>0</v>
      </c>
      <c r="J849" s="21">
        <f t="shared" si="542"/>
        <v>0</v>
      </c>
      <c r="K849" s="21">
        <f t="shared" si="542"/>
        <v>0.9092430144000001</v>
      </c>
      <c r="L849" s="21">
        <f t="shared" si="542"/>
        <v>2.1639983742720004</v>
      </c>
      <c r="M849" s="21">
        <f t="shared" si="542"/>
        <v>2.2072783417574402</v>
      </c>
      <c r="N849" s="21">
        <f t="shared" si="542"/>
        <v>2.2514239085925887</v>
      </c>
      <c r="O849" s="21">
        <f t="shared" si="542"/>
        <v>2.2964523867644404</v>
      </c>
      <c r="P849" s="21">
        <f t="shared" si="542"/>
        <v>2.3423814344997291</v>
      </c>
      <c r="Q849" s="21">
        <f t="shared" si="542"/>
        <v>2.3892290631897244</v>
      </c>
      <c r="R849" s="21">
        <f t="shared" si="542"/>
        <v>2.437013644453518</v>
      </c>
      <c r="S849" s="21">
        <f t="shared" si="542"/>
        <v>2.4857539173425893</v>
      </c>
      <c r="T849" s="21">
        <f t="shared" si="542"/>
        <v>2.5354689956894405</v>
      </c>
      <c r="U849" s="21">
        <f t="shared" si="542"/>
        <v>2.5861783756032297</v>
      </c>
      <c r="V849" s="21">
        <f t="shared" si="542"/>
        <v>2.6379019431152932</v>
      </c>
      <c r="W849" s="21">
        <f t="shared" si="542"/>
        <v>2.6906599819775998</v>
      </c>
      <c r="X849" s="21">
        <f t="shared" si="542"/>
        <v>2.7444731816171521</v>
      </c>
      <c r="Y849" s="21">
        <f t="shared" si="542"/>
        <v>2.7993626452494946</v>
      </c>
      <c r="Z849" s="21">
        <f t="shared" si="542"/>
        <v>2.8553498981544845</v>
      </c>
      <c r="AA849" s="21">
        <f t="shared" si="542"/>
        <v>2.9124568961175745</v>
      </c>
      <c r="AB849" s="21">
        <f t="shared" si="542"/>
        <v>2.9707060340399263</v>
      </c>
      <c r="AC849" s="21">
        <f t="shared" si="542"/>
        <v>3.0301201547207244</v>
      </c>
      <c r="AD849" s="21">
        <f t="shared" si="542"/>
        <v>3.0907225578151385</v>
      </c>
      <c r="AE849" s="21">
        <f t="shared" si="542"/>
        <v>3.1525370089714415</v>
      </c>
      <c r="AF849" s="21">
        <f t="shared" si="542"/>
        <v>3.2155877491508704</v>
      </c>
      <c r="AG849" s="21">
        <f t="shared" si="542"/>
        <v>3.2798995041338879</v>
      </c>
      <c r="AH849" s="21">
        <f t="shared" si="542"/>
        <v>1.4337846403785279</v>
      </c>
      <c r="AI849" s="21">
        <f t="shared" si="542"/>
        <v>0</v>
      </c>
      <c r="AJ849" s="21">
        <f t="shared" si="542"/>
        <v>0</v>
      </c>
      <c r="AK849" s="21">
        <f t="shared" si="542"/>
        <v>0</v>
      </c>
      <c r="AL849" s="21">
        <f t="shared" si="542"/>
        <v>0</v>
      </c>
      <c r="AM849" s="21">
        <f t="shared" ref="AM849:BD849" si="543">AM244</f>
        <v>0</v>
      </c>
      <c r="AN849" s="21">
        <f t="shared" si="543"/>
        <v>0</v>
      </c>
      <c r="AO849" s="21">
        <f t="shared" si="543"/>
        <v>0</v>
      </c>
      <c r="AP849" s="21">
        <f t="shared" si="543"/>
        <v>0</v>
      </c>
      <c r="AQ849" s="21">
        <f t="shared" si="543"/>
        <v>0</v>
      </c>
      <c r="AR849" s="21">
        <f t="shared" si="543"/>
        <v>0</v>
      </c>
      <c r="AS849" s="21">
        <f t="shared" si="543"/>
        <v>0</v>
      </c>
      <c r="AT849" s="21">
        <f t="shared" si="543"/>
        <v>0</v>
      </c>
      <c r="AU849" s="21">
        <f t="shared" si="543"/>
        <v>0</v>
      </c>
      <c r="AV849" s="21">
        <f t="shared" si="543"/>
        <v>0</v>
      </c>
      <c r="AW849" s="21">
        <f t="shared" si="543"/>
        <v>0</v>
      </c>
      <c r="AX849" s="21">
        <f t="shared" si="543"/>
        <v>0</v>
      </c>
      <c r="AY849" s="21">
        <f t="shared" si="543"/>
        <v>0</v>
      </c>
      <c r="AZ849" s="21">
        <f t="shared" si="543"/>
        <v>0</v>
      </c>
      <c r="BA849" s="21">
        <f t="shared" si="543"/>
        <v>0</v>
      </c>
      <c r="BB849" s="21">
        <f t="shared" si="543"/>
        <v>0</v>
      </c>
      <c r="BC849" s="21">
        <f t="shared" si="543"/>
        <v>0</v>
      </c>
      <c r="BD849" s="21">
        <f t="shared" si="543"/>
        <v>0</v>
      </c>
    </row>
    <row r="850" spans="3:56" ht="15" customHeight="1">
      <c r="C850" s="21">
        <f t="shared" si="537"/>
        <v>1228.3596730401362</v>
      </c>
      <c r="D850" s="11" t="s">
        <v>367</v>
      </c>
      <c r="E850" s="18" t="s">
        <v>333</v>
      </c>
      <c r="G850" s="21">
        <f t="shared" ref="G850:AL850" si="544">G112+G119+G313</f>
        <v>0</v>
      </c>
      <c r="H850" s="21">
        <f t="shared" si="544"/>
        <v>0</v>
      </c>
      <c r="I850" s="21">
        <f t="shared" si="544"/>
        <v>0</v>
      </c>
      <c r="J850" s="21">
        <f t="shared" si="544"/>
        <v>0</v>
      </c>
      <c r="K850" s="21">
        <f t="shared" si="544"/>
        <v>18.184860287999999</v>
      </c>
      <c r="L850" s="21">
        <f t="shared" si="544"/>
        <v>43.279967485439997</v>
      </c>
      <c r="M850" s="21">
        <f t="shared" si="544"/>
        <v>44.145566835148799</v>
      </c>
      <c r="N850" s="21">
        <f t="shared" si="544"/>
        <v>45.028478171851766</v>
      </c>
      <c r="O850" s="21">
        <f t="shared" si="544"/>
        <v>45.929047735288798</v>
      </c>
      <c r="P850" s="21">
        <f t="shared" si="544"/>
        <v>46.847628689994579</v>
      </c>
      <c r="Q850" s="21">
        <f t="shared" si="544"/>
        <v>47.784581263794472</v>
      </c>
      <c r="R850" s="21">
        <f t="shared" si="544"/>
        <v>48.740272889070354</v>
      </c>
      <c r="S850" s="21">
        <f t="shared" si="544"/>
        <v>49.715078346851776</v>
      </c>
      <c r="T850" s="21">
        <f t="shared" si="544"/>
        <v>50.709379913788801</v>
      </c>
      <c r="U850" s="21">
        <f t="shared" si="544"/>
        <v>51.723567512064584</v>
      </c>
      <c r="V850" s="21">
        <f t="shared" si="544"/>
        <v>52.75803886230586</v>
      </c>
      <c r="W850" s="21">
        <f t="shared" si="544"/>
        <v>53.813199639551982</v>
      </c>
      <c r="X850" s="21">
        <f t="shared" si="544"/>
        <v>54.88946363234303</v>
      </c>
      <c r="Y850" s="21">
        <f t="shared" si="544"/>
        <v>55.987252904989887</v>
      </c>
      <c r="Z850" s="21">
        <f t="shared" si="544"/>
        <v>57.106997963089682</v>
      </c>
      <c r="AA850" s="21">
        <f t="shared" si="544"/>
        <v>58.24913792235148</v>
      </c>
      <c r="AB850" s="21">
        <f t="shared" si="544"/>
        <v>59.414120680798504</v>
      </c>
      <c r="AC850" s="21">
        <f t="shared" si="544"/>
        <v>60.602403094414484</v>
      </c>
      <c r="AD850" s="21">
        <f t="shared" si="544"/>
        <v>61.814451156302759</v>
      </c>
      <c r="AE850" s="21">
        <f t="shared" si="544"/>
        <v>63.050740179428814</v>
      </c>
      <c r="AF850" s="21">
        <f t="shared" si="544"/>
        <v>64.311754983017394</v>
      </c>
      <c r="AG850" s="21">
        <f t="shared" si="544"/>
        <v>65.59799008267774</v>
      </c>
      <c r="AH850" s="21">
        <f t="shared" si="544"/>
        <v>28.675692807570552</v>
      </c>
      <c r="AI850" s="21">
        <f t="shared" si="544"/>
        <v>0</v>
      </c>
      <c r="AJ850" s="21">
        <f t="shared" si="544"/>
        <v>0</v>
      </c>
      <c r="AK850" s="21">
        <f t="shared" si="544"/>
        <v>0</v>
      </c>
      <c r="AL850" s="21">
        <f t="shared" si="544"/>
        <v>0</v>
      </c>
      <c r="AM850" s="21">
        <f t="shared" ref="AM850:BD850" si="545">AM112+AM119+AM313</f>
        <v>0</v>
      </c>
      <c r="AN850" s="21">
        <f t="shared" si="545"/>
        <v>0</v>
      </c>
      <c r="AO850" s="21">
        <f t="shared" si="545"/>
        <v>0</v>
      </c>
      <c r="AP850" s="21">
        <f t="shared" si="545"/>
        <v>0</v>
      </c>
      <c r="AQ850" s="21">
        <f t="shared" si="545"/>
        <v>0</v>
      </c>
      <c r="AR850" s="21">
        <f t="shared" si="545"/>
        <v>0</v>
      </c>
      <c r="AS850" s="21">
        <f t="shared" si="545"/>
        <v>0</v>
      </c>
      <c r="AT850" s="21">
        <f t="shared" si="545"/>
        <v>0</v>
      </c>
      <c r="AU850" s="21">
        <f t="shared" si="545"/>
        <v>0</v>
      </c>
      <c r="AV850" s="21">
        <f t="shared" si="545"/>
        <v>0</v>
      </c>
      <c r="AW850" s="21">
        <f t="shared" si="545"/>
        <v>0</v>
      </c>
      <c r="AX850" s="21">
        <f t="shared" si="545"/>
        <v>0</v>
      </c>
      <c r="AY850" s="21">
        <f t="shared" si="545"/>
        <v>0</v>
      </c>
      <c r="AZ850" s="21">
        <f t="shared" si="545"/>
        <v>0</v>
      </c>
      <c r="BA850" s="21">
        <f t="shared" si="545"/>
        <v>0</v>
      </c>
      <c r="BB850" s="21">
        <f t="shared" si="545"/>
        <v>0</v>
      </c>
      <c r="BC850" s="21">
        <f t="shared" si="545"/>
        <v>0</v>
      </c>
      <c r="BD850" s="21">
        <f t="shared" si="545"/>
        <v>0</v>
      </c>
    </row>
    <row r="851" spans="3:56" ht="15" customHeight="1">
      <c r="C851" s="21">
        <f t="shared" si="537"/>
        <v>0</v>
      </c>
      <c r="D851" s="132" t="s">
        <v>687</v>
      </c>
      <c r="E851" s="18" t="s">
        <v>333</v>
      </c>
      <c r="G851" s="21">
        <f t="shared" ref="G851:AL851" si="546">G139+G198</f>
        <v>0</v>
      </c>
      <c r="H851" s="21">
        <f t="shared" si="546"/>
        <v>0</v>
      </c>
      <c r="I851" s="21">
        <f t="shared" si="546"/>
        <v>0</v>
      </c>
      <c r="J851" s="21">
        <f t="shared" si="546"/>
        <v>0</v>
      </c>
      <c r="K851" s="21">
        <f t="shared" si="546"/>
        <v>0</v>
      </c>
      <c r="L851" s="21">
        <f t="shared" si="546"/>
        <v>0</v>
      </c>
      <c r="M851" s="21">
        <f t="shared" si="546"/>
        <v>0</v>
      </c>
      <c r="N851" s="21">
        <f t="shared" si="546"/>
        <v>0</v>
      </c>
      <c r="O851" s="21">
        <f t="shared" si="546"/>
        <v>0</v>
      </c>
      <c r="P851" s="21">
        <f t="shared" si="546"/>
        <v>0</v>
      </c>
      <c r="Q851" s="21">
        <f t="shared" si="546"/>
        <v>0</v>
      </c>
      <c r="R851" s="21">
        <f t="shared" si="546"/>
        <v>0</v>
      </c>
      <c r="S851" s="21">
        <f t="shared" si="546"/>
        <v>0</v>
      </c>
      <c r="T851" s="21">
        <f t="shared" si="546"/>
        <v>0</v>
      </c>
      <c r="U851" s="21">
        <f t="shared" si="546"/>
        <v>0</v>
      </c>
      <c r="V851" s="21">
        <f t="shared" si="546"/>
        <v>0</v>
      </c>
      <c r="W851" s="21">
        <f t="shared" si="546"/>
        <v>0</v>
      </c>
      <c r="X851" s="21">
        <f t="shared" si="546"/>
        <v>0</v>
      </c>
      <c r="Y851" s="21">
        <f t="shared" si="546"/>
        <v>0</v>
      </c>
      <c r="Z851" s="21">
        <f t="shared" si="546"/>
        <v>0</v>
      </c>
      <c r="AA851" s="21">
        <f t="shared" si="546"/>
        <v>0</v>
      </c>
      <c r="AB851" s="21">
        <f t="shared" si="546"/>
        <v>0</v>
      </c>
      <c r="AC851" s="21">
        <f t="shared" si="546"/>
        <v>0</v>
      </c>
      <c r="AD851" s="21">
        <f t="shared" si="546"/>
        <v>0</v>
      </c>
      <c r="AE851" s="21">
        <f t="shared" si="546"/>
        <v>0</v>
      </c>
      <c r="AF851" s="21">
        <f t="shared" si="546"/>
        <v>0</v>
      </c>
      <c r="AG851" s="21">
        <f t="shared" si="546"/>
        <v>0</v>
      </c>
      <c r="AH851" s="21">
        <f t="shared" si="546"/>
        <v>0</v>
      </c>
      <c r="AI851" s="21">
        <f t="shared" si="546"/>
        <v>0</v>
      </c>
      <c r="AJ851" s="21">
        <f t="shared" si="546"/>
        <v>0</v>
      </c>
      <c r="AK851" s="21">
        <f t="shared" si="546"/>
        <v>0</v>
      </c>
      <c r="AL851" s="21">
        <f t="shared" si="546"/>
        <v>0</v>
      </c>
      <c r="AM851" s="21">
        <f t="shared" ref="AM851:BD851" si="547">AM139+AM198</f>
        <v>0</v>
      </c>
      <c r="AN851" s="21">
        <f t="shared" si="547"/>
        <v>0</v>
      </c>
      <c r="AO851" s="21">
        <f t="shared" si="547"/>
        <v>0</v>
      </c>
      <c r="AP851" s="21">
        <f t="shared" si="547"/>
        <v>0</v>
      </c>
      <c r="AQ851" s="21">
        <f t="shared" si="547"/>
        <v>0</v>
      </c>
      <c r="AR851" s="21">
        <f t="shared" si="547"/>
        <v>0</v>
      </c>
      <c r="AS851" s="21">
        <f t="shared" si="547"/>
        <v>0</v>
      </c>
      <c r="AT851" s="21">
        <f t="shared" si="547"/>
        <v>0</v>
      </c>
      <c r="AU851" s="21">
        <f t="shared" si="547"/>
        <v>0</v>
      </c>
      <c r="AV851" s="21">
        <f t="shared" si="547"/>
        <v>0</v>
      </c>
      <c r="AW851" s="21">
        <f t="shared" si="547"/>
        <v>0</v>
      </c>
      <c r="AX851" s="21">
        <f t="shared" si="547"/>
        <v>0</v>
      </c>
      <c r="AY851" s="21">
        <f t="shared" si="547"/>
        <v>0</v>
      </c>
      <c r="AZ851" s="21">
        <f t="shared" si="547"/>
        <v>0</v>
      </c>
      <c r="BA851" s="21">
        <f t="shared" si="547"/>
        <v>0</v>
      </c>
      <c r="BB851" s="21">
        <f t="shared" si="547"/>
        <v>0</v>
      </c>
      <c r="BC851" s="21">
        <f t="shared" si="547"/>
        <v>0</v>
      </c>
      <c r="BD851" s="21">
        <f t="shared" si="547"/>
        <v>0</v>
      </c>
    </row>
    <row r="852" spans="3:56" ht="15" customHeight="1">
      <c r="C852" s="21">
        <f t="shared" si="537"/>
        <v>0</v>
      </c>
      <c r="D852" s="132" t="s">
        <v>414</v>
      </c>
      <c r="E852" s="18" t="s">
        <v>333</v>
      </c>
      <c r="G852" s="21">
        <f t="shared" ref="G852:AL852" si="548">G208</f>
        <v>0</v>
      </c>
      <c r="H852" s="21">
        <f t="shared" si="548"/>
        <v>0</v>
      </c>
      <c r="I852" s="21">
        <f t="shared" si="548"/>
        <v>0</v>
      </c>
      <c r="J852" s="21">
        <f t="shared" si="548"/>
        <v>0</v>
      </c>
      <c r="K852" s="21">
        <f t="shared" si="548"/>
        <v>0</v>
      </c>
      <c r="L852" s="21">
        <f t="shared" si="548"/>
        <v>0</v>
      </c>
      <c r="M852" s="21">
        <f t="shared" si="548"/>
        <v>0</v>
      </c>
      <c r="N852" s="21">
        <f t="shared" si="548"/>
        <v>0</v>
      </c>
      <c r="O852" s="21">
        <f t="shared" si="548"/>
        <v>0</v>
      </c>
      <c r="P852" s="21">
        <f t="shared" si="548"/>
        <v>0</v>
      </c>
      <c r="Q852" s="21">
        <f t="shared" si="548"/>
        <v>0</v>
      </c>
      <c r="R852" s="21">
        <f t="shared" si="548"/>
        <v>0</v>
      </c>
      <c r="S852" s="21">
        <f t="shared" si="548"/>
        <v>0</v>
      </c>
      <c r="T852" s="21">
        <f t="shared" si="548"/>
        <v>0</v>
      </c>
      <c r="U852" s="21">
        <f t="shared" si="548"/>
        <v>0</v>
      </c>
      <c r="V852" s="21">
        <f t="shared" si="548"/>
        <v>0</v>
      </c>
      <c r="W852" s="21">
        <f t="shared" si="548"/>
        <v>0</v>
      </c>
      <c r="X852" s="21">
        <f t="shared" si="548"/>
        <v>0</v>
      </c>
      <c r="Y852" s="21">
        <f t="shared" si="548"/>
        <v>0</v>
      </c>
      <c r="Z852" s="21">
        <f t="shared" si="548"/>
        <v>0</v>
      </c>
      <c r="AA852" s="21">
        <f t="shared" si="548"/>
        <v>0</v>
      </c>
      <c r="AB852" s="21">
        <f t="shared" si="548"/>
        <v>0</v>
      </c>
      <c r="AC852" s="21">
        <f t="shared" si="548"/>
        <v>0</v>
      </c>
      <c r="AD852" s="21">
        <f t="shared" si="548"/>
        <v>0</v>
      </c>
      <c r="AE852" s="21">
        <f t="shared" si="548"/>
        <v>0</v>
      </c>
      <c r="AF852" s="21">
        <f t="shared" si="548"/>
        <v>0</v>
      </c>
      <c r="AG852" s="21">
        <f t="shared" si="548"/>
        <v>0</v>
      </c>
      <c r="AH852" s="21">
        <f t="shared" si="548"/>
        <v>0</v>
      </c>
      <c r="AI852" s="21">
        <f t="shared" si="548"/>
        <v>0</v>
      </c>
      <c r="AJ852" s="21">
        <f t="shared" si="548"/>
        <v>0</v>
      </c>
      <c r="AK852" s="21">
        <f t="shared" si="548"/>
        <v>0</v>
      </c>
      <c r="AL852" s="21">
        <f t="shared" si="548"/>
        <v>0</v>
      </c>
      <c r="AM852" s="21">
        <f t="shared" ref="AM852:BD852" si="549">AM208</f>
        <v>0</v>
      </c>
      <c r="AN852" s="21">
        <f t="shared" si="549"/>
        <v>0</v>
      </c>
      <c r="AO852" s="21">
        <f t="shared" si="549"/>
        <v>0</v>
      </c>
      <c r="AP852" s="21">
        <f t="shared" si="549"/>
        <v>0</v>
      </c>
      <c r="AQ852" s="21">
        <f t="shared" si="549"/>
        <v>0</v>
      </c>
      <c r="AR852" s="21">
        <f t="shared" si="549"/>
        <v>0</v>
      </c>
      <c r="AS852" s="21">
        <f t="shared" si="549"/>
        <v>0</v>
      </c>
      <c r="AT852" s="21">
        <f t="shared" si="549"/>
        <v>0</v>
      </c>
      <c r="AU852" s="21">
        <f t="shared" si="549"/>
        <v>0</v>
      </c>
      <c r="AV852" s="21">
        <f t="shared" si="549"/>
        <v>0</v>
      </c>
      <c r="AW852" s="21">
        <f t="shared" si="549"/>
        <v>0</v>
      </c>
      <c r="AX852" s="21">
        <f t="shared" si="549"/>
        <v>0</v>
      </c>
      <c r="AY852" s="21">
        <f t="shared" si="549"/>
        <v>0</v>
      </c>
      <c r="AZ852" s="21">
        <f t="shared" si="549"/>
        <v>0</v>
      </c>
      <c r="BA852" s="21">
        <f t="shared" si="549"/>
        <v>0</v>
      </c>
      <c r="BB852" s="21">
        <f t="shared" si="549"/>
        <v>0</v>
      </c>
      <c r="BC852" s="21">
        <f t="shared" si="549"/>
        <v>0</v>
      </c>
      <c r="BD852" s="21">
        <f t="shared" si="549"/>
        <v>0</v>
      </c>
    </row>
    <row r="853" spans="3:56" ht="15" customHeight="1">
      <c r="C853" s="21">
        <f t="shared" si="537"/>
        <v>0</v>
      </c>
      <c r="D853" s="132" t="s">
        <v>253</v>
      </c>
      <c r="E853" s="18" t="s">
        <v>333</v>
      </c>
      <c r="G853" s="21">
        <f t="shared" ref="G853:AL853" si="550">G311</f>
        <v>0</v>
      </c>
      <c r="H853" s="21">
        <f t="shared" si="550"/>
        <v>0</v>
      </c>
      <c r="I853" s="21">
        <f t="shared" si="550"/>
        <v>0</v>
      </c>
      <c r="J853" s="21">
        <f t="shared" si="550"/>
        <v>0</v>
      </c>
      <c r="K853" s="21">
        <f t="shared" si="550"/>
        <v>0</v>
      </c>
      <c r="L853" s="21">
        <f t="shared" si="550"/>
        <v>0</v>
      </c>
      <c r="M853" s="21">
        <f t="shared" si="550"/>
        <v>0</v>
      </c>
      <c r="N853" s="21">
        <f t="shared" si="550"/>
        <v>0</v>
      </c>
      <c r="O853" s="21">
        <f t="shared" si="550"/>
        <v>0</v>
      </c>
      <c r="P853" s="21">
        <f t="shared" si="550"/>
        <v>0</v>
      </c>
      <c r="Q853" s="21">
        <f t="shared" si="550"/>
        <v>0</v>
      </c>
      <c r="R853" s="21">
        <f t="shared" si="550"/>
        <v>0</v>
      </c>
      <c r="S853" s="21">
        <f t="shared" si="550"/>
        <v>0</v>
      </c>
      <c r="T853" s="21">
        <f t="shared" si="550"/>
        <v>0</v>
      </c>
      <c r="U853" s="21">
        <f t="shared" si="550"/>
        <v>0</v>
      </c>
      <c r="V853" s="21">
        <f t="shared" si="550"/>
        <v>0</v>
      </c>
      <c r="W853" s="21">
        <f t="shared" si="550"/>
        <v>0</v>
      </c>
      <c r="X853" s="21">
        <f t="shared" si="550"/>
        <v>0</v>
      </c>
      <c r="Y853" s="21">
        <f t="shared" si="550"/>
        <v>0</v>
      </c>
      <c r="Z853" s="21">
        <f t="shared" si="550"/>
        <v>0</v>
      </c>
      <c r="AA853" s="21">
        <f t="shared" si="550"/>
        <v>0</v>
      </c>
      <c r="AB853" s="21">
        <f t="shared" si="550"/>
        <v>0</v>
      </c>
      <c r="AC853" s="21">
        <f t="shared" si="550"/>
        <v>0</v>
      </c>
      <c r="AD853" s="21">
        <f t="shared" si="550"/>
        <v>0</v>
      </c>
      <c r="AE853" s="21">
        <f t="shared" si="550"/>
        <v>0</v>
      </c>
      <c r="AF853" s="21">
        <f t="shared" si="550"/>
        <v>0</v>
      </c>
      <c r="AG853" s="21">
        <f t="shared" si="550"/>
        <v>0</v>
      </c>
      <c r="AH853" s="21">
        <f t="shared" si="550"/>
        <v>0</v>
      </c>
      <c r="AI853" s="21">
        <f t="shared" si="550"/>
        <v>0</v>
      </c>
      <c r="AJ853" s="21">
        <f t="shared" si="550"/>
        <v>0</v>
      </c>
      <c r="AK853" s="21">
        <f t="shared" si="550"/>
        <v>0</v>
      </c>
      <c r="AL853" s="21">
        <f t="shared" si="550"/>
        <v>0</v>
      </c>
      <c r="AM853" s="21">
        <f t="shared" ref="AM853:BD853" si="551">AM311</f>
        <v>0</v>
      </c>
      <c r="AN853" s="21">
        <f t="shared" si="551"/>
        <v>0</v>
      </c>
      <c r="AO853" s="21">
        <f t="shared" si="551"/>
        <v>0</v>
      </c>
      <c r="AP853" s="21">
        <f t="shared" si="551"/>
        <v>0</v>
      </c>
      <c r="AQ853" s="21">
        <f t="shared" si="551"/>
        <v>0</v>
      </c>
      <c r="AR853" s="21">
        <f t="shared" si="551"/>
        <v>0</v>
      </c>
      <c r="AS853" s="21">
        <f t="shared" si="551"/>
        <v>0</v>
      </c>
      <c r="AT853" s="21">
        <f t="shared" si="551"/>
        <v>0</v>
      </c>
      <c r="AU853" s="21">
        <f t="shared" si="551"/>
        <v>0</v>
      </c>
      <c r="AV853" s="21">
        <f t="shared" si="551"/>
        <v>0</v>
      </c>
      <c r="AW853" s="21">
        <f t="shared" si="551"/>
        <v>0</v>
      </c>
      <c r="AX853" s="21">
        <f t="shared" si="551"/>
        <v>0</v>
      </c>
      <c r="AY853" s="21">
        <f t="shared" si="551"/>
        <v>0</v>
      </c>
      <c r="AZ853" s="21">
        <f t="shared" si="551"/>
        <v>0</v>
      </c>
      <c r="BA853" s="21">
        <f t="shared" si="551"/>
        <v>0</v>
      </c>
      <c r="BB853" s="21">
        <f t="shared" si="551"/>
        <v>0</v>
      </c>
      <c r="BC853" s="21">
        <f t="shared" si="551"/>
        <v>0</v>
      </c>
      <c r="BD853" s="21">
        <f t="shared" si="551"/>
        <v>0</v>
      </c>
    </row>
    <row r="854" spans="3:56" ht="15" customHeight="1">
      <c r="C854" s="21">
        <f t="shared" si="537"/>
        <v>0</v>
      </c>
      <c r="D854" s="132" t="s">
        <v>476</v>
      </c>
      <c r="E854" s="18" t="s">
        <v>333</v>
      </c>
      <c r="G854" s="21">
        <f t="shared" ref="G854:AL854" si="552">G319</f>
        <v>0</v>
      </c>
      <c r="H854" s="21">
        <f t="shared" si="552"/>
        <v>0</v>
      </c>
      <c r="I854" s="21">
        <f t="shared" si="552"/>
        <v>0</v>
      </c>
      <c r="J854" s="21">
        <f t="shared" si="552"/>
        <v>0</v>
      </c>
      <c r="K854" s="21">
        <f t="shared" si="552"/>
        <v>0</v>
      </c>
      <c r="L854" s="21">
        <f t="shared" si="552"/>
        <v>0</v>
      </c>
      <c r="M854" s="21">
        <f t="shared" si="552"/>
        <v>0</v>
      </c>
      <c r="N854" s="21">
        <f t="shared" si="552"/>
        <v>0</v>
      </c>
      <c r="O854" s="21">
        <f t="shared" si="552"/>
        <v>0</v>
      </c>
      <c r="P854" s="21">
        <f t="shared" si="552"/>
        <v>0</v>
      </c>
      <c r="Q854" s="21">
        <f t="shared" si="552"/>
        <v>0</v>
      </c>
      <c r="R854" s="21">
        <f t="shared" si="552"/>
        <v>0</v>
      </c>
      <c r="S854" s="21">
        <f t="shared" si="552"/>
        <v>0</v>
      </c>
      <c r="T854" s="21">
        <f t="shared" si="552"/>
        <v>0</v>
      </c>
      <c r="U854" s="21">
        <f t="shared" si="552"/>
        <v>0</v>
      </c>
      <c r="V854" s="21">
        <f t="shared" si="552"/>
        <v>0</v>
      </c>
      <c r="W854" s="21">
        <f t="shared" si="552"/>
        <v>0</v>
      </c>
      <c r="X854" s="21">
        <f t="shared" si="552"/>
        <v>0</v>
      </c>
      <c r="Y854" s="21">
        <f t="shared" si="552"/>
        <v>0</v>
      </c>
      <c r="Z854" s="21">
        <f t="shared" si="552"/>
        <v>0</v>
      </c>
      <c r="AA854" s="21">
        <f t="shared" si="552"/>
        <v>0</v>
      </c>
      <c r="AB854" s="21">
        <f t="shared" si="552"/>
        <v>0</v>
      </c>
      <c r="AC854" s="21">
        <f t="shared" si="552"/>
        <v>0</v>
      </c>
      <c r="AD854" s="21">
        <f t="shared" si="552"/>
        <v>0</v>
      </c>
      <c r="AE854" s="21">
        <f t="shared" si="552"/>
        <v>0</v>
      </c>
      <c r="AF854" s="21">
        <f t="shared" si="552"/>
        <v>0</v>
      </c>
      <c r="AG854" s="21">
        <f t="shared" si="552"/>
        <v>0</v>
      </c>
      <c r="AH854" s="21">
        <f t="shared" si="552"/>
        <v>0</v>
      </c>
      <c r="AI854" s="21">
        <f t="shared" si="552"/>
        <v>0</v>
      </c>
      <c r="AJ854" s="21">
        <f t="shared" si="552"/>
        <v>0</v>
      </c>
      <c r="AK854" s="21">
        <f t="shared" si="552"/>
        <v>0</v>
      </c>
      <c r="AL854" s="21">
        <f t="shared" si="552"/>
        <v>0</v>
      </c>
      <c r="AM854" s="21">
        <f t="shared" ref="AM854:BD854" si="553">AM319</f>
        <v>0</v>
      </c>
      <c r="AN854" s="21">
        <f t="shared" si="553"/>
        <v>0</v>
      </c>
      <c r="AO854" s="21">
        <f t="shared" si="553"/>
        <v>0</v>
      </c>
      <c r="AP854" s="21">
        <f t="shared" si="553"/>
        <v>0</v>
      </c>
      <c r="AQ854" s="21">
        <f t="shared" si="553"/>
        <v>0</v>
      </c>
      <c r="AR854" s="21">
        <f t="shared" si="553"/>
        <v>0</v>
      </c>
      <c r="AS854" s="21">
        <f t="shared" si="553"/>
        <v>0</v>
      </c>
      <c r="AT854" s="21">
        <f t="shared" si="553"/>
        <v>0</v>
      </c>
      <c r="AU854" s="21">
        <f t="shared" si="553"/>
        <v>0</v>
      </c>
      <c r="AV854" s="21">
        <f t="shared" si="553"/>
        <v>0</v>
      </c>
      <c r="AW854" s="21">
        <f t="shared" si="553"/>
        <v>0</v>
      </c>
      <c r="AX854" s="21">
        <f t="shared" si="553"/>
        <v>0</v>
      </c>
      <c r="AY854" s="21">
        <f t="shared" si="553"/>
        <v>0</v>
      </c>
      <c r="AZ854" s="21">
        <f t="shared" si="553"/>
        <v>0</v>
      </c>
      <c r="BA854" s="21">
        <f t="shared" si="553"/>
        <v>0</v>
      </c>
      <c r="BB854" s="21">
        <f t="shared" si="553"/>
        <v>0</v>
      </c>
      <c r="BC854" s="21">
        <f t="shared" si="553"/>
        <v>0</v>
      </c>
      <c r="BD854" s="21">
        <f t="shared" si="553"/>
        <v>0</v>
      </c>
    </row>
    <row r="855" spans="3:56" ht="15" customHeight="1">
      <c r="C855" s="21">
        <f t="shared" ref="C855" si="554">SUM(G855:BD855)</f>
        <v>0</v>
      </c>
      <c r="D855" s="132" t="s">
        <v>159</v>
      </c>
      <c r="E855" s="18" t="s">
        <v>333</v>
      </c>
      <c r="G855" s="21">
        <f t="shared" ref="G855:AL855" si="555">G410</f>
        <v>0</v>
      </c>
      <c r="H855" s="21">
        <f t="shared" si="555"/>
        <v>0</v>
      </c>
      <c r="I855" s="21">
        <f t="shared" si="555"/>
        <v>0</v>
      </c>
      <c r="J855" s="21">
        <f t="shared" si="555"/>
        <v>0</v>
      </c>
      <c r="K855" s="21">
        <f t="shared" si="555"/>
        <v>0</v>
      </c>
      <c r="L855" s="21">
        <f t="shared" si="555"/>
        <v>0</v>
      </c>
      <c r="M855" s="21">
        <f t="shared" si="555"/>
        <v>0</v>
      </c>
      <c r="N855" s="21">
        <f t="shared" si="555"/>
        <v>0</v>
      </c>
      <c r="O855" s="21">
        <f t="shared" si="555"/>
        <v>0</v>
      </c>
      <c r="P855" s="21">
        <f t="shared" si="555"/>
        <v>0</v>
      </c>
      <c r="Q855" s="21">
        <f t="shared" si="555"/>
        <v>0</v>
      </c>
      <c r="R855" s="21">
        <f t="shared" si="555"/>
        <v>0</v>
      </c>
      <c r="S855" s="21">
        <f t="shared" si="555"/>
        <v>0</v>
      </c>
      <c r="T855" s="21">
        <f t="shared" si="555"/>
        <v>0</v>
      </c>
      <c r="U855" s="21">
        <f t="shared" si="555"/>
        <v>0</v>
      </c>
      <c r="V855" s="21">
        <f t="shared" si="555"/>
        <v>0</v>
      </c>
      <c r="W855" s="21">
        <f t="shared" si="555"/>
        <v>0</v>
      </c>
      <c r="X855" s="21">
        <f t="shared" si="555"/>
        <v>0</v>
      </c>
      <c r="Y855" s="21">
        <f t="shared" si="555"/>
        <v>0</v>
      </c>
      <c r="Z855" s="21">
        <f t="shared" si="555"/>
        <v>0</v>
      </c>
      <c r="AA855" s="21">
        <f t="shared" si="555"/>
        <v>0</v>
      </c>
      <c r="AB855" s="21">
        <f t="shared" si="555"/>
        <v>0</v>
      </c>
      <c r="AC855" s="21">
        <f t="shared" si="555"/>
        <v>0</v>
      </c>
      <c r="AD855" s="21">
        <f t="shared" si="555"/>
        <v>0</v>
      </c>
      <c r="AE855" s="21">
        <f t="shared" si="555"/>
        <v>0</v>
      </c>
      <c r="AF855" s="21">
        <f t="shared" si="555"/>
        <v>0</v>
      </c>
      <c r="AG855" s="21">
        <f t="shared" si="555"/>
        <v>0</v>
      </c>
      <c r="AH855" s="21">
        <f t="shared" si="555"/>
        <v>0</v>
      </c>
      <c r="AI855" s="21">
        <f t="shared" si="555"/>
        <v>0</v>
      </c>
      <c r="AJ855" s="21">
        <f t="shared" si="555"/>
        <v>0</v>
      </c>
      <c r="AK855" s="21">
        <f t="shared" si="555"/>
        <v>0</v>
      </c>
      <c r="AL855" s="21">
        <f t="shared" si="555"/>
        <v>0</v>
      </c>
      <c r="AM855" s="21">
        <f t="shared" ref="AM855:BD855" si="556">AM410</f>
        <v>0</v>
      </c>
      <c r="AN855" s="21">
        <f t="shared" si="556"/>
        <v>0</v>
      </c>
      <c r="AO855" s="21">
        <f t="shared" si="556"/>
        <v>0</v>
      </c>
      <c r="AP855" s="21">
        <f t="shared" si="556"/>
        <v>0</v>
      </c>
      <c r="AQ855" s="21">
        <f t="shared" si="556"/>
        <v>0</v>
      </c>
      <c r="AR855" s="21">
        <f t="shared" si="556"/>
        <v>0</v>
      </c>
      <c r="AS855" s="21">
        <f t="shared" si="556"/>
        <v>0</v>
      </c>
      <c r="AT855" s="21">
        <f t="shared" si="556"/>
        <v>0</v>
      </c>
      <c r="AU855" s="21">
        <f t="shared" si="556"/>
        <v>0</v>
      </c>
      <c r="AV855" s="21">
        <f t="shared" si="556"/>
        <v>0</v>
      </c>
      <c r="AW855" s="21">
        <f t="shared" si="556"/>
        <v>0</v>
      </c>
      <c r="AX855" s="21">
        <f t="shared" si="556"/>
        <v>0</v>
      </c>
      <c r="AY855" s="21">
        <f t="shared" si="556"/>
        <v>0</v>
      </c>
      <c r="AZ855" s="21">
        <f t="shared" si="556"/>
        <v>0</v>
      </c>
      <c r="BA855" s="21">
        <f t="shared" si="556"/>
        <v>0</v>
      </c>
      <c r="BB855" s="21">
        <f t="shared" si="556"/>
        <v>0</v>
      </c>
      <c r="BC855" s="21">
        <f t="shared" si="556"/>
        <v>0</v>
      </c>
      <c r="BD855" s="21">
        <f t="shared" si="556"/>
        <v>0</v>
      </c>
    </row>
    <row r="856" spans="3:56" ht="15" customHeight="1">
      <c r="C856" s="21">
        <f t="shared" si="537"/>
        <v>1953.1758081943549</v>
      </c>
      <c r="D856" s="132" t="s">
        <v>126</v>
      </c>
      <c r="E856" s="18" t="s">
        <v>333</v>
      </c>
      <c r="G856" s="21">
        <f t="shared" ref="G856:AL856" si="557">G440</f>
        <v>0</v>
      </c>
      <c r="H856" s="21">
        <f t="shared" si="557"/>
        <v>0</v>
      </c>
      <c r="I856" s="21">
        <f t="shared" si="557"/>
        <v>0</v>
      </c>
      <c r="J856" s="21">
        <f t="shared" si="557"/>
        <v>0</v>
      </c>
      <c r="K856" s="21">
        <f t="shared" si="557"/>
        <v>0</v>
      </c>
      <c r="L856" s="21">
        <f t="shared" si="557"/>
        <v>38.444527525958449</v>
      </c>
      <c r="M856" s="21">
        <f t="shared" si="557"/>
        <v>52.563655534927982</v>
      </c>
      <c r="N856" s="21">
        <f t="shared" si="557"/>
        <v>52.603499540794509</v>
      </c>
      <c r="O856" s="21">
        <f t="shared" si="557"/>
        <v>52.624040897562431</v>
      </c>
      <c r="P856" s="21">
        <f t="shared" si="557"/>
        <v>81.279382272249691</v>
      </c>
      <c r="Q856" s="21">
        <f t="shared" si="557"/>
        <v>82.904969917694672</v>
      </c>
      <c r="R856" s="21">
        <f t="shared" si="557"/>
        <v>84.563069316048527</v>
      </c>
      <c r="S856" s="21">
        <f t="shared" si="557"/>
        <v>86.254330702369529</v>
      </c>
      <c r="T856" s="21">
        <f t="shared" si="557"/>
        <v>87.979417316416928</v>
      </c>
      <c r="U856" s="21">
        <f t="shared" si="557"/>
        <v>89.739005662745257</v>
      </c>
      <c r="V856" s="21">
        <f t="shared" si="557"/>
        <v>91.533785776000144</v>
      </c>
      <c r="W856" s="21">
        <f t="shared" si="557"/>
        <v>93.364461491520174</v>
      </c>
      <c r="X856" s="21">
        <f t="shared" si="557"/>
        <v>95.231750721350593</v>
      </c>
      <c r="Y856" s="21">
        <f t="shared" si="557"/>
        <v>96.454722753979823</v>
      </c>
      <c r="Z856" s="21">
        <f t="shared" si="557"/>
        <v>98.382199703678864</v>
      </c>
      <c r="AA856" s="21">
        <f t="shared" si="557"/>
        <v>100.34613214502158</v>
      </c>
      <c r="AB856" s="21">
        <f t="shared" si="557"/>
        <v>102.34654279586795</v>
      </c>
      <c r="AC856" s="21">
        <f t="shared" si="557"/>
        <v>104.38305283600222</v>
      </c>
      <c r="AD856" s="21">
        <f t="shared" si="557"/>
        <v>105.29548453681777</v>
      </c>
      <c r="AE856" s="21">
        <f t="shared" si="557"/>
        <v>107.37583888761124</v>
      </c>
      <c r="AF856" s="21">
        <f t="shared" si="557"/>
        <v>109.48041501103279</v>
      </c>
      <c r="AG856" s="21">
        <f t="shared" si="557"/>
        <v>113.96914422025617</v>
      </c>
      <c r="AH856" s="21">
        <f t="shared" si="557"/>
        <v>26.056378628447522</v>
      </c>
      <c r="AI856" s="21">
        <f t="shared" si="557"/>
        <v>0</v>
      </c>
      <c r="AJ856" s="21">
        <f t="shared" si="557"/>
        <v>0</v>
      </c>
      <c r="AK856" s="21">
        <f t="shared" si="557"/>
        <v>0</v>
      </c>
      <c r="AL856" s="21">
        <f t="shared" si="557"/>
        <v>0</v>
      </c>
      <c r="AM856" s="21">
        <f t="shared" ref="AM856:BD856" si="558">AM440</f>
        <v>0</v>
      </c>
      <c r="AN856" s="21">
        <f t="shared" si="558"/>
        <v>0</v>
      </c>
      <c r="AO856" s="21">
        <f t="shared" si="558"/>
        <v>0</v>
      </c>
      <c r="AP856" s="21">
        <f t="shared" si="558"/>
        <v>0</v>
      </c>
      <c r="AQ856" s="21">
        <f t="shared" si="558"/>
        <v>0</v>
      </c>
      <c r="AR856" s="21">
        <f t="shared" si="558"/>
        <v>0</v>
      </c>
      <c r="AS856" s="21">
        <f t="shared" si="558"/>
        <v>0</v>
      </c>
      <c r="AT856" s="21">
        <f t="shared" si="558"/>
        <v>0</v>
      </c>
      <c r="AU856" s="21">
        <f t="shared" si="558"/>
        <v>0</v>
      </c>
      <c r="AV856" s="21">
        <f t="shared" si="558"/>
        <v>0</v>
      </c>
      <c r="AW856" s="21">
        <f t="shared" si="558"/>
        <v>0</v>
      </c>
      <c r="AX856" s="21">
        <f t="shared" si="558"/>
        <v>0</v>
      </c>
      <c r="AY856" s="21">
        <f t="shared" si="558"/>
        <v>0</v>
      </c>
      <c r="AZ856" s="21">
        <f t="shared" si="558"/>
        <v>0</v>
      </c>
      <c r="BA856" s="21">
        <f t="shared" si="558"/>
        <v>0</v>
      </c>
      <c r="BB856" s="21">
        <f t="shared" si="558"/>
        <v>0</v>
      </c>
      <c r="BC856" s="21">
        <f t="shared" si="558"/>
        <v>0</v>
      </c>
      <c r="BD856" s="21">
        <f t="shared" si="558"/>
        <v>0</v>
      </c>
    </row>
    <row r="857" spans="3:56" ht="15" customHeight="1">
      <c r="C857" s="21">
        <f t="shared" si="537"/>
        <v>0</v>
      </c>
      <c r="D857" s="132" t="s">
        <v>688</v>
      </c>
      <c r="E857" s="18" t="s">
        <v>333</v>
      </c>
      <c r="G857" s="21">
        <f t="shared" ref="G857:AL857" si="559">G493</f>
        <v>0</v>
      </c>
      <c r="H857" s="21">
        <f t="shared" si="559"/>
        <v>0</v>
      </c>
      <c r="I857" s="21">
        <f t="shared" si="559"/>
        <v>0</v>
      </c>
      <c r="J857" s="21">
        <f t="shared" si="559"/>
        <v>0</v>
      </c>
      <c r="K857" s="21">
        <f t="shared" si="559"/>
        <v>0</v>
      </c>
      <c r="L857" s="21">
        <f t="shared" si="559"/>
        <v>0</v>
      </c>
      <c r="M857" s="21">
        <f t="shared" si="559"/>
        <v>0</v>
      </c>
      <c r="N857" s="21">
        <f t="shared" si="559"/>
        <v>0</v>
      </c>
      <c r="O857" s="21">
        <f t="shared" si="559"/>
        <v>0</v>
      </c>
      <c r="P857" s="21">
        <f t="shared" si="559"/>
        <v>0</v>
      </c>
      <c r="Q857" s="21">
        <f t="shared" si="559"/>
        <v>0</v>
      </c>
      <c r="R857" s="21">
        <f t="shared" si="559"/>
        <v>0</v>
      </c>
      <c r="S857" s="21">
        <f t="shared" si="559"/>
        <v>0</v>
      </c>
      <c r="T857" s="21">
        <f t="shared" si="559"/>
        <v>0</v>
      </c>
      <c r="U857" s="21">
        <f t="shared" si="559"/>
        <v>0</v>
      </c>
      <c r="V857" s="21">
        <f t="shared" si="559"/>
        <v>0</v>
      </c>
      <c r="W857" s="21">
        <f t="shared" si="559"/>
        <v>0</v>
      </c>
      <c r="X857" s="21">
        <f t="shared" si="559"/>
        <v>0</v>
      </c>
      <c r="Y857" s="21">
        <f t="shared" si="559"/>
        <v>0</v>
      </c>
      <c r="Z857" s="21">
        <f t="shared" si="559"/>
        <v>0</v>
      </c>
      <c r="AA857" s="21">
        <f t="shared" si="559"/>
        <v>0</v>
      </c>
      <c r="AB857" s="21">
        <f t="shared" si="559"/>
        <v>0</v>
      </c>
      <c r="AC857" s="21">
        <f t="shared" si="559"/>
        <v>0</v>
      </c>
      <c r="AD857" s="21">
        <f t="shared" si="559"/>
        <v>0</v>
      </c>
      <c r="AE857" s="21">
        <f t="shared" si="559"/>
        <v>0</v>
      </c>
      <c r="AF857" s="21">
        <f t="shared" si="559"/>
        <v>0</v>
      </c>
      <c r="AG857" s="21">
        <f t="shared" si="559"/>
        <v>0</v>
      </c>
      <c r="AH857" s="21">
        <f t="shared" si="559"/>
        <v>0</v>
      </c>
      <c r="AI857" s="21">
        <f t="shared" si="559"/>
        <v>0</v>
      </c>
      <c r="AJ857" s="21">
        <f t="shared" si="559"/>
        <v>0</v>
      </c>
      <c r="AK857" s="21">
        <f t="shared" si="559"/>
        <v>0</v>
      </c>
      <c r="AL857" s="21">
        <f t="shared" si="559"/>
        <v>0</v>
      </c>
      <c r="AM857" s="21">
        <f t="shared" ref="AM857:BD857" si="560">AM493</f>
        <v>0</v>
      </c>
      <c r="AN857" s="21">
        <f t="shared" si="560"/>
        <v>0</v>
      </c>
      <c r="AO857" s="21">
        <f t="shared" si="560"/>
        <v>0</v>
      </c>
      <c r="AP857" s="21">
        <f t="shared" si="560"/>
        <v>0</v>
      </c>
      <c r="AQ857" s="21">
        <f t="shared" si="560"/>
        <v>0</v>
      </c>
      <c r="AR857" s="21">
        <f t="shared" si="560"/>
        <v>0</v>
      </c>
      <c r="AS857" s="21">
        <f t="shared" si="560"/>
        <v>0</v>
      </c>
      <c r="AT857" s="21">
        <f t="shared" si="560"/>
        <v>0</v>
      </c>
      <c r="AU857" s="21">
        <f t="shared" si="560"/>
        <v>0</v>
      </c>
      <c r="AV857" s="21">
        <f t="shared" si="560"/>
        <v>0</v>
      </c>
      <c r="AW857" s="21">
        <f t="shared" si="560"/>
        <v>0</v>
      </c>
      <c r="AX857" s="21">
        <f t="shared" si="560"/>
        <v>0</v>
      </c>
      <c r="AY857" s="21">
        <f t="shared" si="560"/>
        <v>0</v>
      </c>
      <c r="AZ857" s="21">
        <f t="shared" si="560"/>
        <v>0</v>
      </c>
      <c r="BA857" s="21">
        <f t="shared" si="560"/>
        <v>0</v>
      </c>
      <c r="BB857" s="21">
        <f t="shared" si="560"/>
        <v>0</v>
      </c>
      <c r="BC857" s="21">
        <f t="shared" si="560"/>
        <v>0</v>
      </c>
      <c r="BD857" s="21">
        <f t="shared" si="560"/>
        <v>0</v>
      </c>
    </row>
    <row r="858" spans="3:56" ht="15" customHeight="1">
      <c r="C858" s="21">
        <f t="shared" si="537"/>
        <v>0</v>
      </c>
      <c r="D858" s="132" t="s">
        <v>525</v>
      </c>
      <c r="E858" s="18" t="s">
        <v>333</v>
      </c>
      <c r="G858" s="21">
        <f t="shared" ref="G858:AL858" si="561">G464</f>
        <v>0</v>
      </c>
      <c r="H858" s="21">
        <f t="shared" si="561"/>
        <v>0</v>
      </c>
      <c r="I858" s="21">
        <f t="shared" si="561"/>
        <v>0</v>
      </c>
      <c r="J858" s="21">
        <f t="shared" si="561"/>
        <v>0</v>
      </c>
      <c r="K858" s="21">
        <f t="shared" si="561"/>
        <v>0</v>
      </c>
      <c r="L858" s="21">
        <f t="shared" si="561"/>
        <v>0</v>
      </c>
      <c r="M858" s="21">
        <f t="shared" si="561"/>
        <v>0</v>
      </c>
      <c r="N858" s="21">
        <f t="shared" si="561"/>
        <v>0</v>
      </c>
      <c r="O858" s="21">
        <f t="shared" si="561"/>
        <v>0</v>
      </c>
      <c r="P858" s="21">
        <f t="shared" si="561"/>
        <v>0</v>
      </c>
      <c r="Q858" s="21">
        <f t="shared" si="561"/>
        <v>0</v>
      </c>
      <c r="R858" s="21">
        <f t="shared" si="561"/>
        <v>0</v>
      </c>
      <c r="S858" s="21">
        <f t="shared" si="561"/>
        <v>0</v>
      </c>
      <c r="T858" s="21">
        <f t="shared" si="561"/>
        <v>0</v>
      </c>
      <c r="U858" s="21">
        <f t="shared" si="561"/>
        <v>0</v>
      </c>
      <c r="V858" s="21">
        <f t="shared" si="561"/>
        <v>0</v>
      </c>
      <c r="W858" s="21">
        <f t="shared" si="561"/>
        <v>0</v>
      </c>
      <c r="X858" s="21">
        <f t="shared" si="561"/>
        <v>0</v>
      </c>
      <c r="Y858" s="21">
        <f t="shared" si="561"/>
        <v>0</v>
      </c>
      <c r="Z858" s="21">
        <f t="shared" si="561"/>
        <v>0</v>
      </c>
      <c r="AA858" s="21">
        <f t="shared" si="561"/>
        <v>0</v>
      </c>
      <c r="AB858" s="21">
        <f t="shared" si="561"/>
        <v>0</v>
      </c>
      <c r="AC858" s="21">
        <f t="shared" si="561"/>
        <v>0</v>
      </c>
      <c r="AD858" s="21">
        <f t="shared" si="561"/>
        <v>0</v>
      </c>
      <c r="AE858" s="21">
        <f t="shared" si="561"/>
        <v>0</v>
      </c>
      <c r="AF858" s="21">
        <f t="shared" si="561"/>
        <v>0</v>
      </c>
      <c r="AG858" s="21">
        <f t="shared" si="561"/>
        <v>0</v>
      </c>
      <c r="AH858" s="21">
        <f t="shared" si="561"/>
        <v>0</v>
      </c>
      <c r="AI858" s="21">
        <f t="shared" si="561"/>
        <v>0</v>
      </c>
      <c r="AJ858" s="21">
        <f t="shared" si="561"/>
        <v>0</v>
      </c>
      <c r="AK858" s="21">
        <f t="shared" si="561"/>
        <v>0</v>
      </c>
      <c r="AL858" s="21">
        <f t="shared" si="561"/>
        <v>0</v>
      </c>
      <c r="AM858" s="21">
        <f t="shared" ref="AM858:BD858" si="562">AM464</f>
        <v>0</v>
      </c>
      <c r="AN858" s="21">
        <f t="shared" si="562"/>
        <v>0</v>
      </c>
      <c r="AO858" s="21">
        <f t="shared" si="562"/>
        <v>0</v>
      </c>
      <c r="AP858" s="21">
        <f t="shared" si="562"/>
        <v>0</v>
      </c>
      <c r="AQ858" s="21">
        <f t="shared" si="562"/>
        <v>0</v>
      </c>
      <c r="AR858" s="21">
        <f t="shared" si="562"/>
        <v>0</v>
      </c>
      <c r="AS858" s="21">
        <f t="shared" si="562"/>
        <v>0</v>
      </c>
      <c r="AT858" s="21">
        <f t="shared" si="562"/>
        <v>0</v>
      </c>
      <c r="AU858" s="21">
        <f t="shared" si="562"/>
        <v>0</v>
      </c>
      <c r="AV858" s="21">
        <f t="shared" si="562"/>
        <v>0</v>
      </c>
      <c r="AW858" s="21">
        <f t="shared" si="562"/>
        <v>0</v>
      </c>
      <c r="AX858" s="21">
        <f t="shared" si="562"/>
        <v>0</v>
      </c>
      <c r="AY858" s="21">
        <f t="shared" si="562"/>
        <v>0</v>
      </c>
      <c r="AZ858" s="21">
        <f t="shared" si="562"/>
        <v>0</v>
      </c>
      <c r="BA858" s="21">
        <f t="shared" si="562"/>
        <v>0</v>
      </c>
      <c r="BB858" s="21">
        <f t="shared" si="562"/>
        <v>0</v>
      </c>
      <c r="BC858" s="21">
        <f t="shared" si="562"/>
        <v>0</v>
      </c>
      <c r="BD858" s="21">
        <f t="shared" si="562"/>
        <v>0</v>
      </c>
    </row>
    <row r="859" spans="3:56" ht="15" customHeight="1">
      <c r="C859" s="21">
        <f t="shared" si="537"/>
        <v>0</v>
      </c>
      <c r="D859" s="132" t="s">
        <v>539</v>
      </c>
      <c r="E859" s="18" t="s">
        <v>333</v>
      </c>
      <c r="G859" s="21">
        <f t="shared" ref="G859:AL859" si="563">G510</f>
        <v>0</v>
      </c>
      <c r="H859" s="21">
        <f t="shared" si="563"/>
        <v>0</v>
      </c>
      <c r="I859" s="21">
        <f t="shared" si="563"/>
        <v>0</v>
      </c>
      <c r="J859" s="21">
        <f t="shared" si="563"/>
        <v>0</v>
      </c>
      <c r="K859" s="21">
        <f t="shared" si="563"/>
        <v>0</v>
      </c>
      <c r="L859" s="21">
        <f t="shared" si="563"/>
        <v>0</v>
      </c>
      <c r="M859" s="21">
        <f t="shared" si="563"/>
        <v>0</v>
      </c>
      <c r="N859" s="21">
        <f t="shared" si="563"/>
        <v>0</v>
      </c>
      <c r="O859" s="21">
        <f t="shared" si="563"/>
        <v>0</v>
      </c>
      <c r="P859" s="21">
        <f t="shared" si="563"/>
        <v>0</v>
      </c>
      <c r="Q859" s="21">
        <f t="shared" si="563"/>
        <v>0</v>
      </c>
      <c r="R859" s="21">
        <f t="shared" si="563"/>
        <v>0</v>
      </c>
      <c r="S859" s="21">
        <f t="shared" si="563"/>
        <v>0</v>
      </c>
      <c r="T859" s="21">
        <f t="shared" si="563"/>
        <v>0</v>
      </c>
      <c r="U859" s="21">
        <f t="shared" si="563"/>
        <v>0</v>
      </c>
      <c r="V859" s="21">
        <f t="shared" si="563"/>
        <v>0</v>
      </c>
      <c r="W859" s="21">
        <f t="shared" si="563"/>
        <v>0</v>
      </c>
      <c r="X859" s="21">
        <f t="shared" si="563"/>
        <v>0</v>
      </c>
      <c r="Y859" s="21">
        <f t="shared" si="563"/>
        <v>0</v>
      </c>
      <c r="Z859" s="21">
        <f t="shared" si="563"/>
        <v>0</v>
      </c>
      <c r="AA859" s="21">
        <f t="shared" si="563"/>
        <v>0</v>
      </c>
      <c r="AB859" s="21">
        <f t="shared" si="563"/>
        <v>0</v>
      </c>
      <c r="AC859" s="21">
        <f t="shared" si="563"/>
        <v>0</v>
      </c>
      <c r="AD859" s="21">
        <f t="shared" si="563"/>
        <v>0</v>
      </c>
      <c r="AE859" s="21">
        <f t="shared" si="563"/>
        <v>0</v>
      </c>
      <c r="AF859" s="21">
        <f t="shared" si="563"/>
        <v>0</v>
      </c>
      <c r="AG859" s="21">
        <f t="shared" si="563"/>
        <v>0</v>
      </c>
      <c r="AH859" s="21">
        <f t="shared" si="563"/>
        <v>0</v>
      </c>
      <c r="AI859" s="21">
        <f t="shared" si="563"/>
        <v>0</v>
      </c>
      <c r="AJ859" s="21">
        <f t="shared" si="563"/>
        <v>0</v>
      </c>
      <c r="AK859" s="21">
        <f t="shared" si="563"/>
        <v>0</v>
      </c>
      <c r="AL859" s="21">
        <f t="shared" si="563"/>
        <v>0</v>
      </c>
      <c r="AM859" s="21">
        <f t="shared" ref="AM859:BD859" si="564">AM510</f>
        <v>0</v>
      </c>
      <c r="AN859" s="21">
        <f t="shared" si="564"/>
        <v>0</v>
      </c>
      <c r="AO859" s="21">
        <f t="shared" si="564"/>
        <v>0</v>
      </c>
      <c r="AP859" s="21">
        <f t="shared" si="564"/>
        <v>0</v>
      </c>
      <c r="AQ859" s="21">
        <f t="shared" si="564"/>
        <v>0</v>
      </c>
      <c r="AR859" s="21">
        <f t="shared" si="564"/>
        <v>0</v>
      </c>
      <c r="AS859" s="21">
        <f t="shared" si="564"/>
        <v>0</v>
      </c>
      <c r="AT859" s="21">
        <f t="shared" si="564"/>
        <v>0</v>
      </c>
      <c r="AU859" s="21">
        <f t="shared" si="564"/>
        <v>0</v>
      </c>
      <c r="AV859" s="21">
        <f t="shared" si="564"/>
        <v>0</v>
      </c>
      <c r="AW859" s="21">
        <f t="shared" si="564"/>
        <v>0</v>
      </c>
      <c r="AX859" s="21">
        <f t="shared" si="564"/>
        <v>0</v>
      </c>
      <c r="AY859" s="21">
        <f t="shared" si="564"/>
        <v>0</v>
      </c>
      <c r="AZ859" s="21">
        <f t="shared" si="564"/>
        <v>0</v>
      </c>
      <c r="BA859" s="21">
        <f t="shared" si="564"/>
        <v>0</v>
      </c>
      <c r="BB859" s="21">
        <f t="shared" si="564"/>
        <v>0</v>
      </c>
      <c r="BC859" s="21">
        <f t="shared" si="564"/>
        <v>0</v>
      </c>
      <c r="BD859" s="21">
        <f t="shared" si="564"/>
        <v>0</v>
      </c>
    </row>
    <row r="860" spans="3:56" ht="15" customHeight="1">
      <c r="C860" s="21">
        <f t="shared" si="537"/>
        <v>0</v>
      </c>
      <c r="D860" s="11" t="s">
        <v>689</v>
      </c>
      <c r="E860" s="18" t="s">
        <v>333</v>
      </c>
      <c r="G860" s="21">
        <f t="shared" ref="G860:AL860" si="565">G519</f>
        <v>0</v>
      </c>
      <c r="H860" s="21">
        <f t="shared" si="565"/>
        <v>0</v>
      </c>
      <c r="I860" s="21">
        <f t="shared" si="565"/>
        <v>0</v>
      </c>
      <c r="J860" s="21">
        <f t="shared" si="565"/>
        <v>0</v>
      </c>
      <c r="K860" s="21">
        <f t="shared" si="565"/>
        <v>0</v>
      </c>
      <c r="L860" s="21">
        <f t="shared" si="565"/>
        <v>0</v>
      </c>
      <c r="M860" s="21">
        <f t="shared" si="565"/>
        <v>0</v>
      </c>
      <c r="N860" s="21">
        <f t="shared" si="565"/>
        <v>0</v>
      </c>
      <c r="O860" s="21">
        <f t="shared" si="565"/>
        <v>0</v>
      </c>
      <c r="P860" s="21">
        <f t="shared" si="565"/>
        <v>0</v>
      </c>
      <c r="Q860" s="21">
        <f t="shared" si="565"/>
        <v>0</v>
      </c>
      <c r="R860" s="21">
        <f t="shared" si="565"/>
        <v>0</v>
      </c>
      <c r="S860" s="21">
        <f t="shared" si="565"/>
        <v>0</v>
      </c>
      <c r="T860" s="21">
        <f t="shared" si="565"/>
        <v>0</v>
      </c>
      <c r="U860" s="21">
        <f t="shared" si="565"/>
        <v>0</v>
      </c>
      <c r="V860" s="21">
        <f t="shared" si="565"/>
        <v>0</v>
      </c>
      <c r="W860" s="21">
        <f t="shared" si="565"/>
        <v>0</v>
      </c>
      <c r="X860" s="21">
        <f t="shared" si="565"/>
        <v>0</v>
      </c>
      <c r="Y860" s="21">
        <f t="shared" si="565"/>
        <v>0</v>
      </c>
      <c r="Z860" s="21">
        <f t="shared" si="565"/>
        <v>0</v>
      </c>
      <c r="AA860" s="21">
        <f t="shared" si="565"/>
        <v>0</v>
      </c>
      <c r="AB860" s="21">
        <f t="shared" si="565"/>
        <v>0</v>
      </c>
      <c r="AC860" s="21">
        <f t="shared" si="565"/>
        <v>0</v>
      </c>
      <c r="AD860" s="21">
        <f t="shared" si="565"/>
        <v>0</v>
      </c>
      <c r="AE860" s="21">
        <f t="shared" si="565"/>
        <v>0</v>
      </c>
      <c r="AF860" s="21">
        <f t="shared" si="565"/>
        <v>0</v>
      </c>
      <c r="AG860" s="21">
        <f t="shared" si="565"/>
        <v>0</v>
      </c>
      <c r="AH860" s="21">
        <f t="shared" si="565"/>
        <v>0</v>
      </c>
      <c r="AI860" s="21">
        <f t="shared" si="565"/>
        <v>0</v>
      </c>
      <c r="AJ860" s="21">
        <f t="shared" si="565"/>
        <v>0</v>
      </c>
      <c r="AK860" s="21">
        <f t="shared" si="565"/>
        <v>0</v>
      </c>
      <c r="AL860" s="21">
        <f t="shared" si="565"/>
        <v>0</v>
      </c>
      <c r="AM860" s="21">
        <f t="shared" ref="AM860:BD860" si="566">AM519</f>
        <v>0</v>
      </c>
      <c r="AN860" s="21">
        <f t="shared" si="566"/>
        <v>0</v>
      </c>
      <c r="AO860" s="21">
        <f t="shared" si="566"/>
        <v>0</v>
      </c>
      <c r="AP860" s="21">
        <f t="shared" si="566"/>
        <v>0</v>
      </c>
      <c r="AQ860" s="21">
        <f t="shared" si="566"/>
        <v>0</v>
      </c>
      <c r="AR860" s="21">
        <f t="shared" si="566"/>
        <v>0</v>
      </c>
      <c r="AS860" s="21">
        <f t="shared" si="566"/>
        <v>0</v>
      </c>
      <c r="AT860" s="21">
        <f t="shared" si="566"/>
        <v>0</v>
      </c>
      <c r="AU860" s="21">
        <f t="shared" si="566"/>
        <v>0</v>
      </c>
      <c r="AV860" s="21">
        <f t="shared" si="566"/>
        <v>0</v>
      </c>
      <c r="AW860" s="21">
        <f t="shared" si="566"/>
        <v>0</v>
      </c>
      <c r="AX860" s="21">
        <f t="shared" si="566"/>
        <v>0</v>
      </c>
      <c r="AY860" s="21">
        <f t="shared" si="566"/>
        <v>0</v>
      </c>
      <c r="AZ860" s="21">
        <f t="shared" si="566"/>
        <v>0</v>
      </c>
      <c r="BA860" s="21">
        <f t="shared" si="566"/>
        <v>0</v>
      </c>
      <c r="BB860" s="21">
        <f t="shared" si="566"/>
        <v>0</v>
      </c>
      <c r="BC860" s="21">
        <f t="shared" si="566"/>
        <v>0</v>
      </c>
      <c r="BD860" s="21">
        <f t="shared" si="566"/>
        <v>0</v>
      </c>
    </row>
    <row r="861" spans="3:56" ht="15" customHeight="1">
      <c r="C861" s="21">
        <f t="shared" si="537"/>
        <v>727.39781169922594</v>
      </c>
      <c r="D861" s="132" t="s">
        <v>570</v>
      </c>
      <c r="E861" s="18" t="s">
        <v>333</v>
      </c>
      <c r="G861" s="21">
        <f t="shared" ref="G861:AL861" si="567">G595</f>
        <v>0</v>
      </c>
      <c r="H861" s="21">
        <f t="shared" si="567"/>
        <v>0</v>
      </c>
      <c r="I861" s="21">
        <f t="shared" si="567"/>
        <v>0</v>
      </c>
      <c r="J861" s="21">
        <f t="shared" si="567"/>
        <v>0</v>
      </c>
      <c r="K861" s="21">
        <f t="shared" si="567"/>
        <v>0</v>
      </c>
      <c r="L861" s="21">
        <f t="shared" si="567"/>
        <v>0</v>
      </c>
      <c r="M861" s="21">
        <f t="shared" si="567"/>
        <v>5.0178412878112573</v>
      </c>
      <c r="N861" s="21">
        <f t="shared" si="567"/>
        <v>25.19463144695289</v>
      </c>
      <c r="O861" s="21">
        <f t="shared" si="567"/>
        <v>26.554992462370038</v>
      </c>
      <c r="P861" s="21">
        <f t="shared" si="567"/>
        <v>30.050181750654883</v>
      </c>
      <c r="Q861" s="21">
        <f t="shared" si="567"/>
        <v>30.65118538566799</v>
      </c>
      <c r="R861" s="21">
        <f t="shared" si="567"/>
        <v>31.264209093381325</v>
      </c>
      <c r="S861" s="21">
        <f t="shared" si="567"/>
        <v>31.88949327524897</v>
      </c>
      <c r="T861" s="21">
        <f t="shared" si="567"/>
        <v>32.527283140753944</v>
      </c>
      <c r="U861" s="21">
        <f t="shared" si="567"/>
        <v>33.177828803569021</v>
      </c>
      <c r="V861" s="21">
        <f t="shared" si="567"/>
        <v>33.841385379640393</v>
      </c>
      <c r="W861" s="21">
        <f t="shared" si="567"/>
        <v>34.518213087233214</v>
      </c>
      <c r="X861" s="21">
        <f t="shared" si="567"/>
        <v>35.20857734897789</v>
      </c>
      <c r="Y861" s="21">
        <f t="shared" si="567"/>
        <v>35.658261382752947</v>
      </c>
      <c r="Z861" s="21">
        <f t="shared" si="567"/>
        <v>36.370822741732582</v>
      </c>
      <c r="AA861" s="21">
        <f t="shared" si="567"/>
        <v>37.096853550214377</v>
      </c>
      <c r="AB861" s="21">
        <f t="shared" si="567"/>
        <v>37.836359477518485</v>
      </c>
      <c r="AC861" s="21">
        <f t="shared" si="567"/>
        <v>38.589196229176522</v>
      </c>
      <c r="AD861" s="21">
        <f t="shared" si="567"/>
        <v>38.922227860889045</v>
      </c>
      <c r="AE861" s="21">
        <f t="shared" si="567"/>
        <v>39.691131757861449</v>
      </c>
      <c r="AF861" s="21">
        <f t="shared" si="567"/>
        <v>40.468923215401901</v>
      </c>
      <c r="AG861" s="21">
        <f t="shared" si="567"/>
        <v>46.420590525150608</v>
      </c>
      <c r="AH861" s="21">
        <f t="shared" si="567"/>
        <v>26.447622496266209</v>
      </c>
      <c r="AI861" s="21">
        <f t="shared" si="567"/>
        <v>0</v>
      </c>
      <c r="AJ861" s="21">
        <f t="shared" si="567"/>
        <v>0</v>
      </c>
      <c r="AK861" s="21">
        <f t="shared" si="567"/>
        <v>0</v>
      </c>
      <c r="AL861" s="21">
        <f t="shared" si="567"/>
        <v>0</v>
      </c>
      <c r="AM861" s="21">
        <f t="shared" ref="AM861:BD861" si="568">AM595</f>
        <v>0</v>
      </c>
      <c r="AN861" s="21">
        <f t="shared" si="568"/>
        <v>0</v>
      </c>
      <c r="AO861" s="21">
        <f t="shared" si="568"/>
        <v>0</v>
      </c>
      <c r="AP861" s="21">
        <f t="shared" si="568"/>
        <v>0</v>
      </c>
      <c r="AQ861" s="21">
        <f t="shared" si="568"/>
        <v>0</v>
      </c>
      <c r="AR861" s="21">
        <f t="shared" si="568"/>
        <v>0</v>
      </c>
      <c r="AS861" s="21">
        <f t="shared" si="568"/>
        <v>0</v>
      </c>
      <c r="AT861" s="21">
        <f t="shared" si="568"/>
        <v>0</v>
      </c>
      <c r="AU861" s="21">
        <f t="shared" si="568"/>
        <v>0</v>
      </c>
      <c r="AV861" s="21">
        <f t="shared" si="568"/>
        <v>0</v>
      </c>
      <c r="AW861" s="21">
        <f t="shared" si="568"/>
        <v>0</v>
      </c>
      <c r="AX861" s="21">
        <f t="shared" si="568"/>
        <v>0</v>
      </c>
      <c r="AY861" s="21">
        <f t="shared" si="568"/>
        <v>0</v>
      </c>
      <c r="AZ861" s="21">
        <f t="shared" si="568"/>
        <v>0</v>
      </c>
      <c r="BA861" s="21">
        <f t="shared" si="568"/>
        <v>0</v>
      </c>
      <c r="BB861" s="21">
        <f t="shared" si="568"/>
        <v>0</v>
      </c>
      <c r="BC861" s="21">
        <f t="shared" si="568"/>
        <v>0</v>
      </c>
      <c r="BD861" s="21">
        <f t="shared" si="568"/>
        <v>0</v>
      </c>
    </row>
    <row r="862" spans="3:56" ht="15" customHeight="1">
      <c r="C862" s="21">
        <f t="shared" si="537"/>
        <v>381.8838511420937</v>
      </c>
      <c r="D862" s="132" t="s">
        <v>158</v>
      </c>
      <c r="E862" s="18" t="s">
        <v>333</v>
      </c>
      <c r="G862" s="21">
        <f t="shared" ref="G862:AL862" si="569">G604</f>
        <v>0</v>
      </c>
      <c r="H862" s="21">
        <f t="shared" si="569"/>
        <v>0</v>
      </c>
      <c r="I862" s="21">
        <f t="shared" si="569"/>
        <v>0</v>
      </c>
      <c r="J862" s="21">
        <f t="shared" si="569"/>
        <v>0</v>
      </c>
      <c r="K862" s="21">
        <f t="shared" si="569"/>
        <v>0</v>
      </c>
      <c r="L862" s="21">
        <f t="shared" si="569"/>
        <v>0</v>
      </c>
      <c r="M862" s="21">
        <f t="shared" si="569"/>
        <v>2.6343666761009099</v>
      </c>
      <c r="N862" s="21">
        <f t="shared" si="569"/>
        <v>13.227181509650269</v>
      </c>
      <c r="O862" s="21">
        <f t="shared" si="569"/>
        <v>13.941371042744272</v>
      </c>
      <c r="P862" s="21">
        <f t="shared" si="569"/>
        <v>15.776345419093815</v>
      </c>
      <c r="Q862" s="21">
        <f t="shared" si="569"/>
        <v>16.091872327475695</v>
      </c>
      <c r="R862" s="21">
        <f t="shared" si="569"/>
        <v>16.413709774025193</v>
      </c>
      <c r="S862" s="21">
        <f t="shared" si="569"/>
        <v>16.741983969505707</v>
      </c>
      <c r="T862" s="21">
        <f t="shared" si="569"/>
        <v>17.076823648895822</v>
      </c>
      <c r="U862" s="21">
        <f t="shared" si="569"/>
        <v>17.418360121873739</v>
      </c>
      <c r="V862" s="21">
        <f t="shared" si="569"/>
        <v>17.766727324311205</v>
      </c>
      <c r="W862" s="21">
        <f t="shared" si="569"/>
        <v>18.122061870797438</v>
      </c>
      <c r="X862" s="21">
        <f t="shared" si="569"/>
        <v>18.484503108213392</v>
      </c>
      <c r="Y862" s="21">
        <f t="shared" si="569"/>
        <v>18.720587225945295</v>
      </c>
      <c r="Z862" s="21">
        <f t="shared" si="569"/>
        <v>19.094681939409607</v>
      </c>
      <c r="AA862" s="21">
        <f t="shared" si="569"/>
        <v>19.475848113862551</v>
      </c>
      <c r="AB862" s="21">
        <f t="shared" si="569"/>
        <v>19.864088725697201</v>
      </c>
      <c r="AC862" s="21">
        <f t="shared" si="569"/>
        <v>20.259328020317675</v>
      </c>
      <c r="AD862" s="21">
        <f t="shared" si="569"/>
        <v>20.434169626966749</v>
      </c>
      <c r="AE862" s="21">
        <f t="shared" si="569"/>
        <v>20.837844172877261</v>
      </c>
      <c r="AF862" s="21">
        <f t="shared" si="569"/>
        <v>21.246184688086</v>
      </c>
      <c r="AG862" s="21">
        <f t="shared" si="569"/>
        <v>24.370810025704074</v>
      </c>
      <c r="AH862" s="21">
        <f t="shared" si="569"/>
        <v>13.885001810539761</v>
      </c>
      <c r="AI862" s="21">
        <f t="shared" si="569"/>
        <v>0</v>
      </c>
      <c r="AJ862" s="21">
        <f t="shared" si="569"/>
        <v>0</v>
      </c>
      <c r="AK862" s="21">
        <f t="shared" si="569"/>
        <v>0</v>
      </c>
      <c r="AL862" s="21">
        <f t="shared" si="569"/>
        <v>0</v>
      </c>
      <c r="AM862" s="21">
        <f t="shared" ref="AM862:BD862" si="570">AM604</f>
        <v>0</v>
      </c>
      <c r="AN862" s="21">
        <f t="shared" si="570"/>
        <v>0</v>
      </c>
      <c r="AO862" s="21">
        <f t="shared" si="570"/>
        <v>0</v>
      </c>
      <c r="AP862" s="21">
        <f t="shared" si="570"/>
        <v>0</v>
      </c>
      <c r="AQ862" s="21">
        <f t="shared" si="570"/>
        <v>0</v>
      </c>
      <c r="AR862" s="21">
        <f t="shared" si="570"/>
        <v>0</v>
      </c>
      <c r="AS862" s="21">
        <f t="shared" si="570"/>
        <v>0</v>
      </c>
      <c r="AT862" s="21">
        <f t="shared" si="570"/>
        <v>0</v>
      </c>
      <c r="AU862" s="21">
        <f t="shared" si="570"/>
        <v>0</v>
      </c>
      <c r="AV862" s="21">
        <f t="shared" si="570"/>
        <v>0</v>
      </c>
      <c r="AW862" s="21">
        <f t="shared" si="570"/>
        <v>0</v>
      </c>
      <c r="AX862" s="21">
        <f t="shared" si="570"/>
        <v>0</v>
      </c>
      <c r="AY862" s="21">
        <f t="shared" si="570"/>
        <v>0</v>
      </c>
      <c r="AZ862" s="21">
        <f t="shared" si="570"/>
        <v>0</v>
      </c>
      <c r="BA862" s="21">
        <f t="shared" si="570"/>
        <v>0</v>
      </c>
      <c r="BB862" s="21">
        <f t="shared" si="570"/>
        <v>0</v>
      </c>
      <c r="BC862" s="21">
        <f t="shared" si="570"/>
        <v>0</v>
      </c>
      <c r="BD862" s="21">
        <f t="shared" si="570"/>
        <v>0</v>
      </c>
    </row>
    <row r="863" spans="3:56" ht="15" customHeight="1">
      <c r="C863" s="21">
        <f>SUM(G863:BD863)</f>
        <v>5.0248823040000001</v>
      </c>
      <c r="D863" s="132" t="s">
        <v>690</v>
      </c>
      <c r="E863" s="18" t="s">
        <v>333</v>
      </c>
      <c r="G863" s="21">
        <f t="shared" ref="G863:AL863" si="571">G610</f>
        <v>0</v>
      </c>
      <c r="H863" s="21">
        <f t="shared" si="571"/>
        <v>0</v>
      </c>
      <c r="I863" s="21">
        <f t="shared" si="571"/>
        <v>0</v>
      </c>
      <c r="J863" s="21">
        <f t="shared" si="571"/>
        <v>0</v>
      </c>
      <c r="K863" s="21">
        <f t="shared" si="571"/>
        <v>1.674960768</v>
      </c>
      <c r="L863" s="21">
        <f t="shared" si="571"/>
        <v>1.3399686144</v>
      </c>
      <c r="M863" s="21">
        <f t="shared" si="571"/>
        <v>1.0049764608000002</v>
      </c>
      <c r="N863" s="21">
        <f t="shared" si="571"/>
        <v>0.66998430720000013</v>
      </c>
      <c r="O863" s="21">
        <f t="shared" si="571"/>
        <v>0.33499215360000006</v>
      </c>
      <c r="P863" s="21">
        <f t="shared" si="571"/>
        <v>0</v>
      </c>
      <c r="Q863" s="21">
        <f t="shared" si="571"/>
        <v>0</v>
      </c>
      <c r="R863" s="21">
        <f t="shared" si="571"/>
        <v>0</v>
      </c>
      <c r="S863" s="21">
        <f t="shared" si="571"/>
        <v>0</v>
      </c>
      <c r="T863" s="21">
        <f t="shared" si="571"/>
        <v>0</v>
      </c>
      <c r="U863" s="21">
        <f t="shared" si="571"/>
        <v>0</v>
      </c>
      <c r="V863" s="21">
        <f t="shared" si="571"/>
        <v>0</v>
      </c>
      <c r="W863" s="21">
        <f t="shared" si="571"/>
        <v>0</v>
      </c>
      <c r="X863" s="21">
        <f t="shared" si="571"/>
        <v>0</v>
      </c>
      <c r="Y863" s="21">
        <f t="shared" si="571"/>
        <v>0</v>
      </c>
      <c r="Z863" s="21">
        <f t="shared" si="571"/>
        <v>0</v>
      </c>
      <c r="AA863" s="21">
        <f t="shared" si="571"/>
        <v>0</v>
      </c>
      <c r="AB863" s="21">
        <f t="shared" si="571"/>
        <v>0</v>
      </c>
      <c r="AC863" s="21">
        <f t="shared" si="571"/>
        <v>0</v>
      </c>
      <c r="AD863" s="21">
        <f t="shared" si="571"/>
        <v>0</v>
      </c>
      <c r="AE863" s="21">
        <f t="shared" si="571"/>
        <v>0</v>
      </c>
      <c r="AF863" s="21">
        <f t="shared" si="571"/>
        <v>0</v>
      </c>
      <c r="AG863" s="21">
        <f t="shared" si="571"/>
        <v>0</v>
      </c>
      <c r="AH863" s="21">
        <f t="shared" si="571"/>
        <v>0</v>
      </c>
      <c r="AI863" s="21">
        <f t="shared" si="571"/>
        <v>0</v>
      </c>
      <c r="AJ863" s="21">
        <f t="shared" si="571"/>
        <v>0</v>
      </c>
      <c r="AK863" s="21">
        <f t="shared" si="571"/>
        <v>0</v>
      </c>
      <c r="AL863" s="21">
        <f t="shared" si="571"/>
        <v>0</v>
      </c>
      <c r="AM863" s="21">
        <f t="shared" ref="AM863:BD863" si="572">AM610</f>
        <v>0</v>
      </c>
      <c r="AN863" s="21">
        <f t="shared" si="572"/>
        <v>0</v>
      </c>
      <c r="AO863" s="21">
        <f t="shared" si="572"/>
        <v>0</v>
      </c>
      <c r="AP863" s="21">
        <f t="shared" si="572"/>
        <v>0</v>
      </c>
      <c r="AQ863" s="21">
        <f t="shared" si="572"/>
        <v>0</v>
      </c>
      <c r="AR863" s="21">
        <f t="shared" si="572"/>
        <v>0</v>
      </c>
      <c r="AS863" s="21">
        <f t="shared" si="572"/>
        <v>0</v>
      </c>
      <c r="AT863" s="21">
        <f t="shared" si="572"/>
        <v>0</v>
      </c>
      <c r="AU863" s="21">
        <f t="shared" si="572"/>
        <v>0</v>
      </c>
      <c r="AV863" s="21">
        <f t="shared" si="572"/>
        <v>0</v>
      </c>
      <c r="AW863" s="21">
        <f t="shared" si="572"/>
        <v>0</v>
      </c>
      <c r="AX863" s="21">
        <f t="shared" si="572"/>
        <v>0</v>
      </c>
      <c r="AY863" s="21">
        <f t="shared" si="572"/>
        <v>0</v>
      </c>
      <c r="AZ863" s="21">
        <f t="shared" si="572"/>
        <v>0</v>
      </c>
      <c r="BA863" s="21">
        <f t="shared" si="572"/>
        <v>0</v>
      </c>
      <c r="BB863" s="21">
        <f t="shared" si="572"/>
        <v>0</v>
      </c>
      <c r="BC863" s="21">
        <f t="shared" si="572"/>
        <v>0</v>
      </c>
      <c r="BD863" s="21">
        <f t="shared" si="572"/>
        <v>0</v>
      </c>
    </row>
    <row r="864" spans="3:56" ht="15" customHeight="1">
      <c r="C864" s="21">
        <f>SUM(G864:BD864)</f>
        <v>0</v>
      </c>
      <c r="D864" s="11" t="s">
        <v>691</v>
      </c>
      <c r="E864" s="18" t="s">
        <v>333</v>
      </c>
      <c r="G864" s="21">
        <f>IF($E$793 = 1, G672, IF($E$793 = 2, G712, IF($E$793 = 3, G730, IF($E$793 = 4, G766, 0))))</f>
        <v>0</v>
      </c>
      <c r="H864" s="21">
        <f t="shared" ref="H864:BD864" si="573">IF($E$793 = 1, H672, IF($E$793 = 2, H712, IF($E$793 = 3, H730, IF($E$793 = 4, H766, 0))))</f>
        <v>0</v>
      </c>
      <c r="I864" s="21">
        <f t="shared" si="573"/>
        <v>0</v>
      </c>
      <c r="J864" s="21">
        <f t="shared" si="573"/>
        <v>0</v>
      </c>
      <c r="K864" s="21">
        <f t="shared" si="573"/>
        <v>0</v>
      </c>
      <c r="L864" s="21">
        <f t="shared" si="573"/>
        <v>0</v>
      </c>
      <c r="M864" s="21">
        <f t="shared" si="573"/>
        <v>0</v>
      </c>
      <c r="N864" s="21">
        <f t="shared" si="573"/>
        <v>0</v>
      </c>
      <c r="O864" s="21">
        <f t="shared" si="573"/>
        <v>0</v>
      </c>
      <c r="P864" s="21">
        <f t="shared" si="573"/>
        <v>0</v>
      </c>
      <c r="Q864" s="21">
        <f t="shared" si="573"/>
        <v>0</v>
      </c>
      <c r="R864" s="21">
        <f t="shared" si="573"/>
        <v>0</v>
      </c>
      <c r="S864" s="21">
        <f t="shared" si="573"/>
        <v>0</v>
      </c>
      <c r="T864" s="21">
        <f t="shared" si="573"/>
        <v>0</v>
      </c>
      <c r="U864" s="21">
        <f t="shared" si="573"/>
        <v>0</v>
      </c>
      <c r="V864" s="21">
        <f t="shared" si="573"/>
        <v>0</v>
      </c>
      <c r="W864" s="21">
        <f t="shared" si="573"/>
        <v>0</v>
      </c>
      <c r="X864" s="21">
        <f t="shared" si="573"/>
        <v>0</v>
      </c>
      <c r="Y864" s="21">
        <f t="shared" si="573"/>
        <v>0</v>
      </c>
      <c r="Z864" s="21">
        <f t="shared" si="573"/>
        <v>0</v>
      </c>
      <c r="AA864" s="21">
        <f t="shared" si="573"/>
        <v>0</v>
      </c>
      <c r="AB864" s="21">
        <f t="shared" si="573"/>
        <v>0</v>
      </c>
      <c r="AC864" s="21">
        <f t="shared" si="573"/>
        <v>0</v>
      </c>
      <c r="AD864" s="21">
        <f t="shared" si="573"/>
        <v>0</v>
      </c>
      <c r="AE864" s="21">
        <f t="shared" si="573"/>
        <v>0</v>
      </c>
      <c r="AF864" s="21">
        <f t="shared" si="573"/>
        <v>0</v>
      </c>
      <c r="AG864" s="21">
        <f t="shared" si="573"/>
        <v>0</v>
      </c>
      <c r="AH864" s="21">
        <f t="shared" si="573"/>
        <v>0</v>
      </c>
      <c r="AI864" s="21">
        <f t="shared" si="573"/>
        <v>0</v>
      </c>
      <c r="AJ864" s="21">
        <f t="shared" si="573"/>
        <v>0</v>
      </c>
      <c r="AK864" s="21">
        <f t="shared" si="573"/>
        <v>0</v>
      </c>
      <c r="AL864" s="21">
        <f t="shared" si="573"/>
        <v>0</v>
      </c>
      <c r="AM864" s="21">
        <f t="shared" si="573"/>
        <v>0</v>
      </c>
      <c r="AN864" s="21">
        <f t="shared" si="573"/>
        <v>0</v>
      </c>
      <c r="AO864" s="21">
        <f t="shared" si="573"/>
        <v>0</v>
      </c>
      <c r="AP864" s="21">
        <f t="shared" si="573"/>
        <v>0</v>
      </c>
      <c r="AQ864" s="21">
        <f t="shared" si="573"/>
        <v>0</v>
      </c>
      <c r="AR864" s="21">
        <f t="shared" si="573"/>
        <v>0</v>
      </c>
      <c r="AS864" s="21">
        <f t="shared" si="573"/>
        <v>0</v>
      </c>
      <c r="AT864" s="21">
        <f t="shared" si="573"/>
        <v>0</v>
      </c>
      <c r="AU864" s="21">
        <f t="shared" si="573"/>
        <v>0</v>
      </c>
      <c r="AV864" s="21">
        <f t="shared" si="573"/>
        <v>0</v>
      </c>
      <c r="AW864" s="21">
        <f t="shared" si="573"/>
        <v>0</v>
      </c>
      <c r="AX864" s="21">
        <f t="shared" si="573"/>
        <v>0</v>
      </c>
      <c r="AY864" s="21">
        <f t="shared" si="573"/>
        <v>0</v>
      </c>
      <c r="AZ864" s="21">
        <f t="shared" si="573"/>
        <v>0</v>
      </c>
      <c r="BA864" s="21">
        <f t="shared" si="573"/>
        <v>0</v>
      </c>
      <c r="BB864" s="21">
        <f t="shared" si="573"/>
        <v>0</v>
      </c>
      <c r="BC864" s="21">
        <f t="shared" si="573"/>
        <v>0</v>
      </c>
      <c r="BD864" s="21">
        <f t="shared" si="573"/>
        <v>0</v>
      </c>
    </row>
    <row r="865" spans="3:56" ht="15" customHeight="1"/>
    <row r="866" spans="3:56" ht="15" customHeight="1">
      <c r="C866" s="21">
        <f t="shared" si="537"/>
        <v>4611.0556263166563</v>
      </c>
      <c r="D866" s="132" t="s">
        <v>692</v>
      </c>
      <c r="E866" s="18" t="s">
        <v>333</v>
      </c>
      <c r="G866" s="21">
        <f>SUM(G847:G864)</f>
        <v>0</v>
      </c>
      <c r="H866" s="21">
        <f t="shared" ref="H866:BD866" si="574">SUM(H847:H864)</f>
        <v>0</v>
      </c>
      <c r="I866" s="21">
        <f t="shared" si="574"/>
        <v>2.9261250000000003</v>
      </c>
      <c r="J866" s="21">
        <f t="shared" si="574"/>
        <v>11.93859</v>
      </c>
      <c r="K866" s="21">
        <f t="shared" si="574"/>
        <v>26.654788940400003</v>
      </c>
      <c r="L866" s="21">
        <f t="shared" si="574"/>
        <v>93.647078124470454</v>
      </c>
      <c r="M866" s="21">
        <f t="shared" si="574"/>
        <v>116.16067358343439</v>
      </c>
      <c r="N866" s="21">
        <f t="shared" si="574"/>
        <v>147.73392710086779</v>
      </c>
      <c r="O866" s="21">
        <f t="shared" si="574"/>
        <v>150.61479945847225</v>
      </c>
      <c r="P866" s="21">
        <f t="shared" si="574"/>
        <v>185.40850040223782</v>
      </c>
      <c r="Q866" s="21">
        <f t="shared" si="574"/>
        <v>189.11667041028258</v>
      </c>
      <c r="R866" s="21">
        <f t="shared" si="574"/>
        <v>192.89900381848813</v>
      </c>
      <c r="S866" s="21">
        <f t="shared" si="574"/>
        <v>196.756983894858</v>
      </c>
      <c r="T866" s="21">
        <f t="shared" si="574"/>
        <v>200.69212357275512</v>
      </c>
      <c r="U866" s="21">
        <f t="shared" si="574"/>
        <v>204.70596604421021</v>
      </c>
      <c r="V866" s="21">
        <f t="shared" si="574"/>
        <v>208.80008536509439</v>
      </c>
      <c r="W866" s="21">
        <f t="shared" si="574"/>
        <v>212.97608707239635</v>
      </c>
      <c r="X866" s="21">
        <f t="shared" si="574"/>
        <v>217.23560881384429</v>
      </c>
      <c r="Y866" s="21">
        <f t="shared" si="574"/>
        <v>220.51056455068652</v>
      </c>
      <c r="Z866" s="21">
        <f t="shared" si="574"/>
        <v>224.91823743658966</v>
      </c>
      <c r="AA866" s="21">
        <f t="shared" si="574"/>
        <v>229.4107775219025</v>
      </c>
      <c r="AB866" s="21">
        <f t="shared" si="574"/>
        <v>233.98877358614371</v>
      </c>
      <c r="AC866" s="21">
        <f t="shared" si="574"/>
        <v>238.65219532429771</v>
      </c>
      <c r="AD866" s="21">
        <f t="shared" si="574"/>
        <v>241.58091262825087</v>
      </c>
      <c r="AE866" s="21">
        <f t="shared" si="574"/>
        <v>246.37242603399878</v>
      </c>
      <c r="AF866" s="21">
        <f t="shared" si="574"/>
        <v>251.23248635448252</v>
      </c>
      <c r="AG866" s="21">
        <f t="shared" si="574"/>
        <v>265.14318389410641</v>
      </c>
      <c r="AH866" s="21">
        <f t="shared" si="574"/>
        <v>100.97905738438547</v>
      </c>
      <c r="AI866" s="21">
        <f t="shared" si="574"/>
        <v>0</v>
      </c>
      <c r="AJ866" s="21">
        <f t="shared" si="574"/>
        <v>0</v>
      </c>
      <c r="AK866" s="21">
        <f t="shared" si="574"/>
        <v>0</v>
      </c>
      <c r="AL866" s="21">
        <f t="shared" si="574"/>
        <v>0</v>
      </c>
      <c r="AM866" s="21">
        <f t="shared" si="574"/>
        <v>0</v>
      </c>
      <c r="AN866" s="21">
        <f t="shared" si="574"/>
        <v>0</v>
      </c>
      <c r="AO866" s="21">
        <f t="shared" si="574"/>
        <v>0</v>
      </c>
      <c r="AP866" s="21">
        <f t="shared" si="574"/>
        <v>0</v>
      </c>
      <c r="AQ866" s="21">
        <f t="shared" si="574"/>
        <v>0</v>
      </c>
      <c r="AR866" s="21">
        <f t="shared" si="574"/>
        <v>0</v>
      </c>
      <c r="AS866" s="21">
        <f t="shared" si="574"/>
        <v>0</v>
      </c>
      <c r="AT866" s="21">
        <f t="shared" si="574"/>
        <v>0</v>
      </c>
      <c r="AU866" s="21">
        <f t="shared" si="574"/>
        <v>0</v>
      </c>
      <c r="AV866" s="21">
        <f t="shared" si="574"/>
        <v>0</v>
      </c>
      <c r="AW866" s="21">
        <f t="shared" si="574"/>
        <v>0</v>
      </c>
      <c r="AX866" s="21">
        <f t="shared" si="574"/>
        <v>0</v>
      </c>
      <c r="AY866" s="21">
        <f t="shared" si="574"/>
        <v>0</v>
      </c>
      <c r="AZ866" s="21">
        <f t="shared" si="574"/>
        <v>0</v>
      </c>
      <c r="BA866" s="21">
        <f t="shared" si="574"/>
        <v>0</v>
      </c>
      <c r="BB866" s="21">
        <f t="shared" si="574"/>
        <v>0</v>
      </c>
      <c r="BC866" s="21">
        <f t="shared" si="574"/>
        <v>0</v>
      </c>
      <c r="BD866" s="21">
        <f t="shared" si="574"/>
        <v>0</v>
      </c>
    </row>
    <row r="867" spans="3:56" ht="15" customHeight="1">
      <c r="C867" s="7">
        <f>IFERROR(C866/C59,0)</f>
        <v>0.56899244433332186</v>
      </c>
      <c r="D867" s="132" t="s">
        <v>52</v>
      </c>
      <c r="E867" s="18" t="s">
        <v>30</v>
      </c>
      <c r="G867" s="7">
        <f t="shared" ref="G867:AL867" si="575">IFERROR(G866/G59,0)</f>
        <v>0</v>
      </c>
      <c r="H867" s="7">
        <f t="shared" si="575"/>
        <v>0</v>
      </c>
      <c r="I867" s="7">
        <f t="shared" si="575"/>
        <v>-3.7500000000000006E-2</v>
      </c>
      <c r="J867" s="7">
        <f t="shared" si="575"/>
        <v>-3.7499999999999999E-2</v>
      </c>
      <c r="K867" s="7">
        <f t="shared" si="575"/>
        <v>0.41351645414425942</v>
      </c>
      <c r="L867" s="7">
        <f t="shared" si="575"/>
        <v>0.30961505350568352</v>
      </c>
      <c r="M867" s="7">
        <f t="shared" si="575"/>
        <v>0.37651890446271691</v>
      </c>
      <c r="N867" s="7">
        <f t="shared" si="575"/>
        <v>0.46946988123477423</v>
      </c>
      <c r="O867" s="7">
        <f t="shared" si="575"/>
        <v>0.46923993829726479</v>
      </c>
      <c r="P867" s="7">
        <f t="shared" si="575"/>
        <v>0.56631333837972397</v>
      </c>
      <c r="Q867" s="7">
        <f t="shared" si="575"/>
        <v>0.56631333837972397</v>
      </c>
      <c r="R867" s="7">
        <f t="shared" si="575"/>
        <v>0.56631333837972386</v>
      </c>
      <c r="S867" s="7">
        <f t="shared" si="575"/>
        <v>0.56631333837972397</v>
      </c>
      <c r="T867" s="7">
        <f t="shared" si="575"/>
        <v>0.56631333837972386</v>
      </c>
      <c r="U867" s="7">
        <f t="shared" si="575"/>
        <v>0.56631333837972386</v>
      </c>
      <c r="V867" s="7">
        <f t="shared" si="575"/>
        <v>0.56631333837972397</v>
      </c>
      <c r="W867" s="7">
        <f t="shared" si="575"/>
        <v>0.56631333837972397</v>
      </c>
      <c r="X867" s="7">
        <f t="shared" si="575"/>
        <v>0.56631333837972397</v>
      </c>
      <c r="Y867" s="7">
        <f t="shared" si="575"/>
        <v>0.56357926281849013</v>
      </c>
      <c r="Z867" s="7">
        <f t="shared" si="575"/>
        <v>0.56357290239013225</v>
      </c>
      <c r="AA867" s="7">
        <f t="shared" si="575"/>
        <v>0.56355859382467877</v>
      </c>
      <c r="AB867" s="7">
        <f t="shared" si="575"/>
        <v>0.5635339814141932</v>
      </c>
      <c r="AC867" s="7">
        <f t="shared" si="575"/>
        <v>0.5634953676771699</v>
      </c>
      <c r="AD867" s="7">
        <f t="shared" si="575"/>
        <v>0.56427243221361856</v>
      </c>
      <c r="AE867" s="7">
        <f t="shared" si="575"/>
        <v>0.56418059411035271</v>
      </c>
      <c r="AF867" s="7">
        <f t="shared" si="575"/>
        <v>0.5640293042822534</v>
      </c>
      <c r="AG867" s="7">
        <f t="shared" si="575"/>
        <v>0.54354742438911074</v>
      </c>
      <c r="AH867" s="7">
        <f t="shared" si="575"/>
        <v>0.44314454648406298</v>
      </c>
      <c r="AI867" s="7">
        <f t="shared" si="575"/>
        <v>0</v>
      </c>
      <c r="AJ867" s="7">
        <f t="shared" si="575"/>
        <v>0</v>
      </c>
      <c r="AK867" s="7">
        <f t="shared" si="575"/>
        <v>0</v>
      </c>
      <c r="AL867" s="7">
        <f t="shared" si="575"/>
        <v>0</v>
      </c>
      <c r="AM867" s="7">
        <f t="shared" ref="AM867:BD867" si="576">IFERROR(AM866/AM59,0)</f>
        <v>0</v>
      </c>
      <c r="AN867" s="7">
        <f t="shared" si="576"/>
        <v>0</v>
      </c>
      <c r="AO867" s="7">
        <f t="shared" si="576"/>
        <v>0</v>
      </c>
      <c r="AP867" s="7">
        <f t="shared" si="576"/>
        <v>0</v>
      </c>
      <c r="AQ867" s="7">
        <f t="shared" si="576"/>
        <v>0</v>
      </c>
      <c r="AR867" s="7">
        <f t="shared" si="576"/>
        <v>0</v>
      </c>
      <c r="AS867" s="7">
        <f t="shared" si="576"/>
        <v>0</v>
      </c>
      <c r="AT867" s="7">
        <f t="shared" si="576"/>
        <v>0</v>
      </c>
      <c r="AU867" s="7">
        <f t="shared" si="576"/>
        <v>0</v>
      </c>
      <c r="AV867" s="7">
        <f t="shared" si="576"/>
        <v>0</v>
      </c>
      <c r="AW867" s="7">
        <f t="shared" si="576"/>
        <v>0</v>
      </c>
      <c r="AX867" s="7">
        <f t="shared" si="576"/>
        <v>0</v>
      </c>
      <c r="AY867" s="7">
        <f t="shared" si="576"/>
        <v>0</v>
      </c>
      <c r="AZ867" s="7">
        <f t="shared" si="576"/>
        <v>0</v>
      </c>
      <c r="BA867" s="7">
        <f t="shared" si="576"/>
        <v>0</v>
      </c>
      <c r="BB867" s="7">
        <f t="shared" si="576"/>
        <v>0</v>
      </c>
      <c r="BC867" s="7">
        <f t="shared" si="576"/>
        <v>0</v>
      </c>
      <c r="BD867" s="7">
        <f t="shared" si="576"/>
        <v>0</v>
      </c>
    </row>
    <row r="868" spans="3:56" ht="15" customHeight="1">
      <c r="D868" s="132"/>
    </row>
    <row r="869" spans="3:56" ht="15" customHeight="1">
      <c r="C869" s="20"/>
      <c r="D869" s="136" t="s">
        <v>693</v>
      </c>
      <c r="E869" s="18"/>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row>
    <row r="870" spans="3:56" ht="15" customHeight="1">
      <c r="C870" s="21">
        <f t="shared" ref="C870:C880" si="577">SUM(G870:BD870)</f>
        <v>189.125</v>
      </c>
      <c r="D870" s="11" t="str">
        <f t="shared" ref="D870:D887" si="578">D847</f>
        <v>Import duties</v>
      </c>
      <c r="E870" s="18" t="s">
        <v>289</v>
      </c>
      <c r="G870" s="21">
        <f t="shared" ref="G870:AL870" si="579">G847/G$816</f>
        <v>0</v>
      </c>
      <c r="H870" s="21">
        <f t="shared" si="579"/>
        <v>0</v>
      </c>
      <c r="I870" s="21">
        <f t="shared" si="579"/>
        <v>2.8125000000000004</v>
      </c>
      <c r="J870" s="21">
        <f t="shared" si="579"/>
        <v>11.25</v>
      </c>
      <c r="K870" s="21">
        <f t="shared" si="579"/>
        <v>5.4375000000000009</v>
      </c>
      <c r="L870" s="21">
        <f t="shared" si="579"/>
        <v>7.6250000000000009</v>
      </c>
      <c r="M870" s="21">
        <f t="shared" si="579"/>
        <v>7.625</v>
      </c>
      <c r="N870" s="21">
        <f t="shared" si="579"/>
        <v>7.625</v>
      </c>
      <c r="O870" s="21">
        <f t="shared" si="579"/>
        <v>7.625</v>
      </c>
      <c r="P870" s="21">
        <f t="shared" si="579"/>
        <v>7.6249999999999991</v>
      </c>
      <c r="Q870" s="21">
        <f t="shared" si="579"/>
        <v>7.625</v>
      </c>
      <c r="R870" s="21">
        <f t="shared" si="579"/>
        <v>7.6249999999999991</v>
      </c>
      <c r="S870" s="21">
        <f t="shared" si="579"/>
        <v>7.6250000000000009</v>
      </c>
      <c r="T870" s="21">
        <f t="shared" si="579"/>
        <v>7.6250000000000009</v>
      </c>
      <c r="U870" s="21">
        <f t="shared" si="579"/>
        <v>7.6250000000000018</v>
      </c>
      <c r="V870" s="21">
        <f t="shared" si="579"/>
        <v>7.625</v>
      </c>
      <c r="W870" s="21">
        <f t="shared" si="579"/>
        <v>7.6250000000000018</v>
      </c>
      <c r="X870" s="21">
        <f t="shared" si="579"/>
        <v>7.6250000000000009</v>
      </c>
      <c r="Y870" s="21">
        <f t="shared" si="579"/>
        <v>7.6250000000000009</v>
      </c>
      <c r="Z870" s="21">
        <f t="shared" si="579"/>
        <v>7.625</v>
      </c>
      <c r="AA870" s="21">
        <f t="shared" si="579"/>
        <v>7.6250000000000009</v>
      </c>
      <c r="AB870" s="21">
        <f t="shared" si="579"/>
        <v>7.625</v>
      </c>
      <c r="AC870" s="21">
        <f t="shared" si="579"/>
        <v>7.6250000000000018</v>
      </c>
      <c r="AD870" s="21">
        <f t="shared" si="579"/>
        <v>7.625</v>
      </c>
      <c r="AE870" s="21">
        <f t="shared" si="579"/>
        <v>7.6250000000000009</v>
      </c>
      <c r="AF870" s="21">
        <f t="shared" si="579"/>
        <v>7.6250000000000009</v>
      </c>
      <c r="AG870" s="21">
        <f t="shared" si="579"/>
        <v>6.875</v>
      </c>
      <c r="AH870" s="21">
        <f t="shared" si="579"/>
        <v>2.625</v>
      </c>
      <c r="AI870" s="21">
        <f t="shared" si="579"/>
        <v>0</v>
      </c>
      <c r="AJ870" s="21">
        <f t="shared" si="579"/>
        <v>0</v>
      </c>
      <c r="AK870" s="21">
        <f t="shared" si="579"/>
        <v>0</v>
      </c>
      <c r="AL870" s="21">
        <f t="shared" si="579"/>
        <v>0</v>
      </c>
      <c r="AM870" s="21">
        <f t="shared" ref="AM870:BD870" si="580">AM847/AM$816</f>
        <v>0</v>
      </c>
      <c r="AN870" s="21">
        <f t="shared" si="580"/>
        <v>0</v>
      </c>
      <c r="AO870" s="21">
        <f t="shared" si="580"/>
        <v>0</v>
      </c>
      <c r="AP870" s="21">
        <f t="shared" si="580"/>
        <v>0</v>
      </c>
      <c r="AQ870" s="21">
        <f t="shared" si="580"/>
        <v>0</v>
      </c>
      <c r="AR870" s="21">
        <f t="shared" si="580"/>
        <v>0</v>
      </c>
      <c r="AS870" s="21">
        <f t="shared" si="580"/>
        <v>0</v>
      </c>
      <c r="AT870" s="21">
        <f t="shared" si="580"/>
        <v>0</v>
      </c>
      <c r="AU870" s="21">
        <f t="shared" si="580"/>
        <v>0</v>
      </c>
      <c r="AV870" s="21">
        <f t="shared" si="580"/>
        <v>0</v>
      </c>
      <c r="AW870" s="21">
        <f t="shared" si="580"/>
        <v>0</v>
      </c>
      <c r="AX870" s="21">
        <f t="shared" si="580"/>
        <v>0</v>
      </c>
      <c r="AY870" s="21">
        <f t="shared" si="580"/>
        <v>0</v>
      </c>
      <c r="AZ870" s="21">
        <f t="shared" si="580"/>
        <v>0</v>
      </c>
      <c r="BA870" s="21">
        <f t="shared" si="580"/>
        <v>0</v>
      </c>
      <c r="BB870" s="21">
        <f t="shared" si="580"/>
        <v>0</v>
      </c>
      <c r="BC870" s="21">
        <f t="shared" si="580"/>
        <v>0</v>
      </c>
      <c r="BD870" s="21">
        <f t="shared" si="580"/>
        <v>0</v>
      </c>
    </row>
    <row r="871" spans="3:56" ht="15" customHeight="1">
      <c r="C871" s="21">
        <f t="shared" si="577"/>
        <v>0</v>
      </c>
      <c r="D871" s="11" t="str">
        <f t="shared" si="578"/>
        <v>VAT</v>
      </c>
      <c r="E871" s="18" t="s">
        <v>289</v>
      </c>
      <c r="G871" s="21">
        <f t="shared" ref="G871:AL871" si="581">G848/G$816</f>
        <v>0</v>
      </c>
      <c r="H871" s="21">
        <f t="shared" si="581"/>
        <v>0</v>
      </c>
      <c r="I871" s="21">
        <f t="shared" si="581"/>
        <v>0</v>
      </c>
      <c r="J871" s="21">
        <f t="shared" si="581"/>
        <v>0</v>
      </c>
      <c r="K871" s="21">
        <f t="shared" si="581"/>
        <v>0</v>
      </c>
      <c r="L871" s="21">
        <f t="shared" si="581"/>
        <v>0</v>
      </c>
      <c r="M871" s="21">
        <f t="shared" si="581"/>
        <v>0</v>
      </c>
      <c r="N871" s="21">
        <f t="shared" si="581"/>
        <v>0</v>
      </c>
      <c r="O871" s="21">
        <f t="shared" si="581"/>
        <v>0</v>
      </c>
      <c r="P871" s="21">
        <f t="shared" si="581"/>
        <v>0</v>
      </c>
      <c r="Q871" s="21">
        <f t="shared" si="581"/>
        <v>0</v>
      </c>
      <c r="R871" s="21">
        <f t="shared" si="581"/>
        <v>0</v>
      </c>
      <c r="S871" s="21">
        <f t="shared" si="581"/>
        <v>0</v>
      </c>
      <c r="T871" s="21">
        <f t="shared" si="581"/>
        <v>0</v>
      </c>
      <c r="U871" s="21">
        <f t="shared" si="581"/>
        <v>0</v>
      </c>
      <c r="V871" s="21">
        <f t="shared" si="581"/>
        <v>0</v>
      </c>
      <c r="W871" s="21">
        <f t="shared" si="581"/>
        <v>0</v>
      </c>
      <c r="X871" s="21">
        <f t="shared" si="581"/>
        <v>0</v>
      </c>
      <c r="Y871" s="21">
        <f t="shared" si="581"/>
        <v>0</v>
      </c>
      <c r="Z871" s="21">
        <f t="shared" si="581"/>
        <v>0</v>
      </c>
      <c r="AA871" s="21">
        <f t="shared" si="581"/>
        <v>0</v>
      </c>
      <c r="AB871" s="21">
        <f t="shared" si="581"/>
        <v>0</v>
      </c>
      <c r="AC871" s="21">
        <f t="shared" si="581"/>
        <v>0</v>
      </c>
      <c r="AD871" s="21">
        <f t="shared" si="581"/>
        <v>0</v>
      </c>
      <c r="AE871" s="21">
        <f t="shared" si="581"/>
        <v>0</v>
      </c>
      <c r="AF871" s="21">
        <f t="shared" si="581"/>
        <v>0</v>
      </c>
      <c r="AG871" s="21">
        <f t="shared" si="581"/>
        <v>0</v>
      </c>
      <c r="AH871" s="21">
        <f t="shared" si="581"/>
        <v>0</v>
      </c>
      <c r="AI871" s="21">
        <f t="shared" si="581"/>
        <v>0</v>
      </c>
      <c r="AJ871" s="21">
        <f t="shared" si="581"/>
        <v>0</v>
      </c>
      <c r="AK871" s="21">
        <f t="shared" si="581"/>
        <v>0</v>
      </c>
      <c r="AL871" s="21">
        <f t="shared" si="581"/>
        <v>0</v>
      </c>
      <c r="AM871" s="21">
        <f t="shared" ref="AM871:BD871" si="582">AM848/AM$816</f>
        <v>0</v>
      </c>
      <c r="AN871" s="21">
        <f t="shared" si="582"/>
        <v>0</v>
      </c>
      <c r="AO871" s="21">
        <f t="shared" si="582"/>
        <v>0</v>
      </c>
      <c r="AP871" s="21">
        <f t="shared" si="582"/>
        <v>0</v>
      </c>
      <c r="AQ871" s="21">
        <f t="shared" si="582"/>
        <v>0</v>
      </c>
      <c r="AR871" s="21">
        <f t="shared" si="582"/>
        <v>0</v>
      </c>
      <c r="AS871" s="21">
        <f t="shared" si="582"/>
        <v>0</v>
      </c>
      <c r="AT871" s="21">
        <f t="shared" si="582"/>
        <v>0</v>
      </c>
      <c r="AU871" s="21">
        <f t="shared" si="582"/>
        <v>0</v>
      </c>
      <c r="AV871" s="21">
        <f t="shared" si="582"/>
        <v>0</v>
      </c>
      <c r="AW871" s="21">
        <f t="shared" si="582"/>
        <v>0</v>
      </c>
      <c r="AX871" s="21">
        <f t="shared" si="582"/>
        <v>0</v>
      </c>
      <c r="AY871" s="21">
        <f t="shared" si="582"/>
        <v>0</v>
      </c>
      <c r="AZ871" s="21">
        <f t="shared" si="582"/>
        <v>0</v>
      </c>
      <c r="BA871" s="21">
        <f t="shared" si="582"/>
        <v>0</v>
      </c>
      <c r="BB871" s="21">
        <f t="shared" si="582"/>
        <v>0</v>
      </c>
      <c r="BC871" s="21">
        <f t="shared" si="582"/>
        <v>0</v>
      </c>
      <c r="BD871" s="21">
        <f t="shared" si="582"/>
        <v>0</v>
      </c>
    </row>
    <row r="872" spans="3:56" ht="15" customHeight="1">
      <c r="C872" s="21">
        <f>SUM(G872:BD872)</f>
        <v>44.800000000000018</v>
      </c>
      <c r="D872" s="11" t="str">
        <f t="shared" si="578"/>
        <v>Skills development levy</v>
      </c>
      <c r="E872" s="18" t="s">
        <v>289</v>
      </c>
      <c r="G872" s="21">
        <f t="shared" ref="G872:AL872" si="583">G849/G$816</f>
        <v>0</v>
      </c>
      <c r="H872" s="21">
        <f t="shared" si="583"/>
        <v>0</v>
      </c>
      <c r="I872" s="21">
        <f t="shared" si="583"/>
        <v>0</v>
      </c>
      <c r="J872" s="21">
        <f t="shared" si="583"/>
        <v>0</v>
      </c>
      <c r="K872" s="21">
        <f t="shared" si="583"/>
        <v>0.84000000000000008</v>
      </c>
      <c r="L872" s="21">
        <f t="shared" si="583"/>
        <v>1.9600000000000004</v>
      </c>
      <c r="M872" s="21">
        <f t="shared" si="583"/>
        <v>1.96</v>
      </c>
      <c r="N872" s="21">
        <f t="shared" si="583"/>
        <v>1.9600000000000002</v>
      </c>
      <c r="O872" s="21">
        <f t="shared" si="583"/>
        <v>1.96</v>
      </c>
      <c r="P872" s="21">
        <f t="shared" si="583"/>
        <v>1.96</v>
      </c>
      <c r="Q872" s="21">
        <f t="shared" si="583"/>
        <v>1.9600000000000004</v>
      </c>
      <c r="R872" s="21">
        <f t="shared" si="583"/>
        <v>1.96</v>
      </c>
      <c r="S872" s="21">
        <f t="shared" si="583"/>
        <v>1.9600000000000004</v>
      </c>
      <c r="T872" s="21">
        <f t="shared" si="583"/>
        <v>1.9600000000000002</v>
      </c>
      <c r="U872" s="21">
        <f t="shared" si="583"/>
        <v>1.9600000000000002</v>
      </c>
      <c r="V872" s="21">
        <f t="shared" si="583"/>
        <v>1.96</v>
      </c>
      <c r="W872" s="21">
        <f t="shared" si="583"/>
        <v>1.9600000000000002</v>
      </c>
      <c r="X872" s="21">
        <f t="shared" si="583"/>
        <v>1.9600000000000002</v>
      </c>
      <c r="Y872" s="21">
        <f t="shared" si="583"/>
        <v>1.96</v>
      </c>
      <c r="Z872" s="21">
        <f t="shared" si="583"/>
        <v>1.9600000000000002</v>
      </c>
      <c r="AA872" s="21">
        <f t="shared" si="583"/>
        <v>1.9600000000000002</v>
      </c>
      <c r="AB872" s="21">
        <f t="shared" si="583"/>
        <v>1.9600000000000004</v>
      </c>
      <c r="AC872" s="21">
        <f t="shared" si="583"/>
        <v>1.9600000000000002</v>
      </c>
      <c r="AD872" s="21">
        <f t="shared" si="583"/>
        <v>1.9600000000000002</v>
      </c>
      <c r="AE872" s="21">
        <f t="shared" si="583"/>
        <v>1.9600000000000002</v>
      </c>
      <c r="AF872" s="21">
        <f t="shared" si="583"/>
        <v>1.9600000000000004</v>
      </c>
      <c r="AG872" s="21">
        <f t="shared" si="583"/>
        <v>1.9600000000000002</v>
      </c>
      <c r="AH872" s="21">
        <f t="shared" si="583"/>
        <v>0.84000000000000008</v>
      </c>
      <c r="AI872" s="21">
        <f t="shared" si="583"/>
        <v>0</v>
      </c>
      <c r="AJ872" s="21">
        <f t="shared" si="583"/>
        <v>0</v>
      </c>
      <c r="AK872" s="21">
        <f t="shared" si="583"/>
        <v>0</v>
      </c>
      <c r="AL872" s="21">
        <f t="shared" si="583"/>
        <v>0</v>
      </c>
      <c r="AM872" s="21">
        <f t="shared" ref="AM872:BD872" si="584">AM849/AM$816</f>
        <v>0</v>
      </c>
      <c r="AN872" s="21">
        <f t="shared" si="584"/>
        <v>0</v>
      </c>
      <c r="AO872" s="21">
        <f t="shared" si="584"/>
        <v>0</v>
      </c>
      <c r="AP872" s="21">
        <f t="shared" si="584"/>
        <v>0</v>
      </c>
      <c r="AQ872" s="21">
        <f t="shared" si="584"/>
        <v>0</v>
      </c>
      <c r="AR872" s="21">
        <f t="shared" si="584"/>
        <v>0</v>
      </c>
      <c r="AS872" s="21">
        <f t="shared" si="584"/>
        <v>0</v>
      </c>
      <c r="AT872" s="21">
        <f t="shared" si="584"/>
        <v>0</v>
      </c>
      <c r="AU872" s="21">
        <f t="shared" si="584"/>
        <v>0</v>
      </c>
      <c r="AV872" s="21">
        <f t="shared" si="584"/>
        <v>0</v>
      </c>
      <c r="AW872" s="21">
        <f t="shared" si="584"/>
        <v>0</v>
      </c>
      <c r="AX872" s="21">
        <f t="shared" si="584"/>
        <v>0</v>
      </c>
      <c r="AY872" s="21">
        <f t="shared" si="584"/>
        <v>0</v>
      </c>
      <c r="AZ872" s="21">
        <f t="shared" si="584"/>
        <v>0</v>
      </c>
      <c r="BA872" s="21">
        <f t="shared" si="584"/>
        <v>0</v>
      </c>
      <c r="BB872" s="21">
        <f t="shared" si="584"/>
        <v>0</v>
      </c>
      <c r="BC872" s="21">
        <f t="shared" si="584"/>
        <v>0</v>
      </c>
      <c r="BD872" s="21">
        <f t="shared" si="584"/>
        <v>0</v>
      </c>
    </row>
    <row r="873" spans="3:56" ht="15" customHeight="1">
      <c r="C873" s="21">
        <f t="shared" si="577"/>
        <v>896.00000000000023</v>
      </c>
      <c r="D873" s="11" t="str">
        <f t="shared" si="578"/>
        <v>Royalty</v>
      </c>
      <c r="E873" s="18" t="s">
        <v>289</v>
      </c>
      <c r="G873" s="21">
        <f t="shared" ref="G873:AL873" si="585">G850/G$816</f>
        <v>0</v>
      </c>
      <c r="H873" s="21">
        <f t="shared" si="585"/>
        <v>0</v>
      </c>
      <c r="I873" s="21">
        <f t="shared" si="585"/>
        <v>0</v>
      </c>
      <c r="J873" s="21">
        <f t="shared" si="585"/>
        <v>0</v>
      </c>
      <c r="K873" s="21">
        <f t="shared" si="585"/>
        <v>16.8</v>
      </c>
      <c r="L873" s="21">
        <f t="shared" si="585"/>
        <v>39.199999999999996</v>
      </c>
      <c r="M873" s="21">
        <f t="shared" si="585"/>
        <v>39.199999999999996</v>
      </c>
      <c r="N873" s="21">
        <f t="shared" si="585"/>
        <v>39.199999999999996</v>
      </c>
      <c r="O873" s="21">
        <f t="shared" si="585"/>
        <v>39.199999999999989</v>
      </c>
      <c r="P873" s="21">
        <f t="shared" si="585"/>
        <v>39.199999999999996</v>
      </c>
      <c r="Q873" s="21">
        <f t="shared" si="585"/>
        <v>39.199999999999996</v>
      </c>
      <c r="R873" s="21">
        <f t="shared" si="585"/>
        <v>39.199999999999996</v>
      </c>
      <c r="S873" s="21">
        <f t="shared" si="585"/>
        <v>39.200000000000003</v>
      </c>
      <c r="T873" s="21">
        <f t="shared" si="585"/>
        <v>39.199999999999996</v>
      </c>
      <c r="U873" s="21">
        <f t="shared" si="585"/>
        <v>39.199999999999996</v>
      </c>
      <c r="V873" s="21">
        <f t="shared" si="585"/>
        <v>39.199999999999996</v>
      </c>
      <c r="W873" s="21">
        <f t="shared" si="585"/>
        <v>39.199999999999996</v>
      </c>
      <c r="X873" s="21">
        <f t="shared" si="585"/>
        <v>39.199999999999996</v>
      </c>
      <c r="Y873" s="21">
        <f t="shared" si="585"/>
        <v>39.199999999999996</v>
      </c>
      <c r="Z873" s="21">
        <f t="shared" si="585"/>
        <v>39.199999999999996</v>
      </c>
      <c r="AA873" s="21">
        <f t="shared" si="585"/>
        <v>39.199999999999996</v>
      </c>
      <c r="AB873" s="21">
        <f t="shared" si="585"/>
        <v>39.199999999999996</v>
      </c>
      <c r="AC873" s="21">
        <f t="shared" si="585"/>
        <v>39.200000000000003</v>
      </c>
      <c r="AD873" s="21">
        <f t="shared" si="585"/>
        <v>39.199999999999996</v>
      </c>
      <c r="AE873" s="21">
        <f t="shared" si="585"/>
        <v>39.199999999999996</v>
      </c>
      <c r="AF873" s="21">
        <f t="shared" si="585"/>
        <v>39.199999999999996</v>
      </c>
      <c r="AG873" s="21">
        <f t="shared" si="585"/>
        <v>39.199999999999989</v>
      </c>
      <c r="AH873" s="21">
        <f t="shared" si="585"/>
        <v>16.799999999999997</v>
      </c>
      <c r="AI873" s="21">
        <f t="shared" si="585"/>
        <v>0</v>
      </c>
      <c r="AJ873" s="21">
        <f t="shared" si="585"/>
        <v>0</v>
      </c>
      <c r="AK873" s="21">
        <f t="shared" si="585"/>
        <v>0</v>
      </c>
      <c r="AL873" s="21">
        <f t="shared" si="585"/>
        <v>0</v>
      </c>
      <c r="AM873" s="21">
        <f t="shared" ref="AM873:BD873" si="586">AM850/AM$816</f>
        <v>0</v>
      </c>
      <c r="AN873" s="21">
        <f t="shared" si="586"/>
        <v>0</v>
      </c>
      <c r="AO873" s="21">
        <f t="shared" si="586"/>
        <v>0</v>
      </c>
      <c r="AP873" s="21">
        <f t="shared" si="586"/>
        <v>0</v>
      </c>
      <c r="AQ873" s="21">
        <f t="shared" si="586"/>
        <v>0</v>
      </c>
      <c r="AR873" s="21">
        <f t="shared" si="586"/>
        <v>0</v>
      </c>
      <c r="AS873" s="21">
        <f t="shared" si="586"/>
        <v>0</v>
      </c>
      <c r="AT873" s="21">
        <f t="shared" si="586"/>
        <v>0</v>
      </c>
      <c r="AU873" s="21">
        <f t="shared" si="586"/>
        <v>0</v>
      </c>
      <c r="AV873" s="21">
        <f t="shared" si="586"/>
        <v>0</v>
      </c>
      <c r="AW873" s="21">
        <f t="shared" si="586"/>
        <v>0</v>
      </c>
      <c r="AX873" s="21">
        <f t="shared" si="586"/>
        <v>0</v>
      </c>
      <c r="AY873" s="21">
        <f t="shared" si="586"/>
        <v>0</v>
      </c>
      <c r="AZ873" s="21">
        <f t="shared" si="586"/>
        <v>0</v>
      </c>
      <c r="BA873" s="21">
        <f t="shared" si="586"/>
        <v>0</v>
      </c>
      <c r="BB873" s="21">
        <f t="shared" si="586"/>
        <v>0</v>
      </c>
      <c r="BC873" s="21">
        <f t="shared" si="586"/>
        <v>0</v>
      </c>
      <c r="BD873" s="21">
        <f t="shared" si="586"/>
        <v>0</v>
      </c>
    </row>
    <row r="874" spans="3:56" ht="15" customHeight="1">
      <c r="C874" s="21">
        <f t="shared" si="577"/>
        <v>0</v>
      </c>
      <c r="D874" s="11" t="str">
        <f t="shared" si="578"/>
        <v>Variable rate royalty</v>
      </c>
      <c r="E874" s="18" t="s">
        <v>289</v>
      </c>
      <c r="G874" s="21">
        <f t="shared" ref="G874:AL874" si="587">G851/G$816</f>
        <v>0</v>
      </c>
      <c r="H874" s="21">
        <f t="shared" si="587"/>
        <v>0</v>
      </c>
      <c r="I874" s="21">
        <f t="shared" si="587"/>
        <v>0</v>
      </c>
      <c r="J874" s="21">
        <f t="shared" si="587"/>
        <v>0</v>
      </c>
      <c r="K874" s="21">
        <f t="shared" si="587"/>
        <v>0</v>
      </c>
      <c r="L874" s="21">
        <f t="shared" si="587"/>
        <v>0</v>
      </c>
      <c r="M874" s="21">
        <f t="shared" si="587"/>
        <v>0</v>
      </c>
      <c r="N874" s="21">
        <f t="shared" si="587"/>
        <v>0</v>
      </c>
      <c r="O874" s="21">
        <f t="shared" si="587"/>
        <v>0</v>
      </c>
      <c r="P874" s="21">
        <f t="shared" si="587"/>
        <v>0</v>
      </c>
      <c r="Q874" s="21">
        <f t="shared" si="587"/>
        <v>0</v>
      </c>
      <c r="R874" s="21">
        <f t="shared" si="587"/>
        <v>0</v>
      </c>
      <c r="S874" s="21">
        <f t="shared" si="587"/>
        <v>0</v>
      </c>
      <c r="T874" s="21">
        <f t="shared" si="587"/>
        <v>0</v>
      </c>
      <c r="U874" s="21">
        <f t="shared" si="587"/>
        <v>0</v>
      </c>
      <c r="V874" s="21">
        <f t="shared" si="587"/>
        <v>0</v>
      </c>
      <c r="W874" s="21">
        <f t="shared" si="587"/>
        <v>0</v>
      </c>
      <c r="X874" s="21">
        <f t="shared" si="587"/>
        <v>0</v>
      </c>
      <c r="Y874" s="21">
        <f t="shared" si="587"/>
        <v>0</v>
      </c>
      <c r="Z874" s="21">
        <f t="shared" si="587"/>
        <v>0</v>
      </c>
      <c r="AA874" s="21">
        <f t="shared" si="587"/>
        <v>0</v>
      </c>
      <c r="AB874" s="21">
        <f t="shared" si="587"/>
        <v>0</v>
      </c>
      <c r="AC874" s="21">
        <f t="shared" si="587"/>
        <v>0</v>
      </c>
      <c r="AD874" s="21">
        <f t="shared" si="587"/>
        <v>0</v>
      </c>
      <c r="AE874" s="21">
        <f t="shared" si="587"/>
        <v>0</v>
      </c>
      <c r="AF874" s="21">
        <f t="shared" si="587"/>
        <v>0</v>
      </c>
      <c r="AG874" s="21">
        <f t="shared" si="587"/>
        <v>0</v>
      </c>
      <c r="AH874" s="21">
        <f t="shared" si="587"/>
        <v>0</v>
      </c>
      <c r="AI874" s="21">
        <f t="shared" si="587"/>
        <v>0</v>
      </c>
      <c r="AJ874" s="21">
        <f t="shared" si="587"/>
        <v>0</v>
      </c>
      <c r="AK874" s="21">
        <f t="shared" si="587"/>
        <v>0</v>
      </c>
      <c r="AL874" s="21">
        <f t="shared" si="587"/>
        <v>0</v>
      </c>
      <c r="AM874" s="21">
        <f t="shared" ref="AM874:BD874" si="588">AM851/AM$816</f>
        <v>0</v>
      </c>
      <c r="AN874" s="21">
        <f t="shared" si="588"/>
        <v>0</v>
      </c>
      <c r="AO874" s="21">
        <f t="shared" si="588"/>
        <v>0</v>
      </c>
      <c r="AP874" s="21">
        <f t="shared" si="588"/>
        <v>0</v>
      </c>
      <c r="AQ874" s="21">
        <f t="shared" si="588"/>
        <v>0</v>
      </c>
      <c r="AR874" s="21">
        <f t="shared" si="588"/>
        <v>0</v>
      </c>
      <c r="AS874" s="21">
        <f t="shared" si="588"/>
        <v>0</v>
      </c>
      <c r="AT874" s="21">
        <f t="shared" si="588"/>
        <v>0</v>
      </c>
      <c r="AU874" s="21">
        <f t="shared" si="588"/>
        <v>0</v>
      </c>
      <c r="AV874" s="21">
        <f t="shared" si="588"/>
        <v>0</v>
      </c>
      <c r="AW874" s="21">
        <f t="shared" si="588"/>
        <v>0</v>
      </c>
      <c r="AX874" s="21">
        <f t="shared" si="588"/>
        <v>0</v>
      </c>
      <c r="AY874" s="21">
        <f t="shared" si="588"/>
        <v>0</v>
      </c>
      <c r="AZ874" s="21">
        <f t="shared" si="588"/>
        <v>0</v>
      </c>
      <c r="BA874" s="21">
        <f t="shared" si="588"/>
        <v>0</v>
      </c>
      <c r="BB874" s="21">
        <f t="shared" si="588"/>
        <v>0</v>
      </c>
      <c r="BC874" s="21">
        <f t="shared" si="588"/>
        <v>0</v>
      </c>
      <c r="BD874" s="21">
        <f t="shared" si="588"/>
        <v>0</v>
      </c>
    </row>
    <row r="875" spans="3:56" ht="15" customHeight="1">
      <c r="C875" s="21">
        <f>SUM(G875:BD875)</f>
        <v>0</v>
      </c>
      <c r="D875" s="11" t="str">
        <f t="shared" si="578"/>
        <v>South Africa variable royalty</v>
      </c>
      <c r="E875" s="18" t="s">
        <v>289</v>
      </c>
      <c r="G875" s="21">
        <f t="shared" ref="G875:AL875" si="589">G852/G$816</f>
        <v>0</v>
      </c>
      <c r="H875" s="21">
        <f t="shared" si="589"/>
        <v>0</v>
      </c>
      <c r="I875" s="21">
        <f t="shared" si="589"/>
        <v>0</v>
      </c>
      <c r="J875" s="21">
        <f t="shared" si="589"/>
        <v>0</v>
      </c>
      <c r="K875" s="21">
        <f t="shared" si="589"/>
        <v>0</v>
      </c>
      <c r="L875" s="21">
        <f t="shared" si="589"/>
        <v>0</v>
      </c>
      <c r="M875" s="21">
        <f t="shared" si="589"/>
        <v>0</v>
      </c>
      <c r="N875" s="21">
        <f t="shared" si="589"/>
        <v>0</v>
      </c>
      <c r="O875" s="21">
        <f t="shared" si="589"/>
        <v>0</v>
      </c>
      <c r="P875" s="21">
        <f t="shared" si="589"/>
        <v>0</v>
      </c>
      <c r="Q875" s="21">
        <f t="shared" si="589"/>
        <v>0</v>
      </c>
      <c r="R875" s="21">
        <f t="shared" si="589"/>
        <v>0</v>
      </c>
      <c r="S875" s="21">
        <f t="shared" si="589"/>
        <v>0</v>
      </c>
      <c r="T875" s="21">
        <f t="shared" si="589"/>
        <v>0</v>
      </c>
      <c r="U875" s="21">
        <f t="shared" si="589"/>
        <v>0</v>
      </c>
      <c r="V875" s="21">
        <f t="shared" si="589"/>
        <v>0</v>
      </c>
      <c r="W875" s="21">
        <f t="shared" si="589"/>
        <v>0</v>
      </c>
      <c r="X875" s="21">
        <f t="shared" si="589"/>
        <v>0</v>
      </c>
      <c r="Y875" s="21">
        <f t="shared" si="589"/>
        <v>0</v>
      </c>
      <c r="Z875" s="21">
        <f t="shared" si="589"/>
        <v>0</v>
      </c>
      <c r="AA875" s="21">
        <f t="shared" si="589"/>
        <v>0</v>
      </c>
      <c r="AB875" s="21">
        <f t="shared" si="589"/>
        <v>0</v>
      </c>
      <c r="AC875" s="21">
        <f t="shared" si="589"/>
        <v>0</v>
      </c>
      <c r="AD875" s="21">
        <f t="shared" si="589"/>
        <v>0</v>
      </c>
      <c r="AE875" s="21">
        <f t="shared" si="589"/>
        <v>0</v>
      </c>
      <c r="AF875" s="21">
        <f t="shared" si="589"/>
        <v>0</v>
      </c>
      <c r="AG875" s="21">
        <f t="shared" si="589"/>
        <v>0</v>
      </c>
      <c r="AH875" s="21">
        <f t="shared" si="589"/>
        <v>0</v>
      </c>
      <c r="AI875" s="21">
        <f t="shared" si="589"/>
        <v>0</v>
      </c>
      <c r="AJ875" s="21">
        <f t="shared" si="589"/>
        <v>0</v>
      </c>
      <c r="AK875" s="21">
        <f t="shared" si="589"/>
        <v>0</v>
      </c>
      <c r="AL875" s="21">
        <f t="shared" si="589"/>
        <v>0</v>
      </c>
      <c r="AM875" s="21">
        <f t="shared" ref="AM875:BD875" si="590">AM852/AM$816</f>
        <v>0</v>
      </c>
      <c r="AN875" s="21">
        <f t="shared" si="590"/>
        <v>0</v>
      </c>
      <c r="AO875" s="21">
        <f t="shared" si="590"/>
        <v>0</v>
      </c>
      <c r="AP875" s="21">
        <f t="shared" si="590"/>
        <v>0</v>
      </c>
      <c r="AQ875" s="21">
        <f t="shared" si="590"/>
        <v>0</v>
      </c>
      <c r="AR875" s="21">
        <f t="shared" si="590"/>
        <v>0</v>
      </c>
      <c r="AS875" s="21">
        <f t="shared" si="590"/>
        <v>0</v>
      </c>
      <c r="AT875" s="21">
        <f t="shared" si="590"/>
        <v>0</v>
      </c>
      <c r="AU875" s="21">
        <f t="shared" si="590"/>
        <v>0</v>
      </c>
      <c r="AV875" s="21">
        <f t="shared" si="590"/>
        <v>0</v>
      </c>
      <c r="AW875" s="21">
        <f t="shared" si="590"/>
        <v>0</v>
      </c>
      <c r="AX875" s="21">
        <f t="shared" si="590"/>
        <v>0</v>
      </c>
      <c r="AY875" s="21">
        <f t="shared" si="590"/>
        <v>0</v>
      </c>
      <c r="AZ875" s="21">
        <f t="shared" si="590"/>
        <v>0</v>
      </c>
      <c r="BA875" s="21">
        <f t="shared" si="590"/>
        <v>0</v>
      </c>
      <c r="BB875" s="21">
        <f t="shared" si="590"/>
        <v>0</v>
      </c>
      <c r="BC875" s="21">
        <f t="shared" si="590"/>
        <v>0</v>
      </c>
      <c r="BD875" s="21">
        <f t="shared" si="590"/>
        <v>0</v>
      </c>
    </row>
    <row r="876" spans="3:56" ht="15" customHeight="1">
      <c r="C876" s="21">
        <f t="shared" si="577"/>
        <v>0</v>
      </c>
      <c r="D876" s="11" t="str">
        <f t="shared" si="578"/>
        <v>Operating profit tax</v>
      </c>
      <c r="E876" s="18" t="s">
        <v>289</v>
      </c>
      <c r="G876" s="21">
        <f t="shared" ref="G876:AL876" si="591">G853/G$816</f>
        <v>0</v>
      </c>
      <c r="H876" s="21">
        <f t="shared" si="591"/>
        <v>0</v>
      </c>
      <c r="I876" s="21">
        <f t="shared" si="591"/>
        <v>0</v>
      </c>
      <c r="J876" s="21">
        <f t="shared" si="591"/>
        <v>0</v>
      </c>
      <c r="K876" s="21">
        <f t="shared" si="591"/>
        <v>0</v>
      </c>
      <c r="L876" s="21">
        <f t="shared" si="591"/>
        <v>0</v>
      </c>
      <c r="M876" s="21">
        <f t="shared" si="591"/>
        <v>0</v>
      </c>
      <c r="N876" s="21">
        <f t="shared" si="591"/>
        <v>0</v>
      </c>
      <c r="O876" s="21">
        <f t="shared" si="591"/>
        <v>0</v>
      </c>
      <c r="P876" s="21">
        <f t="shared" si="591"/>
        <v>0</v>
      </c>
      <c r="Q876" s="21">
        <f t="shared" si="591"/>
        <v>0</v>
      </c>
      <c r="R876" s="21">
        <f t="shared" si="591"/>
        <v>0</v>
      </c>
      <c r="S876" s="21">
        <f t="shared" si="591"/>
        <v>0</v>
      </c>
      <c r="T876" s="21">
        <f t="shared" si="591"/>
        <v>0</v>
      </c>
      <c r="U876" s="21">
        <f t="shared" si="591"/>
        <v>0</v>
      </c>
      <c r="V876" s="21">
        <f t="shared" si="591"/>
        <v>0</v>
      </c>
      <c r="W876" s="21">
        <f t="shared" si="591"/>
        <v>0</v>
      </c>
      <c r="X876" s="21">
        <f t="shared" si="591"/>
        <v>0</v>
      </c>
      <c r="Y876" s="21">
        <f t="shared" si="591"/>
        <v>0</v>
      </c>
      <c r="Z876" s="21">
        <f t="shared" si="591"/>
        <v>0</v>
      </c>
      <c r="AA876" s="21">
        <f t="shared" si="591"/>
        <v>0</v>
      </c>
      <c r="AB876" s="21">
        <f t="shared" si="591"/>
        <v>0</v>
      </c>
      <c r="AC876" s="21">
        <f t="shared" si="591"/>
        <v>0</v>
      </c>
      <c r="AD876" s="21">
        <f t="shared" si="591"/>
        <v>0</v>
      </c>
      <c r="AE876" s="21">
        <f t="shared" si="591"/>
        <v>0</v>
      </c>
      <c r="AF876" s="21">
        <f t="shared" si="591"/>
        <v>0</v>
      </c>
      <c r="AG876" s="21">
        <f t="shared" si="591"/>
        <v>0</v>
      </c>
      <c r="AH876" s="21">
        <f t="shared" si="591"/>
        <v>0</v>
      </c>
      <c r="AI876" s="21">
        <f t="shared" si="591"/>
        <v>0</v>
      </c>
      <c r="AJ876" s="21">
        <f t="shared" si="591"/>
        <v>0</v>
      </c>
      <c r="AK876" s="21">
        <f t="shared" si="591"/>
        <v>0</v>
      </c>
      <c r="AL876" s="21">
        <f t="shared" si="591"/>
        <v>0</v>
      </c>
      <c r="AM876" s="21">
        <f t="shared" ref="AM876:BD876" si="592">AM853/AM$816</f>
        <v>0</v>
      </c>
      <c r="AN876" s="21">
        <f t="shared" si="592"/>
        <v>0</v>
      </c>
      <c r="AO876" s="21">
        <f t="shared" si="592"/>
        <v>0</v>
      </c>
      <c r="AP876" s="21">
        <f t="shared" si="592"/>
        <v>0</v>
      </c>
      <c r="AQ876" s="21">
        <f t="shared" si="592"/>
        <v>0</v>
      </c>
      <c r="AR876" s="21">
        <f t="shared" si="592"/>
        <v>0</v>
      </c>
      <c r="AS876" s="21">
        <f t="shared" si="592"/>
        <v>0</v>
      </c>
      <c r="AT876" s="21">
        <f t="shared" si="592"/>
        <v>0</v>
      </c>
      <c r="AU876" s="21">
        <f t="shared" si="592"/>
        <v>0</v>
      </c>
      <c r="AV876" s="21">
        <f t="shared" si="592"/>
        <v>0</v>
      </c>
      <c r="AW876" s="21">
        <f t="shared" si="592"/>
        <v>0</v>
      </c>
      <c r="AX876" s="21">
        <f t="shared" si="592"/>
        <v>0</v>
      </c>
      <c r="AY876" s="21">
        <f t="shared" si="592"/>
        <v>0</v>
      </c>
      <c r="AZ876" s="21">
        <f t="shared" si="592"/>
        <v>0</v>
      </c>
      <c r="BA876" s="21">
        <f t="shared" si="592"/>
        <v>0</v>
      </c>
      <c r="BB876" s="21">
        <f t="shared" si="592"/>
        <v>0</v>
      </c>
      <c r="BC876" s="21">
        <f t="shared" si="592"/>
        <v>0</v>
      </c>
      <c r="BD876" s="21">
        <f t="shared" si="592"/>
        <v>0</v>
      </c>
    </row>
    <row r="877" spans="3:56" ht="15" customHeight="1">
      <c r="C877" s="21">
        <f>SUM(G877:BD877)</f>
        <v>0</v>
      </c>
      <c r="D877" s="11" t="str">
        <f t="shared" si="578"/>
        <v>DRC excess profits tax</v>
      </c>
      <c r="E877" s="18" t="s">
        <v>289</v>
      </c>
      <c r="G877" s="21">
        <f t="shared" ref="G877:AL878" si="593">G854/G$816</f>
        <v>0</v>
      </c>
      <c r="H877" s="21">
        <f t="shared" si="593"/>
        <v>0</v>
      </c>
      <c r="I877" s="21">
        <f t="shared" si="593"/>
        <v>0</v>
      </c>
      <c r="J877" s="21">
        <f t="shared" si="593"/>
        <v>0</v>
      </c>
      <c r="K877" s="21">
        <f t="shared" si="593"/>
        <v>0</v>
      </c>
      <c r="L877" s="21">
        <f t="shared" si="593"/>
        <v>0</v>
      </c>
      <c r="M877" s="21">
        <f t="shared" si="593"/>
        <v>0</v>
      </c>
      <c r="N877" s="21">
        <f t="shared" si="593"/>
        <v>0</v>
      </c>
      <c r="O877" s="21">
        <f t="shared" si="593"/>
        <v>0</v>
      </c>
      <c r="P877" s="21">
        <f t="shared" si="593"/>
        <v>0</v>
      </c>
      <c r="Q877" s="21">
        <f t="shared" si="593"/>
        <v>0</v>
      </c>
      <c r="R877" s="21">
        <f t="shared" si="593"/>
        <v>0</v>
      </c>
      <c r="S877" s="21">
        <f t="shared" si="593"/>
        <v>0</v>
      </c>
      <c r="T877" s="21">
        <f t="shared" si="593"/>
        <v>0</v>
      </c>
      <c r="U877" s="21">
        <f t="shared" si="593"/>
        <v>0</v>
      </c>
      <c r="V877" s="21">
        <f t="shared" si="593"/>
        <v>0</v>
      </c>
      <c r="W877" s="21">
        <f t="shared" si="593"/>
        <v>0</v>
      </c>
      <c r="X877" s="21">
        <f t="shared" si="593"/>
        <v>0</v>
      </c>
      <c r="Y877" s="21">
        <f t="shared" si="593"/>
        <v>0</v>
      </c>
      <c r="Z877" s="21">
        <f t="shared" si="593"/>
        <v>0</v>
      </c>
      <c r="AA877" s="21">
        <f t="shared" si="593"/>
        <v>0</v>
      </c>
      <c r="AB877" s="21">
        <f t="shared" si="593"/>
        <v>0</v>
      </c>
      <c r="AC877" s="21">
        <f t="shared" si="593"/>
        <v>0</v>
      </c>
      <c r="AD877" s="21">
        <f t="shared" si="593"/>
        <v>0</v>
      </c>
      <c r="AE877" s="21">
        <f t="shared" si="593"/>
        <v>0</v>
      </c>
      <c r="AF877" s="21">
        <f t="shared" si="593"/>
        <v>0</v>
      </c>
      <c r="AG877" s="21">
        <f t="shared" si="593"/>
        <v>0</v>
      </c>
      <c r="AH877" s="21">
        <f t="shared" si="593"/>
        <v>0</v>
      </c>
      <c r="AI877" s="21">
        <f t="shared" si="593"/>
        <v>0</v>
      </c>
      <c r="AJ877" s="21">
        <f t="shared" si="593"/>
        <v>0</v>
      </c>
      <c r="AK877" s="21">
        <f t="shared" si="593"/>
        <v>0</v>
      </c>
      <c r="AL877" s="21">
        <f t="shared" si="593"/>
        <v>0</v>
      </c>
      <c r="AM877" s="21">
        <f t="shared" ref="AM877:BD878" si="594">AM854/AM$816</f>
        <v>0</v>
      </c>
      <c r="AN877" s="21">
        <f t="shared" si="594"/>
        <v>0</v>
      </c>
      <c r="AO877" s="21">
        <f t="shared" si="594"/>
        <v>0</v>
      </c>
      <c r="AP877" s="21">
        <f t="shared" si="594"/>
        <v>0</v>
      </c>
      <c r="AQ877" s="21">
        <f t="shared" si="594"/>
        <v>0</v>
      </c>
      <c r="AR877" s="21">
        <f t="shared" si="594"/>
        <v>0</v>
      </c>
      <c r="AS877" s="21">
        <f t="shared" si="594"/>
        <v>0</v>
      </c>
      <c r="AT877" s="21">
        <f t="shared" si="594"/>
        <v>0</v>
      </c>
      <c r="AU877" s="21">
        <f t="shared" si="594"/>
        <v>0</v>
      </c>
      <c r="AV877" s="21">
        <f t="shared" si="594"/>
        <v>0</v>
      </c>
      <c r="AW877" s="21">
        <f t="shared" si="594"/>
        <v>0</v>
      </c>
      <c r="AX877" s="21">
        <f t="shared" si="594"/>
        <v>0</v>
      </c>
      <c r="AY877" s="21">
        <f t="shared" si="594"/>
        <v>0</v>
      </c>
      <c r="AZ877" s="21">
        <f t="shared" si="594"/>
        <v>0</v>
      </c>
      <c r="BA877" s="21">
        <f t="shared" si="594"/>
        <v>0</v>
      </c>
      <c r="BB877" s="21">
        <f t="shared" si="594"/>
        <v>0</v>
      </c>
      <c r="BC877" s="21">
        <f t="shared" si="594"/>
        <v>0</v>
      </c>
      <c r="BD877" s="21">
        <f t="shared" si="594"/>
        <v>0</v>
      </c>
    </row>
    <row r="878" spans="3:56" ht="15" customHeight="1">
      <c r="C878" s="21">
        <f>SUM(G878:BD878)</f>
        <v>0</v>
      </c>
      <c r="D878" s="11" t="str">
        <f t="shared" si="578"/>
        <v>Ecuador profit share for workers</v>
      </c>
      <c r="E878" s="18" t="s">
        <v>289</v>
      </c>
      <c r="G878" s="21">
        <f t="shared" si="593"/>
        <v>0</v>
      </c>
      <c r="H878" s="21">
        <f t="shared" si="593"/>
        <v>0</v>
      </c>
      <c r="I878" s="21">
        <f t="shared" si="593"/>
        <v>0</v>
      </c>
      <c r="J878" s="21">
        <f t="shared" si="593"/>
        <v>0</v>
      </c>
      <c r="K878" s="21">
        <f t="shared" si="593"/>
        <v>0</v>
      </c>
      <c r="L878" s="21">
        <f t="shared" si="593"/>
        <v>0</v>
      </c>
      <c r="M878" s="21">
        <f t="shared" si="593"/>
        <v>0</v>
      </c>
      <c r="N878" s="21">
        <f t="shared" si="593"/>
        <v>0</v>
      </c>
      <c r="O878" s="21">
        <f t="shared" si="593"/>
        <v>0</v>
      </c>
      <c r="P878" s="21">
        <f t="shared" si="593"/>
        <v>0</v>
      </c>
      <c r="Q878" s="21">
        <f t="shared" si="593"/>
        <v>0</v>
      </c>
      <c r="R878" s="21">
        <f t="shared" si="593"/>
        <v>0</v>
      </c>
      <c r="S878" s="21">
        <f t="shared" si="593"/>
        <v>0</v>
      </c>
      <c r="T878" s="21">
        <f t="shared" si="593"/>
        <v>0</v>
      </c>
      <c r="U878" s="21">
        <f t="shared" si="593"/>
        <v>0</v>
      </c>
      <c r="V878" s="21">
        <f t="shared" si="593"/>
        <v>0</v>
      </c>
      <c r="W878" s="21">
        <f t="shared" si="593"/>
        <v>0</v>
      </c>
      <c r="X878" s="21">
        <f t="shared" si="593"/>
        <v>0</v>
      </c>
      <c r="Y878" s="21">
        <f t="shared" si="593"/>
        <v>0</v>
      </c>
      <c r="Z878" s="21">
        <f t="shared" si="593"/>
        <v>0</v>
      </c>
      <c r="AA878" s="21">
        <f t="shared" si="593"/>
        <v>0</v>
      </c>
      <c r="AB878" s="21">
        <f t="shared" si="593"/>
        <v>0</v>
      </c>
      <c r="AC878" s="21">
        <f t="shared" si="593"/>
        <v>0</v>
      </c>
      <c r="AD878" s="21">
        <f t="shared" si="593"/>
        <v>0</v>
      </c>
      <c r="AE878" s="21">
        <f t="shared" si="593"/>
        <v>0</v>
      </c>
      <c r="AF878" s="21">
        <f t="shared" si="593"/>
        <v>0</v>
      </c>
      <c r="AG878" s="21">
        <f t="shared" si="593"/>
        <v>0</v>
      </c>
      <c r="AH878" s="21">
        <f t="shared" si="593"/>
        <v>0</v>
      </c>
      <c r="AI878" s="21">
        <f t="shared" si="593"/>
        <v>0</v>
      </c>
      <c r="AJ878" s="21">
        <f t="shared" si="593"/>
        <v>0</v>
      </c>
      <c r="AK878" s="21">
        <f t="shared" si="593"/>
        <v>0</v>
      </c>
      <c r="AL878" s="21">
        <f t="shared" si="593"/>
        <v>0</v>
      </c>
      <c r="AM878" s="21">
        <f t="shared" si="594"/>
        <v>0</v>
      </c>
      <c r="AN878" s="21">
        <f t="shared" si="594"/>
        <v>0</v>
      </c>
      <c r="AO878" s="21">
        <f t="shared" si="594"/>
        <v>0</v>
      </c>
      <c r="AP878" s="21">
        <f t="shared" si="594"/>
        <v>0</v>
      </c>
      <c r="AQ878" s="21">
        <f t="shared" si="594"/>
        <v>0</v>
      </c>
      <c r="AR878" s="21">
        <f t="shared" si="594"/>
        <v>0</v>
      </c>
      <c r="AS878" s="21">
        <f t="shared" si="594"/>
        <v>0</v>
      </c>
      <c r="AT878" s="21">
        <f t="shared" si="594"/>
        <v>0</v>
      </c>
      <c r="AU878" s="21">
        <f t="shared" si="594"/>
        <v>0</v>
      </c>
      <c r="AV878" s="21">
        <f t="shared" si="594"/>
        <v>0</v>
      </c>
      <c r="AW878" s="21">
        <f t="shared" si="594"/>
        <v>0</v>
      </c>
      <c r="AX878" s="21">
        <f t="shared" si="594"/>
        <v>0</v>
      </c>
      <c r="AY878" s="21">
        <f t="shared" si="594"/>
        <v>0</v>
      </c>
      <c r="AZ878" s="21">
        <f t="shared" si="594"/>
        <v>0</v>
      </c>
      <c r="BA878" s="21">
        <f t="shared" si="594"/>
        <v>0</v>
      </c>
      <c r="BB878" s="21">
        <f t="shared" si="594"/>
        <v>0</v>
      </c>
      <c r="BC878" s="21">
        <f t="shared" si="594"/>
        <v>0</v>
      </c>
      <c r="BD878" s="21">
        <f t="shared" si="594"/>
        <v>0</v>
      </c>
    </row>
    <row r="879" spans="3:56" ht="15" customHeight="1">
      <c r="C879" s="21">
        <f t="shared" si="577"/>
        <v>1405.5780796757949</v>
      </c>
      <c r="D879" s="11" t="str">
        <f t="shared" si="578"/>
        <v>Corporate income tax</v>
      </c>
      <c r="E879" s="18" t="s">
        <v>289</v>
      </c>
      <c r="G879" s="21">
        <f t="shared" ref="G879:AL879" si="595">G856/G$816</f>
        <v>0</v>
      </c>
      <c r="H879" s="21">
        <f t="shared" si="595"/>
        <v>0</v>
      </c>
      <c r="I879" s="21">
        <f t="shared" si="595"/>
        <v>0</v>
      </c>
      <c r="J879" s="21">
        <f t="shared" si="595"/>
        <v>0</v>
      </c>
      <c r="K879" s="21">
        <f t="shared" si="595"/>
        <v>0</v>
      </c>
      <c r="L879" s="21">
        <f t="shared" si="595"/>
        <v>34.820393049614836</v>
      </c>
      <c r="M879" s="21">
        <f t="shared" si="595"/>
        <v>46.675021858108884</v>
      </c>
      <c r="N879" s="21">
        <f t="shared" si="595"/>
        <v>45.794511955951009</v>
      </c>
      <c r="O879" s="21">
        <f t="shared" si="595"/>
        <v>44.914112199184174</v>
      </c>
      <c r="P879" s="21">
        <f t="shared" si="595"/>
        <v>68.010951123181727</v>
      </c>
      <c r="Q879" s="21">
        <f t="shared" si="595"/>
        <v>68.010951123181712</v>
      </c>
      <c r="R879" s="21">
        <f t="shared" si="595"/>
        <v>68.010951123181698</v>
      </c>
      <c r="S879" s="21">
        <f t="shared" si="595"/>
        <v>68.010951123181712</v>
      </c>
      <c r="T879" s="21">
        <f t="shared" si="595"/>
        <v>68.010951123181727</v>
      </c>
      <c r="U879" s="21">
        <f t="shared" si="595"/>
        <v>68.010951123181712</v>
      </c>
      <c r="V879" s="21">
        <f t="shared" si="595"/>
        <v>68.010951123181712</v>
      </c>
      <c r="W879" s="21">
        <f t="shared" si="595"/>
        <v>68.010951123181727</v>
      </c>
      <c r="X879" s="21">
        <f t="shared" si="595"/>
        <v>68.010951123181727</v>
      </c>
      <c r="Y879" s="21">
        <f t="shared" si="595"/>
        <v>67.533678395908993</v>
      </c>
      <c r="Z879" s="21">
        <f t="shared" si="595"/>
        <v>67.532568090461695</v>
      </c>
      <c r="AA879" s="21">
        <f t="shared" si="595"/>
        <v>67.5300703218725</v>
      </c>
      <c r="AB879" s="21">
        <f t="shared" si="595"/>
        <v>67.525773866996218</v>
      </c>
      <c r="AC879" s="21">
        <f t="shared" si="595"/>
        <v>67.519033276560208</v>
      </c>
      <c r="AD879" s="21">
        <f t="shared" si="595"/>
        <v>66.773754625861415</v>
      </c>
      <c r="AE879" s="21">
        <f t="shared" si="595"/>
        <v>66.757866321887349</v>
      </c>
      <c r="AF879" s="21">
        <f t="shared" si="595"/>
        <v>66.731692667472117</v>
      </c>
      <c r="AG879" s="21">
        <f t="shared" si="595"/>
        <v>68.105599696015446</v>
      </c>
      <c r="AH879" s="21">
        <f t="shared" si="595"/>
        <v>15.265443241264967</v>
      </c>
      <c r="AI879" s="21">
        <f t="shared" si="595"/>
        <v>0</v>
      </c>
      <c r="AJ879" s="21">
        <f t="shared" si="595"/>
        <v>0</v>
      </c>
      <c r="AK879" s="21">
        <f t="shared" si="595"/>
        <v>0</v>
      </c>
      <c r="AL879" s="21">
        <f t="shared" si="595"/>
        <v>0</v>
      </c>
      <c r="AM879" s="21">
        <f t="shared" ref="AM879:BD879" si="596">AM856/AM$816</f>
        <v>0</v>
      </c>
      <c r="AN879" s="21">
        <f t="shared" si="596"/>
        <v>0</v>
      </c>
      <c r="AO879" s="21">
        <f t="shared" si="596"/>
        <v>0</v>
      </c>
      <c r="AP879" s="21">
        <f t="shared" si="596"/>
        <v>0</v>
      </c>
      <c r="AQ879" s="21">
        <f t="shared" si="596"/>
        <v>0</v>
      </c>
      <c r="AR879" s="21">
        <f t="shared" si="596"/>
        <v>0</v>
      </c>
      <c r="AS879" s="21">
        <f t="shared" si="596"/>
        <v>0</v>
      </c>
      <c r="AT879" s="21">
        <f t="shared" si="596"/>
        <v>0</v>
      </c>
      <c r="AU879" s="21">
        <f t="shared" si="596"/>
        <v>0</v>
      </c>
      <c r="AV879" s="21">
        <f t="shared" si="596"/>
        <v>0</v>
      </c>
      <c r="AW879" s="21">
        <f t="shared" si="596"/>
        <v>0</v>
      </c>
      <c r="AX879" s="21">
        <f t="shared" si="596"/>
        <v>0</v>
      </c>
      <c r="AY879" s="21">
        <f t="shared" si="596"/>
        <v>0</v>
      </c>
      <c r="AZ879" s="21">
        <f t="shared" si="596"/>
        <v>0</v>
      </c>
      <c r="BA879" s="21">
        <f t="shared" si="596"/>
        <v>0</v>
      </c>
      <c r="BB879" s="21">
        <f t="shared" si="596"/>
        <v>0</v>
      </c>
      <c r="BC879" s="21">
        <f t="shared" si="596"/>
        <v>0</v>
      </c>
      <c r="BD879" s="21">
        <f t="shared" si="596"/>
        <v>0</v>
      </c>
    </row>
    <row r="880" spans="3:56" ht="15" customHeight="1">
      <c r="C880" s="21">
        <f t="shared" si="577"/>
        <v>0</v>
      </c>
      <c r="D880" s="11" t="str">
        <f t="shared" si="578"/>
        <v>Resource rent tax</v>
      </c>
      <c r="E880" s="18" t="s">
        <v>289</v>
      </c>
      <c r="G880" s="21">
        <f t="shared" ref="G880:AL880" si="597">G857/G$816</f>
        <v>0</v>
      </c>
      <c r="H880" s="21">
        <f t="shared" si="597"/>
        <v>0</v>
      </c>
      <c r="I880" s="21">
        <f t="shared" si="597"/>
        <v>0</v>
      </c>
      <c r="J880" s="21">
        <f t="shared" si="597"/>
        <v>0</v>
      </c>
      <c r="K880" s="21">
        <f t="shared" si="597"/>
        <v>0</v>
      </c>
      <c r="L880" s="21">
        <f t="shared" si="597"/>
        <v>0</v>
      </c>
      <c r="M880" s="21">
        <f t="shared" si="597"/>
        <v>0</v>
      </c>
      <c r="N880" s="21">
        <f t="shared" si="597"/>
        <v>0</v>
      </c>
      <c r="O880" s="21">
        <f t="shared" si="597"/>
        <v>0</v>
      </c>
      <c r="P880" s="21">
        <f t="shared" si="597"/>
        <v>0</v>
      </c>
      <c r="Q880" s="21">
        <f t="shared" si="597"/>
        <v>0</v>
      </c>
      <c r="R880" s="21">
        <f t="shared" si="597"/>
        <v>0</v>
      </c>
      <c r="S880" s="21">
        <f t="shared" si="597"/>
        <v>0</v>
      </c>
      <c r="T880" s="21">
        <f t="shared" si="597"/>
        <v>0</v>
      </c>
      <c r="U880" s="21">
        <f t="shared" si="597"/>
        <v>0</v>
      </c>
      <c r="V880" s="21">
        <f t="shared" si="597"/>
        <v>0</v>
      </c>
      <c r="W880" s="21">
        <f t="shared" si="597"/>
        <v>0</v>
      </c>
      <c r="X880" s="21">
        <f t="shared" si="597"/>
        <v>0</v>
      </c>
      <c r="Y880" s="21">
        <f t="shared" si="597"/>
        <v>0</v>
      </c>
      <c r="Z880" s="21">
        <f t="shared" si="597"/>
        <v>0</v>
      </c>
      <c r="AA880" s="21">
        <f t="shared" si="597"/>
        <v>0</v>
      </c>
      <c r="AB880" s="21">
        <f t="shared" si="597"/>
        <v>0</v>
      </c>
      <c r="AC880" s="21">
        <f t="shared" si="597"/>
        <v>0</v>
      </c>
      <c r="AD880" s="21">
        <f t="shared" si="597"/>
        <v>0</v>
      </c>
      <c r="AE880" s="21">
        <f t="shared" si="597"/>
        <v>0</v>
      </c>
      <c r="AF880" s="21">
        <f t="shared" si="597"/>
        <v>0</v>
      </c>
      <c r="AG880" s="21">
        <f t="shared" si="597"/>
        <v>0</v>
      </c>
      <c r="AH880" s="21">
        <f t="shared" si="597"/>
        <v>0</v>
      </c>
      <c r="AI880" s="21">
        <f t="shared" si="597"/>
        <v>0</v>
      </c>
      <c r="AJ880" s="21">
        <f t="shared" si="597"/>
        <v>0</v>
      </c>
      <c r="AK880" s="21">
        <f t="shared" si="597"/>
        <v>0</v>
      </c>
      <c r="AL880" s="21">
        <f t="shared" si="597"/>
        <v>0</v>
      </c>
      <c r="AM880" s="21">
        <f t="shared" ref="AM880:BD880" si="598">AM857/AM$816</f>
        <v>0</v>
      </c>
      <c r="AN880" s="21">
        <f t="shared" si="598"/>
        <v>0</v>
      </c>
      <c r="AO880" s="21">
        <f t="shared" si="598"/>
        <v>0</v>
      </c>
      <c r="AP880" s="21">
        <f t="shared" si="598"/>
        <v>0</v>
      </c>
      <c r="AQ880" s="21">
        <f t="shared" si="598"/>
        <v>0</v>
      </c>
      <c r="AR880" s="21">
        <f t="shared" si="598"/>
        <v>0</v>
      </c>
      <c r="AS880" s="21">
        <f t="shared" si="598"/>
        <v>0</v>
      </c>
      <c r="AT880" s="21">
        <f t="shared" si="598"/>
        <v>0</v>
      </c>
      <c r="AU880" s="21">
        <f t="shared" si="598"/>
        <v>0</v>
      </c>
      <c r="AV880" s="21">
        <f t="shared" si="598"/>
        <v>0</v>
      </c>
      <c r="AW880" s="21">
        <f t="shared" si="598"/>
        <v>0</v>
      </c>
      <c r="AX880" s="21">
        <f t="shared" si="598"/>
        <v>0</v>
      </c>
      <c r="AY880" s="21">
        <f t="shared" si="598"/>
        <v>0</v>
      </c>
      <c r="AZ880" s="21">
        <f t="shared" si="598"/>
        <v>0</v>
      </c>
      <c r="BA880" s="21">
        <f t="shared" si="598"/>
        <v>0</v>
      </c>
      <c r="BB880" s="21">
        <f t="shared" si="598"/>
        <v>0</v>
      </c>
      <c r="BC880" s="21">
        <f t="shared" si="598"/>
        <v>0</v>
      </c>
      <c r="BD880" s="21">
        <f t="shared" si="598"/>
        <v>0</v>
      </c>
    </row>
    <row r="881" spans="3:56" ht="15" customHeight="1">
      <c r="C881" s="21">
        <f t="shared" ref="C881:C886" si="599">SUM(G881:BD881)</f>
        <v>0</v>
      </c>
      <c r="D881" s="11" t="str">
        <f t="shared" si="578"/>
        <v>South Africa gold profit tax</v>
      </c>
      <c r="E881" s="18" t="s">
        <v>289</v>
      </c>
      <c r="G881" s="21">
        <f t="shared" ref="G881:AL881" si="600">G858/G$816</f>
        <v>0</v>
      </c>
      <c r="H881" s="21">
        <f t="shared" si="600"/>
        <v>0</v>
      </c>
      <c r="I881" s="21">
        <f t="shared" si="600"/>
        <v>0</v>
      </c>
      <c r="J881" s="21">
        <f t="shared" si="600"/>
        <v>0</v>
      </c>
      <c r="K881" s="21">
        <f t="shared" si="600"/>
        <v>0</v>
      </c>
      <c r="L881" s="21">
        <f t="shared" si="600"/>
        <v>0</v>
      </c>
      <c r="M881" s="21">
        <f t="shared" si="600"/>
        <v>0</v>
      </c>
      <c r="N881" s="21">
        <f t="shared" si="600"/>
        <v>0</v>
      </c>
      <c r="O881" s="21">
        <f t="shared" si="600"/>
        <v>0</v>
      </c>
      <c r="P881" s="21">
        <f t="shared" si="600"/>
        <v>0</v>
      </c>
      <c r="Q881" s="21">
        <f t="shared" si="600"/>
        <v>0</v>
      </c>
      <c r="R881" s="21">
        <f t="shared" si="600"/>
        <v>0</v>
      </c>
      <c r="S881" s="21">
        <f t="shared" si="600"/>
        <v>0</v>
      </c>
      <c r="T881" s="21">
        <f t="shared" si="600"/>
        <v>0</v>
      </c>
      <c r="U881" s="21">
        <f t="shared" si="600"/>
        <v>0</v>
      </c>
      <c r="V881" s="21">
        <f t="shared" si="600"/>
        <v>0</v>
      </c>
      <c r="W881" s="21">
        <f t="shared" si="600"/>
        <v>0</v>
      </c>
      <c r="X881" s="21">
        <f t="shared" si="600"/>
        <v>0</v>
      </c>
      <c r="Y881" s="21">
        <f t="shared" si="600"/>
        <v>0</v>
      </c>
      <c r="Z881" s="21">
        <f t="shared" si="600"/>
        <v>0</v>
      </c>
      <c r="AA881" s="21">
        <f t="shared" si="600"/>
        <v>0</v>
      </c>
      <c r="AB881" s="21">
        <f t="shared" si="600"/>
        <v>0</v>
      </c>
      <c r="AC881" s="21">
        <f t="shared" si="600"/>
        <v>0</v>
      </c>
      <c r="AD881" s="21">
        <f t="shared" si="600"/>
        <v>0</v>
      </c>
      <c r="AE881" s="21">
        <f t="shared" si="600"/>
        <v>0</v>
      </c>
      <c r="AF881" s="21">
        <f t="shared" si="600"/>
        <v>0</v>
      </c>
      <c r="AG881" s="21">
        <f t="shared" si="600"/>
        <v>0</v>
      </c>
      <c r="AH881" s="21">
        <f t="shared" si="600"/>
        <v>0</v>
      </c>
      <c r="AI881" s="21">
        <f t="shared" si="600"/>
        <v>0</v>
      </c>
      <c r="AJ881" s="21">
        <f t="shared" si="600"/>
        <v>0</v>
      </c>
      <c r="AK881" s="21">
        <f t="shared" si="600"/>
        <v>0</v>
      </c>
      <c r="AL881" s="21">
        <f t="shared" si="600"/>
        <v>0</v>
      </c>
      <c r="AM881" s="21">
        <f t="shared" ref="AM881:BD881" si="601">AM858/AM$816</f>
        <v>0</v>
      </c>
      <c r="AN881" s="21">
        <f t="shared" si="601"/>
        <v>0</v>
      </c>
      <c r="AO881" s="21">
        <f t="shared" si="601"/>
        <v>0</v>
      </c>
      <c r="AP881" s="21">
        <f t="shared" si="601"/>
        <v>0</v>
      </c>
      <c r="AQ881" s="21">
        <f t="shared" si="601"/>
        <v>0</v>
      </c>
      <c r="AR881" s="21">
        <f t="shared" si="601"/>
        <v>0</v>
      </c>
      <c r="AS881" s="21">
        <f t="shared" si="601"/>
        <v>0</v>
      </c>
      <c r="AT881" s="21">
        <f t="shared" si="601"/>
        <v>0</v>
      </c>
      <c r="AU881" s="21">
        <f t="shared" si="601"/>
        <v>0</v>
      </c>
      <c r="AV881" s="21">
        <f t="shared" si="601"/>
        <v>0</v>
      </c>
      <c r="AW881" s="21">
        <f t="shared" si="601"/>
        <v>0</v>
      </c>
      <c r="AX881" s="21">
        <f t="shared" si="601"/>
        <v>0</v>
      </c>
      <c r="AY881" s="21">
        <f t="shared" si="601"/>
        <v>0</v>
      </c>
      <c r="AZ881" s="21">
        <f t="shared" si="601"/>
        <v>0</v>
      </c>
      <c r="BA881" s="21">
        <f t="shared" si="601"/>
        <v>0</v>
      </c>
      <c r="BB881" s="21">
        <f t="shared" si="601"/>
        <v>0</v>
      </c>
      <c r="BC881" s="21">
        <f t="shared" si="601"/>
        <v>0</v>
      </c>
      <c r="BD881" s="21">
        <f t="shared" si="601"/>
        <v>0</v>
      </c>
    </row>
    <row r="882" spans="3:56" ht="15" customHeight="1">
      <c r="C882" s="21">
        <f t="shared" si="599"/>
        <v>0</v>
      </c>
      <c r="D882" s="11" t="str">
        <f t="shared" si="578"/>
        <v>Zimbabwe additional profits tax</v>
      </c>
      <c r="E882" s="18" t="s">
        <v>289</v>
      </c>
      <c r="G882" s="21">
        <f t="shared" ref="G882:AL882" si="602">G859/G$816</f>
        <v>0</v>
      </c>
      <c r="H882" s="21">
        <f t="shared" si="602"/>
        <v>0</v>
      </c>
      <c r="I882" s="21">
        <f t="shared" si="602"/>
        <v>0</v>
      </c>
      <c r="J882" s="21">
        <f t="shared" si="602"/>
        <v>0</v>
      </c>
      <c r="K882" s="21">
        <f t="shared" si="602"/>
        <v>0</v>
      </c>
      <c r="L882" s="21">
        <f t="shared" si="602"/>
        <v>0</v>
      </c>
      <c r="M882" s="21">
        <f t="shared" si="602"/>
        <v>0</v>
      </c>
      <c r="N882" s="21">
        <f t="shared" si="602"/>
        <v>0</v>
      </c>
      <c r="O882" s="21">
        <f t="shared" si="602"/>
        <v>0</v>
      </c>
      <c r="P882" s="21">
        <f t="shared" si="602"/>
        <v>0</v>
      </c>
      <c r="Q882" s="21">
        <f t="shared" si="602"/>
        <v>0</v>
      </c>
      <c r="R882" s="21">
        <f t="shared" si="602"/>
        <v>0</v>
      </c>
      <c r="S882" s="21">
        <f t="shared" si="602"/>
        <v>0</v>
      </c>
      <c r="T882" s="21">
        <f t="shared" si="602"/>
        <v>0</v>
      </c>
      <c r="U882" s="21">
        <f t="shared" si="602"/>
        <v>0</v>
      </c>
      <c r="V882" s="21">
        <f t="shared" si="602"/>
        <v>0</v>
      </c>
      <c r="W882" s="21">
        <f t="shared" si="602"/>
        <v>0</v>
      </c>
      <c r="X882" s="21">
        <f t="shared" si="602"/>
        <v>0</v>
      </c>
      <c r="Y882" s="21">
        <f t="shared" si="602"/>
        <v>0</v>
      </c>
      <c r="Z882" s="21">
        <f t="shared" si="602"/>
        <v>0</v>
      </c>
      <c r="AA882" s="21">
        <f t="shared" si="602"/>
        <v>0</v>
      </c>
      <c r="AB882" s="21">
        <f t="shared" si="602"/>
        <v>0</v>
      </c>
      <c r="AC882" s="21">
        <f t="shared" si="602"/>
        <v>0</v>
      </c>
      <c r="AD882" s="21">
        <f t="shared" si="602"/>
        <v>0</v>
      </c>
      <c r="AE882" s="21">
        <f t="shared" si="602"/>
        <v>0</v>
      </c>
      <c r="AF882" s="21">
        <f t="shared" si="602"/>
        <v>0</v>
      </c>
      <c r="AG882" s="21">
        <f t="shared" si="602"/>
        <v>0</v>
      </c>
      <c r="AH882" s="21">
        <f t="shared" si="602"/>
        <v>0</v>
      </c>
      <c r="AI882" s="21">
        <f t="shared" si="602"/>
        <v>0</v>
      </c>
      <c r="AJ882" s="21">
        <f t="shared" si="602"/>
        <v>0</v>
      </c>
      <c r="AK882" s="21">
        <f t="shared" si="602"/>
        <v>0</v>
      </c>
      <c r="AL882" s="21">
        <f t="shared" si="602"/>
        <v>0</v>
      </c>
      <c r="AM882" s="21">
        <f t="shared" ref="AM882:BD882" si="603">AM859/AM$816</f>
        <v>0</v>
      </c>
      <c r="AN882" s="21">
        <f t="shared" si="603"/>
        <v>0</v>
      </c>
      <c r="AO882" s="21">
        <f t="shared" si="603"/>
        <v>0</v>
      </c>
      <c r="AP882" s="21">
        <f t="shared" si="603"/>
        <v>0</v>
      </c>
      <c r="AQ882" s="21">
        <f t="shared" si="603"/>
        <v>0</v>
      </c>
      <c r="AR882" s="21">
        <f t="shared" si="603"/>
        <v>0</v>
      </c>
      <c r="AS882" s="21">
        <f t="shared" si="603"/>
        <v>0</v>
      </c>
      <c r="AT882" s="21">
        <f t="shared" si="603"/>
        <v>0</v>
      </c>
      <c r="AU882" s="21">
        <f t="shared" si="603"/>
        <v>0</v>
      </c>
      <c r="AV882" s="21">
        <f t="shared" si="603"/>
        <v>0</v>
      </c>
      <c r="AW882" s="21">
        <f t="shared" si="603"/>
        <v>0</v>
      </c>
      <c r="AX882" s="21">
        <f t="shared" si="603"/>
        <v>0</v>
      </c>
      <c r="AY882" s="21">
        <f t="shared" si="603"/>
        <v>0</v>
      </c>
      <c r="AZ882" s="21">
        <f t="shared" si="603"/>
        <v>0</v>
      </c>
      <c r="BA882" s="21">
        <f t="shared" si="603"/>
        <v>0</v>
      </c>
      <c r="BB882" s="21">
        <f t="shared" si="603"/>
        <v>0</v>
      </c>
      <c r="BC882" s="21">
        <f t="shared" si="603"/>
        <v>0</v>
      </c>
      <c r="BD882" s="21">
        <f t="shared" si="603"/>
        <v>0</v>
      </c>
    </row>
    <row r="883" spans="3:56" ht="15" customHeight="1">
      <c r="C883" s="21">
        <f t="shared" ref="C883" si="604">SUM(G883:BD883)</f>
        <v>0</v>
      </c>
      <c r="D883" s="11" t="str">
        <f t="shared" si="578"/>
        <v>Govt share of repaid loans</v>
      </c>
      <c r="E883" s="18" t="s">
        <v>289</v>
      </c>
      <c r="G883" s="21">
        <f t="shared" ref="G883:AL883" si="605">G860/G$816</f>
        <v>0</v>
      </c>
      <c r="H883" s="21">
        <f t="shared" si="605"/>
        <v>0</v>
      </c>
      <c r="I883" s="21">
        <f t="shared" si="605"/>
        <v>0</v>
      </c>
      <c r="J883" s="21">
        <f t="shared" si="605"/>
        <v>0</v>
      </c>
      <c r="K883" s="21">
        <f t="shared" si="605"/>
        <v>0</v>
      </c>
      <c r="L883" s="21">
        <f t="shared" si="605"/>
        <v>0</v>
      </c>
      <c r="M883" s="21">
        <f t="shared" si="605"/>
        <v>0</v>
      </c>
      <c r="N883" s="21">
        <f t="shared" si="605"/>
        <v>0</v>
      </c>
      <c r="O883" s="21">
        <f t="shared" si="605"/>
        <v>0</v>
      </c>
      <c r="P883" s="21">
        <f t="shared" si="605"/>
        <v>0</v>
      </c>
      <c r="Q883" s="21">
        <f t="shared" si="605"/>
        <v>0</v>
      </c>
      <c r="R883" s="21">
        <f t="shared" si="605"/>
        <v>0</v>
      </c>
      <c r="S883" s="21">
        <f t="shared" si="605"/>
        <v>0</v>
      </c>
      <c r="T883" s="21">
        <f t="shared" si="605"/>
        <v>0</v>
      </c>
      <c r="U883" s="21">
        <f t="shared" si="605"/>
        <v>0</v>
      </c>
      <c r="V883" s="21">
        <f t="shared" si="605"/>
        <v>0</v>
      </c>
      <c r="W883" s="21">
        <f t="shared" si="605"/>
        <v>0</v>
      </c>
      <c r="X883" s="21">
        <f t="shared" si="605"/>
        <v>0</v>
      </c>
      <c r="Y883" s="21">
        <f t="shared" si="605"/>
        <v>0</v>
      </c>
      <c r="Z883" s="21">
        <f t="shared" si="605"/>
        <v>0</v>
      </c>
      <c r="AA883" s="21">
        <f t="shared" si="605"/>
        <v>0</v>
      </c>
      <c r="AB883" s="21">
        <f t="shared" si="605"/>
        <v>0</v>
      </c>
      <c r="AC883" s="21">
        <f t="shared" si="605"/>
        <v>0</v>
      </c>
      <c r="AD883" s="21">
        <f t="shared" si="605"/>
        <v>0</v>
      </c>
      <c r="AE883" s="21">
        <f t="shared" si="605"/>
        <v>0</v>
      </c>
      <c r="AF883" s="21">
        <f t="shared" si="605"/>
        <v>0</v>
      </c>
      <c r="AG883" s="21">
        <f t="shared" si="605"/>
        <v>0</v>
      </c>
      <c r="AH883" s="21">
        <f t="shared" si="605"/>
        <v>0</v>
      </c>
      <c r="AI883" s="21">
        <f t="shared" si="605"/>
        <v>0</v>
      </c>
      <c r="AJ883" s="21">
        <f t="shared" si="605"/>
        <v>0</v>
      </c>
      <c r="AK883" s="21">
        <f t="shared" si="605"/>
        <v>0</v>
      </c>
      <c r="AL883" s="21">
        <f t="shared" si="605"/>
        <v>0</v>
      </c>
      <c r="AM883" s="21">
        <f t="shared" ref="AM883:BD883" si="606">AM860/AM$816</f>
        <v>0</v>
      </c>
      <c r="AN883" s="21">
        <f t="shared" si="606"/>
        <v>0</v>
      </c>
      <c r="AO883" s="21">
        <f t="shared" si="606"/>
        <v>0</v>
      </c>
      <c r="AP883" s="21">
        <f t="shared" si="606"/>
        <v>0</v>
      </c>
      <c r="AQ883" s="21">
        <f t="shared" si="606"/>
        <v>0</v>
      </c>
      <c r="AR883" s="21">
        <f t="shared" si="606"/>
        <v>0</v>
      </c>
      <c r="AS883" s="21">
        <f t="shared" si="606"/>
        <v>0</v>
      </c>
      <c r="AT883" s="21">
        <f t="shared" si="606"/>
        <v>0</v>
      </c>
      <c r="AU883" s="21">
        <f t="shared" si="606"/>
        <v>0</v>
      </c>
      <c r="AV883" s="21">
        <f t="shared" si="606"/>
        <v>0</v>
      </c>
      <c r="AW883" s="21">
        <f t="shared" si="606"/>
        <v>0</v>
      </c>
      <c r="AX883" s="21">
        <f t="shared" si="606"/>
        <v>0</v>
      </c>
      <c r="AY883" s="21">
        <f t="shared" si="606"/>
        <v>0</v>
      </c>
      <c r="AZ883" s="21">
        <f t="shared" si="606"/>
        <v>0</v>
      </c>
      <c r="BA883" s="21">
        <f t="shared" si="606"/>
        <v>0</v>
      </c>
      <c r="BB883" s="21">
        <f t="shared" si="606"/>
        <v>0</v>
      </c>
      <c r="BC883" s="21">
        <f t="shared" si="606"/>
        <v>0</v>
      </c>
      <c r="BD883" s="21">
        <f t="shared" si="606"/>
        <v>0</v>
      </c>
    </row>
    <row r="884" spans="3:56" ht="15" customHeight="1">
      <c r="C884" s="21">
        <f t="shared" si="599"/>
        <v>517.43884309972077</v>
      </c>
      <c r="D884" s="11" t="str">
        <f t="shared" si="578"/>
        <v>State dividends</v>
      </c>
      <c r="E884" s="18" t="s">
        <v>289</v>
      </c>
      <c r="G884" s="21">
        <f t="shared" ref="G884:AL884" si="607">G861/G$816</f>
        <v>0</v>
      </c>
      <c r="H884" s="21">
        <f t="shared" si="607"/>
        <v>0</v>
      </c>
      <c r="I884" s="21">
        <f t="shared" si="607"/>
        <v>0</v>
      </c>
      <c r="J884" s="21">
        <f t="shared" si="607"/>
        <v>0</v>
      </c>
      <c r="K884" s="21">
        <f t="shared" si="607"/>
        <v>0</v>
      </c>
      <c r="L884" s="21">
        <f t="shared" si="607"/>
        <v>0</v>
      </c>
      <c r="M884" s="21">
        <f t="shared" si="607"/>
        <v>4.4556994639287035</v>
      </c>
      <c r="N884" s="21">
        <f t="shared" si="607"/>
        <v>21.933442852571041</v>
      </c>
      <c r="O884" s="21">
        <f t="shared" si="607"/>
        <v>22.664430373658821</v>
      </c>
      <c r="P884" s="21">
        <f t="shared" si="607"/>
        <v>25.144647820290935</v>
      </c>
      <c r="Q884" s="21">
        <f t="shared" si="607"/>
        <v>25.144647820290942</v>
      </c>
      <c r="R884" s="21">
        <f t="shared" si="607"/>
        <v>25.144647820290928</v>
      </c>
      <c r="S884" s="21">
        <f t="shared" si="607"/>
        <v>25.144647820290938</v>
      </c>
      <c r="T884" s="21">
        <f t="shared" si="607"/>
        <v>25.144647820290935</v>
      </c>
      <c r="U884" s="21">
        <f t="shared" si="607"/>
        <v>25.144647820290931</v>
      </c>
      <c r="V884" s="21">
        <f t="shared" si="607"/>
        <v>25.144647820290931</v>
      </c>
      <c r="W884" s="21">
        <f t="shared" si="607"/>
        <v>25.144647820290935</v>
      </c>
      <c r="X884" s="21">
        <f t="shared" si="607"/>
        <v>25.144647820290942</v>
      </c>
      <c r="Y884" s="21">
        <f t="shared" si="607"/>
        <v>24.966466002109126</v>
      </c>
      <c r="Z884" s="21">
        <f t="shared" si="607"/>
        <v>24.966051488075454</v>
      </c>
      <c r="AA884" s="21">
        <f t="shared" si="607"/>
        <v>24.965118987802153</v>
      </c>
      <c r="AB884" s="21">
        <f t="shared" si="607"/>
        <v>24.963514977981678</v>
      </c>
      <c r="AC884" s="21">
        <f t="shared" si="607"/>
        <v>24.960998490885583</v>
      </c>
      <c r="AD884" s="21">
        <f t="shared" si="607"/>
        <v>24.682761127958038</v>
      </c>
      <c r="AE884" s="21">
        <f t="shared" si="607"/>
        <v>24.676829494474362</v>
      </c>
      <c r="AF884" s="21">
        <f t="shared" si="607"/>
        <v>24.667057996826014</v>
      </c>
      <c r="AG884" s="21">
        <f t="shared" si="607"/>
        <v>27.739983287482197</v>
      </c>
      <c r="AH884" s="21">
        <f t="shared" si="607"/>
        <v>15.494658173349142</v>
      </c>
      <c r="AI884" s="21">
        <f t="shared" si="607"/>
        <v>0</v>
      </c>
      <c r="AJ884" s="21">
        <f t="shared" si="607"/>
        <v>0</v>
      </c>
      <c r="AK884" s="21">
        <f t="shared" si="607"/>
        <v>0</v>
      </c>
      <c r="AL884" s="21">
        <f t="shared" si="607"/>
        <v>0</v>
      </c>
      <c r="AM884" s="21">
        <f t="shared" ref="AM884:BD884" si="608">AM861/AM$816</f>
        <v>0</v>
      </c>
      <c r="AN884" s="21">
        <f t="shared" si="608"/>
        <v>0</v>
      </c>
      <c r="AO884" s="21">
        <f t="shared" si="608"/>
        <v>0</v>
      </c>
      <c r="AP884" s="21">
        <f t="shared" si="608"/>
        <v>0</v>
      </c>
      <c r="AQ884" s="21">
        <f t="shared" si="608"/>
        <v>0</v>
      </c>
      <c r="AR884" s="21">
        <f t="shared" si="608"/>
        <v>0</v>
      </c>
      <c r="AS884" s="21">
        <f t="shared" si="608"/>
        <v>0</v>
      </c>
      <c r="AT884" s="21">
        <f t="shared" si="608"/>
        <v>0</v>
      </c>
      <c r="AU884" s="21">
        <f t="shared" si="608"/>
        <v>0</v>
      </c>
      <c r="AV884" s="21">
        <f t="shared" si="608"/>
        <v>0</v>
      </c>
      <c r="AW884" s="21">
        <f t="shared" si="608"/>
        <v>0</v>
      </c>
      <c r="AX884" s="21">
        <f t="shared" si="608"/>
        <v>0</v>
      </c>
      <c r="AY884" s="21">
        <f t="shared" si="608"/>
        <v>0</v>
      </c>
      <c r="AZ884" s="21">
        <f t="shared" si="608"/>
        <v>0</v>
      </c>
      <c r="BA884" s="21">
        <f t="shared" si="608"/>
        <v>0</v>
      </c>
      <c r="BB884" s="21">
        <f t="shared" si="608"/>
        <v>0</v>
      </c>
      <c r="BC884" s="21">
        <f t="shared" si="608"/>
        <v>0</v>
      </c>
      <c r="BD884" s="21">
        <f t="shared" si="608"/>
        <v>0</v>
      </c>
    </row>
    <row r="885" spans="3:56" ht="15" customHeight="1">
      <c r="C885" s="21">
        <f t="shared" si="599"/>
        <v>271.65539262735336</v>
      </c>
      <c r="D885" s="11" t="str">
        <f t="shared" si="578"/>
        <v>Dividend withholding tax</v>
      </c>
      <c r="E885" s="18" t="s">
        <v>289</v>
      </c>
      <c r="G885" s="21">
        <f t="shared" ref="G885:AL885" si="609">G862/G$816</f>
        <v>0</v>
      </c>
      <c r="H885" s="21">
        <f t="shared" si="609"/>
        <v>0</v>
      </c>
      <c r="I885" s="21">
        <f t="shared" si="609"/>
        <v>0</v>
      </c>
      <c r="J885" s="21">
        <f t="shared" si="609"/>
        <v>0</v>
      </c>
      <c r="K885" s="21">
        <f t="shared" si="609"/>
        <v>0</v>
      </c>
      <c r="L885" s="21">
        <f t="shared" si="609"/>
        <v>0</v>
      </c>
      <c r="M885" s="21">
        <f t="shared" si="609"/>
        <v>2.3392422185625694</v>
      </c>
      <c r="N885" s="21">
        <f t="shared" si="609"/>
        <v>11.515057497599797</v>
      </c>
      <c r="O885" s="21">
        <f t="shared" si="609"/>
        <v>11.898825946170883</v>
      </c>
      <c r="P885" s="21">
        <f t="shared" si="609"/>
        <v>13.200940105652743</v>
      </c>
      <c r="Q885" s="21">
        <f t="shared" si="609"/>
        <v>13.200940105652744</v>
      </c>
      <c r="R885" s="21">
        <f t="shared" si="609"/>
        <v>13.200940105652734</v>
      </c>
      <c r="S885" s="21">
        <f t="shared" si="609"/>
        <v>13.200940105652741</v>
      </c>
      <c r="T885" s="21">
        <f t="shared" si="609"/>
        <v>13.200940105652741</v>
      </c>
      <c r="U885" s="21">
        <f t="shared" si="609"/>
        <v>13.200940105652741</v>
      </c>
      <c r="V885" s="21">
        <f t="shared" si="609"/>
        <v>13.200940105652737</v>
      </c>
      <c r="W885" s="21">
        <f t="shared" si="609"/>
        <v>13.200940105652743</v>
      </c>
      <c r="X885" s="21">
        <f t="shared" si="609"/>
        <v>13.200940105652744</v>
      </c>
      <c r="Y885" s="21">
        <f t="shared" si="609"/>
        <v>13.10739465110729</v>
      </c>
      <c r="Z885" s="21">
        <f t="shared" si="609"/>
        <v>13.107177031239615</v>
      </c>
      <c r="AA885" s="21">
        <f t="shared" si="609"/>
        <v>13.106687468596132</v>
      </c>
      <c r="AB885" s="21">
        <f t="shared" si="609"/>
        <v>13.105845363440379</v>
      </c>
      <c r="AC885" s="21">
        <f t="shared" si="609"/>
        <v>13.104524207714931</v>
      </c>
      <c r="AD885" s="21">
        <f t="shared" si="609"/>
        <v>12.958449592177971</v>
      </c>
      <c r="AE885" s="21">
        <f t="shared" si="609"/>
        <v>12.95533548459904</v>
      </c>
      <c r="AF885" s="21">
        <f t="shared" si="609"/>
        <v>12.950205448333659</v>
      </c>
      <c r="AG885" s="21">
        <f t="shared" si="609"/>
        <v>14.563491225928157</v>
      </c>
      <c r="AH885" s="21">
        <f t="shared" si="609"/>
        <v>8.1346955410083002</v>
      </c>
      <c r="AI885" s="21">
        <f t="shared" si="609"/>
        <v>0</v>
      </c>
      <c r="AJ885" s="21">
        <f t="shared" si="609"/>
        <v>0</v>
      </c>
      <c r="AK885" s="21">
        <f t="shared" si="609"/>
        <v>0</v>
      </c>
      <c r="AL885" s="21">
        <f t="shared" si="609"/>
        <v>0</v>
      </c>
      <c r="AM885" s="21">
        <f t="shared" ref="AM885:BD885" si="610">AM862/AM$816</f>
        <v>0</v>
      </c>
      <c r="AN885" s="21">
        <f t="shared" si="610"/>
        <v>0</v>
      </c>
      <c r="AO885" s="21">
        <f t="shared" si="610"/>
        <v>0</v>
      </c>
      <c r="AP885" s="21">
        <f t="shared" si="610"/>
        <v>0</v>
      </c>
      <c r="AQ885" s="21">
        <f t="shared" si="610"/>
        <v>0</v>
      </c>
      <c r="AR885" s="21">
        <f t="shared" si="610"/>
        <v>0</v>
      </c>
      <c r="AS885" s="21">
        <f t="shared" si="610"/>
        <v>0</v>
      </c>
      <c r="AT885" s="21">
        <f t="shared" si="610"/>
        <v>0</v>
      </c>
      <c r="AU885" s="21">
        <f t="shared" si="610"/>
        <v>0</v>
      </c>
      <c r="AV885" s="21">
        <f t="shared" si="610"/>
        <v>0</v>
      </c>
      <c r="AW885" s="21">
        <f t="shared" si="610"/>
        <v>0</v>
      </c>
      <c r="AX885" s="21">
        <f t="shared" si="610"/>
        <v>0</v>
      </c>
      <c r="AY885" s="21">
        <f t="shared" si="610"/>
        <v>0</v>
      </c>
      <c r="AZ885" s="21">
        <f t="shared" si="610"/>
        <v>0</v>
      </c>
      <c r="BA885" s="21">
        <f t="shared" si="610"/>
        <v>0</v>
      </c>
      <c r="BB885" s="21">
        <f t="shared" si="610"/>
        <v>0</v>
      </c>
      <c r="BC885" s="21">
        <f t="shared" si="610"/>
        <v>0</v>
      </c>
      <c r="BD885" s="21">
        <f t="shared" si="610"/>
        <v>0</v>
      </c>
    </row>
    <row r="886" spans="3:56" ht="15" customHeight="1">
      <c r="C886" s="21">
        <f t="shared" si="599"/>
        <v>4.5226202751853943</v>
      </c>
      <c r="D886" s="11" t="str">
        <f t="shared" si="578"/>
        <v>Interest withholding tax</v>
      </c>
      <c r="E886" s="18" t="s">
        <v>289</v>
      </c>
      <c r="G886" s="21">
        <f t="shared" ref="G886:AL886" si="611">G863/G$816</f>
        <v>0</v>
      </c>
      <c r="H886" s="21">
        <f t="shared" si="611"/>
        <v>0</v>
      </c>
      <c r="I886" s="21">
        <f t="shared" si="611"/>
        <v>0</v>
      </c>
      <c r="J886" s="21">
        <f t="shared" si="611"/>
        <v>0</v>
      </c>
      <c r="K886" s="21">
        <f t="shared" si="611"/>
        <v>1.5474048442906576</v>
      </c>
      <c r="L886" s="21">
        <f t="shared" si="611"/>
        <v>1.2136508582671823</v>
      </c>
      <c r="M886" s="21">
        <f t="shared" si="611"/>
        <v>0.89239033696116365</v>
      </c>
      <c r="N886" s="21">
        <f t="shared" si="611"/>
        <v>0.58326165814455144</v>
      </c>
      <c r="O886" s="21">
        <f t="shared" si="611"/>
        <v>0.28591257752183896</v>
      </c>
      <c r="P886" s="21">
        <f t="shared" si="611"/>
        <v>0</v>
      </c>
      <c r="Q886" s="21">
        <f t="shared" si="611"/>
        <v>0</v>
      </c>
      <c r="R886" s="21">
        <f t="shared" si="611"/>
        <v>0</v>
      </c>
      <c r="S886" s="21">
        <f t="shared" si="611"/>
        <v>0</v>
      </c>
      <c r="T886" s="21">
        <f t="shared" si="611"/>
        <v>0</v>
      </c>
      <c r="U886" s="21">
        <f t="shared" si="611"/>
        <v>0</v>
      </c>
      <c r="V886" s="21">
        <f t="shared" si="611"/>
        <v>0</v>
      </c>
      <c r="W886" s="21">
        <f t="shared" si="611"/>
        <v>0</v>
      </c>
      <c r="X886" s="21">
        <f t="shared" si="611"/>
        <v>0</v>
      </c>
      <c r="Y886" s="21">
        <f t="shared" si="611"/>
        <v>0</v>
      </c>
      <c r="Z886" s="21">
        <f t="shared" si="611"/>
        <v>0</v>
      </c>
      <c r="AA886" s="21">
        <f t="shared" si="611"/>
        <v>0</v>
      </c>
      <c r="AB886" s="21">
        <f t="shared" si="611"/>
        <v>0</v>
      </c>
      <c r="AC886" s="21">
        <f t="shared" si="611"/>
        <v>0</v>
      </c>
      <c r="AD886" s="21">
        <f t="shared" si="611"/>
        <v>0</v>
      </c>
      <c r="AE886" s="21">
        <f t="shared" si="611"/>
        <v>0</v>
      </c>
      <c r="AF886" s="21">
        <f t="shared" si="611"/>
        <v>0</v>
      </c>
      <c r="AG886" s="21">
        <f t="shared" si="611"/>
        <v>0</v>
      </c>
      <c r="AH886" s="21">
        <f t="shared" si="611"/>
        <v>0</v>
      </c>
      <c r="AI886" s="21">
        <f t="shared" si="611"/>
        <v>0</v>
      </c>
      <c r="AJ886" s="21">
        <f t="shared" si="611"/>
        <v>0</v>
      </c>
      <c r="AK886" s="21">
        <f t="shared" si="611"/>
        <v>0</v>
      </c>
      <c r="AL886" s="21">
        <f t="shared" si="611"/>
        <v>0</v>
      </c>
      <c r="AM886" s="21">
        <f t="shared" ref="AM886:BD886" si="612">AM863/AM$816</f>
        <v>0</v>
      </c>
      <c r="AN886" s="21">
        <f t="shared" si="612"/>
        <v>0</v>
      </c>
      <c r="AO886" s="21">
        <f t="shared" si="612"/>
        <v>0</v>
      </c>
      <c r="AP886" s="21">
        <f t="shared" si="612"/>
        <v>0</v>
      </c>
      <c r="AQ886" s="21">
        <f t="shared" si="612"/>
        <v>0</v>
      </c>
      <c r="AR886" s="21">
        <f t="shared" si="612"/>
        <v>0</v>
      </c>
      <c r="AS886" s="21">
        <f t="shared" si="612"/>
        <v>0</v>
      </c>
      <c r="AT886" s="21">
        <f t="shared" si="612"/>
        <v>0</v>
      </c>
      <c r="AU886" s="21">
        <f t="shared" si="612"/>
        <v>0</v>
      </c>
      <c r="AV886" s="21">
        <f t="shared" si="612"/>
        <v>0</v>
      </c>
      <c r="AW886" s="21">
        <f t="shared" si="612"/>
        <v>0</v>
      </c>
      <c r="AX886" s="21">
        <f t="shared" si="612"/>
        <v>0</v>
      </c>
      <c r="AY886" s="21">
        <f t="shared" si="612"/>
        <v>0</v>
      </c>
      <c r="AZ886" s="21">
        <f t="shared" si="612"/>
        <v>0</v>
      </c>
      <c r="BA886" s="21">
        <f t="shared" si="612"/>
        <v>0</v>
      </c>
      <c r="BB886" s="21">
        <f t="shared" si="612"/>
        <v>0</v>
      </c>
      <c r="BC886" s="21">
        <f t="shared" si="612"/>
        <v>0</v>
      </c>
      <c r="BD886" s="21">
        <f t="shared" si="612"/>
        <v>0</v>
      </c>
    </row>
    <row r="887" spans="3:56" ht="15" customHeight="1">
      <c r="C887" s="21">
        <f>SUM(G887:BD887)</f>
        <v>0</v>
      </c>
      <c r="D887" s="11" t="str">
        <f t="shared" si="578"/>
        <v>Adjustment to govt benefit share</v>
      </c>
      <c r="E887" s="18" t="s">
        <v>289</v>
      </c>
      <c r="G887" s="21">
        <f t="shared" ref="G887:AL887" si="613">G864/G$816</f>
        <v>0</v>
      </c>
      <c r="H887" s="21">
        <f t="shared" si="613"/>
        <v>0</v>
      </c>
      <c r="I887" s="21">
        <f t="shared" si="613"/>
        <v>0</v>
      </c>
      <c r="J887" s="21">
        <f t="shared" si="613"/>
        <v>0</v>
      </c>
      <c r="K887" s="21">
        <f t="shared" si="613"/>
        <v>0</v>
      </c>
      <c r="L887" s="21">
        <f t="shared" si="613"/>
        <v>0</v>
      </c>
      <c r="M887" s="21">
        <f t="shared" si="613"/>
        <v>0</v>
      </c>
      <c r="N887" s="21">
        <f t="shared" si="613"/>
        <v>0</v>
      </c>
      <c r="O887" s="21">
        <f t="shared" si="613"/>
        <v>0</v>
      </c>
      <c r="P887" s="21">
        <f t="shared" si="613"/>
        <v>0</v>
      </c>
      <c r="Q887" s="21">
        <f t="shared" si="613"/>
        <v>0</v>
      </c>
      <c r="R887" s="21">
        <f t="shared" si="613"/>
        <v>0</v>
      </c>
      <c r="S887" s="21">
        <f t="shared" si="613"/>
        <v>0</v>
      </c>
      <c r="T887" s="21">
        <f t="shared" si="613"/>
        <v>0</v>
      </c>
      <c r="U887" s="21">
        <f t="shared" si="613"/>
        <v>0</v>
      </c>
      <c r="V887" s="21">
        <f t="shared" si="613"/>
        <v>0</v>
      </c>
      <c r="W887" s="21">
        <f t="shared" si="613"/>
        <v>0</v>
      </c>
      <c r="X887" s="21">
        <f t="shared" si="613"/>
        <v>0</v>
      </c>
      <c r="Y887" s="21">
        <f t="shared" si="613"/>
        <v>0</v>
      </c>
      <c r="Z887" s="21">
        <f t="shared" si="613"/>
        <v>0</v>
      </c>
      <c r="AA887" s="21">
        <f t="shared" si="613"/>
        <v>0</v>
      </c>
      <c r="AB887" s="21">
        <f t="shared" si="613"/>
        <v>0</v>
      </c>
      <c r="AC887" s="21">
        <f t="shared" si="613"/>
        <v>0</v>
      </c>
      <c r="AD887" s="21">
        <f t="shared" si="613"/>
        <v>0</v>
      </c>
      <c r="AE887" s="21">
        <f t="shared" si="613"/>
        <v>0</v>
      </c>
      <c r="AF887" s="21">
        <f t="shared" si="613"/>
        <v>0</v>
      </c>
      <c r="AG887" s="21">
        <f t="shared" si="613"/>
        <v>0</v>
      </c>
      <c r="AH887" s="21">
        <f t="shared" si="613"/>
        <v>0</v>
      </c>
      <c r="AI887" s="21">
        <f t="shared" si="613"/>
        <v>0</v>
      </c>
      <c r="AJ887" s="21">
        <f t="shared" si="613"/>
        <v>0</v>
      </c>
      <c r="AK887" s="21">
        <f t="shared" si="613"/>
        <v>0</v>
      </c>
      <c r="AL887" s="21">
        <f t="shared" si="613"/>
        <v>0</v>
      </c>
      <c r="AM887" s="21">
        <f t="shared" ref="AM887:BD887" si="614">AM864/AM$816</f>
        <v>0</v>
      </c>
      <c r="AN887" s="21">
        <f t="shared" si="614"/>
        <v>0</v>
      </c>
      <c r="AO887" s="21">
        <f t="shared" si="614"/>
        <v>0</v>
      </c>
      <c r="AP887" s="21">
        <f t="shared" si="614"/>
        <v>0</v>
      </c>
      <c r="AQ887" s="21">
        <f t="shared" si="614"/>
        <v>0</v>
      </c>
      <c r="AR887" s="21">
        <f t="shared" si="614"/>
        <v>0</v>
      </c>
      <c r="AS887" s="21">
        <f t="shared" si="614"/>
        <v>0</v>
      </c>
      <c r="AT887" s="21">
        <f t="shared" si="614"/>
        <v>0</v>
      </c>
      <c r="AU887" s="21">
        <f t="shared" si="614"/>
        <v>0</v>
      </c>
      <c r="AV887" s="21">
        <f t="shared" si="614"/>
        <v>0</v>
      </c>
      <c r="AW887" s="21">
        <f t="shared" si="614"/>
        <v>0</v>
      </c>
      <c r="AX887" s="21">
        <f t="shared" si="614"/>
        <v>0</v>
      </c>
      <c r="AY887" s="21">
        <f t="shared" si="614"/>
        <v>0</v>
      </c>
      <c r="AZ887" s="21">
        <f t="shared" si="614"/>
        <v>0</v>
      </c>
      <c r="BA887" s="21">
        <f t="shared" si="614"/>
        <v>0</v>
      </c>
      <c r="BB887" s="21">
        <f t="shared" si="614"/>
        <v>0</v>
      </c>
      <c r="BC887" s="21">
        <f t="shared" si="614"/>
        <v>0</v>
      </c>
      <c r="BD887" s="21">
        <f t="shared" si="614"/>
        <v>0</v>
      </c>
    </row>
    <row r="888" spans="3:56" ht="15" customHeight="1">
      <c r="C888" s="21"/>
      <c r="D888" s="132"/>
      <c r="E888" s="18"/>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row>
    <row r="889" spans="3:56" ht="15" customHeight="1">
      <c r="C889" s="21">
        <f>SUM(G889:BD889)</f>
        <v>3329.1199356780553</v>
      </c>
      <c r="D889" s="11" t="s">
        <v>692</v>
      </c>
      <c r="E889" s="18" t="s">
        <v>289</v>
      </c>
      <c r="G889" s="21">
        <f>SUM(G870:G887)</f>
        <v>0</v>
      </c>
      <c r="H889" s="21">
        <f t="shared" ref="H889:BD889" si="615">SUM(H870:H887)</f>
        <v>0</v>
      </c>
      <c r="I889" s="21">
        <f t="shared" si="615"/>
        <v>2.8125000000000004</v>
      </c>
      <c r="J889" s="21">
        <f t="shared" si="615"/>
        <v>11.25</v>
      </c>
      <c r="K889" s="21">
        <f t="shared" si="615"/>
        <v>24.624904844290658</v>
      </c>
      <c r="L889" s="21">
        <f t="shared" si="615"/>
        <v>84.819043907882019</v>
      </c>
      <c r="M889" s="21">
        <f t="shared" si="615"/>
        <v>103.14735387756133</v>
      </c>
      <c r="N889" s="21">
        <f t="shared" si="615"/>
        <v>128.61127396426639</v>
      </c>
      <c r="O889" s="21">
        <f t="shared" si="615"/>
        <v>128.54828109653567</v>
      </c>
      <c r="P889" s="21">
        <f t="shared" si="615"/>
        <v>155.14153904912538</v>
      </c>
      <c r="Q889" s="21">
        <f t="shared" si="615"/>
        <v>155.14153904912538</v>
      </c>
      <c r="R889" s="21">
        <f t="shared" si="615"/>
        <v>155.14153904912536</v>
      </c>
      <c r="S889" s="21">
        <f t="shared" si="615"/>
        <v>155.14153904912538</v>
      </c>
      <c r="T889" s="21">
        <f t="shared" si="615"/>
        <v>155.14153904912538</v>
      </c>
      <c r="U889" s="21">
        <f t="shared" si="615"/>
        <v>155.14153904912538</v>
      </c>
      <c r="V889" s="21">
        <f t="shared" si="615"/>
        <v>155.14153904912538</v>
      </c>
      <c r="W889" s="21">
        <f t="shared" si="615"/>
        <v>155.14153904912538</v>
      </c>
      <c r="X889" s="21">
        <f t="shared" si="615"/>
        <v>155.14153904912538</v>
      </c>
      <c r="Y889" s="21">
        <f t="shared" si="615"/>
        <v>154.39253904912539</v>
      </c>
      <c r="Z889" s="21">
        <f t="shared" si="615"/>
        <v>154.39079660977677</v>
      </c>
      <c r="AA889" s="21">
        <f t="shared" si="615"/>
        <v>154.38687677827079</v>
      </c>
      <c r="AB889" s="21">
        <f t="shared" si="615"/>
        <v>154.38013420841827</v>
      </c>
      <c r="AC889" s="21">
        <f t="shared" si="615"/>
        <v>154.36955597516072</v>
      </c>
      <c r="AD889" s="21">
        <f t="shared" si="615"/>
        <v>153.19996534599741</v>
      </c>
      <c r="AE889" s="21">
        <f t="shared" si="615"/>
        <v>153.17503130096074</v>
      </c>
      <c r="AF889" s="21">
        <f t="shared" si="615"/>
        <v>153.13395611263178</v>
      </c>
      <c r="AG889" s="21">
        <f t="shared" si="615"/>
        <v>158.44407420942579</v>
      </c>
      <c r="AH889" s="21">
        <f t="shared" si="615"/>
        <v>59.159796955622404</v>
      </c>
      <c r="AI889" s="21">
        <f t="shared" si="615"/>
        <v>0</v>
      </c>
      <c r="AJ889" s="21">
        <f t="shared" si="615"/>
        <v>0</v>
      </c>
      <c r="AK889" s="21">
        <f t="shared" si="615"/>
        <v>0</v>
      </c>
      <c r="AL889" s="21">
        <f t="shared" si="615"/>
        <v>0</v>
      </c>
      <c r="AM889" s="21">
        <f t="shared" si="615"/>
        <v>0</v>
      </c>
      <c r="AN889" s="21">
        <f t="shared" si="615"/>
        <v>0</v>
      </c>
      <c r="AO889" s="21">
        <f t="shared" si="615"/>
        <v>0</v>
      </c>
      <c r="AP889" s="21">
        <f t="shared" si="615"/>
        <v>0</v>
      </c>
      <c r="AQ889" s="21">
        <f t="shared" si="615"/>
        <v>0</v>
      </c>
      <c r="AR889" s="21">
        <f t="shared" si="615"/>
        <v>0</v>
      </c>
      <c r="AS889" s="21">
        <f t="shared" si="615"/>
        <v>0</v>
      </c>
      <c r="AT889" s="21">
        <f t="shared" si="615"/>
        <v>0</v>
      </c>
      <c r="AU889" s="21">
        <f t="shared" si="615"/>
        <v>0</v>
      </c>
      <c r="AV889" s="21">
        <f t="shared" si="615"/>
        <v>0</v>
      </c>
      <c r="AW889" s="21">
        <f t="shared" si="615"/>
        <v>0</v>
      </c>
      <c r="AX889" s="21">
        <f t="shared" si="615"/>
        <v>0</v>
      </c>
      <c r="AY889" s="21">
        <f t="shared" si="615"/>
        <v>0</v>
      </c>
      <c r="AZ889" s="21">
        <f t="shared" si="615"/>
        <v>0</v>
      </c>
      <c r="BA889" s="21">
        <f t="shared" si="615"/>
        <v>0</v>
      </c>
      <c r="BB889" s="21">
        <f t="shared" si="615"/>
        <v>0</v>
      </c>
      <c r="BC889" s="21">
        <f t="shared" si="615"/>
        <v>0</v>
      </c>
      <c r="BD889" s="21">
        <f t="shared" si="615"/>
        <v>0</v>
      </c>
    </row>
    <row r="890" spans="3:56" ht="15" customHeight="1">
      <c r="C890" s="7">
        <f>IFERROR(C889/C25,0)</f>
        <v>0.57397135171987901</v>
      </c>
      <c r="D890" s="11" t="s">
        <v>52</v>
      </c>
      <c r="E890" s="18" t="s">
        <v>30</v>
      </c>
      <c r="G890" s="7">
        <f t="shared" ref="G890:AL890" si="616">IFERROR(G889/G25,0)</f>
        <v>0</v>
      </c>
      <c r="H890" s="7">
        <f t="shared" si="616"/>
        <v>0</v>
      </c>
      <c r="I890" s="7">
        <f t="shared" si="616"/>
        <v>-3.7500000000000006E-2</v>
      </c>
      <c r="J890" s="7">
        <f t="shared" si="616"/>
        <v>-3.7499999999999999E-2</v>
      </c>
      <c r="K890" s="7">
        <f t="shared" si="616"/>
        <v>0.41351645414425947</v>
      </c>
      <c r="L890" s="7">
        <f t="shared" si="616"/>
        <v>0.30961505350568352</v>
      </c>
      <c r="M890" s="7">
        <f t="shared" si="616"/>
        <v>0.37651890446271696</v>
      </c>
      <c r="N890" s="7">
        <f t="shared" si="616"/>
        <v>0.46946988123477412</v>
      </c>
      <c r="O890" s="7">
        <f t="shared" si="616"/>
        <v>0.46923993829726468</v>
      </c>
      <c r="P890" s="7">
        <f t="shared" si="616"/>
        <v>0.56631333837972386</v>
      </c>
      <c r="Q890" s="7">
        <f t="shared" si="616"/>
        <v>0.56631333837972386</v>
      </c>
      <c r="R890" s="7">
        <f t="shared" si="616"/>
        <v>0.56631333837972375</v>
      </c>
      <c r="S890" s="7">
        <f t="shared" si="616"/>
        <v>0.56631333837972386</v>
      </c>
      <c r="T890" s="7">
        <f t="shared" si="616"/>
        <v>0.56631333837972386</v>
      </c>
      <c r="U890" s="7">
        <f t="shared" si="616"/>
        <v>0.56631333837972386</v>
      </c>
      <c r="V890" s="7">
        <f t="shared" si="616"/>
        <v>0.56631333837972386</v>
      </c>
      <c r="W890" s="7">
        <f t="shared" si="616"/>
        <v>0.56631333837972386</v>
      </c>
      <c r="X890" s="7">
        <f t="shared" si="616"/>
        <v>0.56631333837972386</v>
      </c>
      <c r="Y890" s="7">
        <f t="shared" si="616"/>
        <v>0.56357926281849013</v>
      </c>
      <c r="Z890" s="7">
        <f t="shared" si="616"/>
        <v>0.56357290239013236</v>
      </c>
      <c r="AA890" s="7">
        <f t="shared" si="616"/>
        <v>0.56355859382467888</v>
      </c>
      <c r="AB890" s="7">
        <f t="shared" si="616"/>
        <v>0.56353398141419331</v>
      </c>
      <c r="AC890" s="7">
        <f t="shared" si="616"/>
        <v>0.5634953676771699</v>
      </c>
      <c r="AD890" s="7">
        <f t="shared" si="616"/>
        <v>0.56427243221361845</v>
      </c>
      <c r="AE890" s="7">
        <f t="shared" si="616"/>
        <v>0.5641805941103526</v>
      </c>
      <c r="AF890" s="7">
        <f t="shared" si="616"/>
        <v>0.56402930428225329</v>
      </c>
      <c r="AG890" s="7">
        <f t="shared" si="616"/>
        <v>0.54354742438911074</v>
      </c>
      <c r="AH890" s="7">
        <f t="shared" si="616"/>
        <v>0.44314454648406293</v>
      </c>
      <c r="AI890" s="7">
        <f t="shared" si="616"/>
        <v>0</v>
      </c>
      <c r="AJ890" s="7">
        <f t="shared" si="616"/>
        <v>0</v>
      </c>
      <c r="AK890" s="7">
        <f t="shared" si="616"/>
        <v>0</v>
      </c>
      <c r="AL890" s="7">
        <f t="shared" si="616"/>
        <v>0</v>
      </c>
      <c r="AM890" s="7">
        <f t="shared" ref="AM890:BD890" si="617">IFERROR(AM889/AM25,0)</f>
        <v>0</v>
      </c>
      <c r="AN890" s="7">
        <f t="shared" si="617"/>
        <v>0</v>
      </c>
      <c r="AO890" s="7">
        <f t="shared" si="617"/>
        <v>0</v>
      </c>
      <c r="AP890" s="7">
        <f t="shared" si="617"/>
        <v>0</v>
      </c>
      <c r="AQ890" s="7">
        <f t="shared" si="617"/>
        <v>0</v>
      </c>
      <c r="AR890" s="7">
        <f t="shared" si="617"/>
        <v>0</v>
      </c>
      <c r="AS890" s="7">
        <f t="shared" si="617"/>
        <v>0</v>
      </c>
      <c r="AT890" s="7">
        <f t="shared" si="617"/>
        <v>0</v>
      </c>
      <c r="AU890" s="7">
        <f t="shared" si="617"/>
        <v>0</v>
      </c>
      <c r="AV890" s="7">
        <f t="shared" si="617"/>
        <v>0</v>
      </c>
      <c r="AW890" s="7">
        <f t="shared" si="617"/>
        <v>0</v>
      </c>
      <c r="AX890" s="7">
        <f t="shared" si="617"/>
        <v>0</v>
      </c>
      <c r="AY890" s="7">
        <f t="shared" si="617"/>
        <v>0</v>
      </c>
      <c r="AZ890" s="7">
        <f t="shared" si="617"/>
        <v>0</v>
      </c>
      <c r="BA890" s="7">
        <f t="shared" si="617"/>
        <v>0</v>
      </c>
      <c r="BB890" s="7">
        <f t="shared" si="617"/>
        <v>0</v>
      </c>
      <c r="BC890" s="7">
        <f t="shared" si="617"/>
        <v>0</v>
      </c>
      <c r="BD890" s="7">
        <f t="shared" si="617"/>
        <v>0</v>
      </c>
    </row>
    <row r="891" spans="3:56" ht="15" customHeight="1">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c r="AB891" s="14"/>
      <c r="AC891" s="14"/>
      <c r="AD891" s="14"/>
      <c r="AE891" s="14"/>
      <c r="AF891" s="14"/>
      <c r="AG891" s="14"/>
      <c r="AH891" s="14"/>
      <c r="AI891" s="14"/>
      <c r="AJ891" s="14"/>
      <c r="AK891" s="14"/>
      <c r="AL891" s="14"/>
      <c r="AM891" s="14"/>
      <c r="AN891" s="14"/>
      <c r="AO891" s="14"/>
      <c r="AP891" s="14"/>
      <c r="AQ891" s="14"/>
      <c r="AR891" s="14"/>
      <c r="AS891" s="14"/>
      <c r="AT891" s="14"/>
      <c r="AU891" s="14"/>
      <c r="AV891" s="14"/>
      <c r="AW891" s="14"/>
      <c r="AX891" s="14"/>
      <c r="AY891" s="14"/>
      <c r="AZ891" s="14"/>
      <c r="BA891" s="14"/>
      <c r="BB891" s="14"/>
      <c r="BC891" s="14"/>
      <c r="BD891" s="14"/>
    </row>
    <row r="892" spans="3:56" ht="15" customHeight="1">
      <c r="D892" s="9" t="s">
        <v>694</v>
      </c>
    </row>
    <row r="893" spans="3:56" ht="15" customHeight="1">
      <c r="C893" s="21">
        <f>SUM(G893:BD893)</f>
        <v>727.39781169922594</v>
      </c>
      <c r="D893" s="11" t="s">
        <v>695</v>
      </c>
      <c r="E893" s="18" t="s">
        <v>333</v>
      </c>
      <c r="G893" s="21">
        <f t="shared" ref="G893:AL893" si="618">IF($E$788 =1, G563, G254)</f>
        <v>0</v>
      </c>
      <c r="H893" s="21">
        <f t="shared" si="618"/>
        <v>0</v>
      </c>
      <c r="I893" s="21">
        <f t="shared" si="618"/>
        <v>0</v>
      </c>
      <c r="J893" s="21">
        <f t="shared" si="618"/>
        <v>0</v>
      </c>
      <c r="K893" s="21">
        <f t="shared" si="618"/>
        <v>0</v>
      </c>
      <c r="L893" s="21">
        <f t="shared" si="618"/>
        <v>0</v>
      </c>
      <c r="M893" s="21">
        <f t="shared" si="618"/>
        <v>5.0178412878112573</v>
      </c>
      <c r="N893" s="21">
        <f t="shared" si="618"/>
        <v>25.19463144695289</v>
      </c>
      <c r="O893" s="21">
        <f t="shared" si="618"/>
        <v>26.554992462370038</v>
      </c>
      <c r="P893" s="21">
        <f t="shared" si="618"/>
        <v>30.050181750654883</v>
      </c>
      <c r="Q893" s="21">
        <f t="shared" si="618"/>
        <v>30.65118538566799</v>
      </c>
      <c r="R893" s="21">
        <f t="shared" si="618"/>
        <v>31.264209093381325</v>
      </c>
      <c r="S893" s="21">
        <f t="shared" si="618"/>
        <v>31.88949327524897</v>
      </c>
      <c r="T893" s="21">
        <f t="shared" si="618"/>
        <v>32.527283140753944</v>
      </c>
      <c r="U893" s="21">
        <f t="shared" si="618"/>
        <v>33.177828803569021</v>
      </c>
      <c r="V893" s="21">
        <f t="shared" si="618"/>
        <v>33.841385379640393</v>
      </c>
      <c r="W893" s="21">
        <f t="shared" si="618"/>
        <v>34.518213087233214</v>
      </c>
      <c r="X893" s="21">
        <f t="shared" si="618"/>
        <v>35.20857734897789</v>
      </c>
      <c r="Y893" s="21">
        <f t="shared" si="618"/>
        <v>35.658261382752947</v>
      </c>
      <c r="Z893" s="21">
        <f t="shared" si="618"/>
        <v>36.370822741732582</v>
      </c>
      <c r="AA893" s="21">
        <f t="shared" si="618"/>
        <v>37.096853550214377</v>
      </c>
      <c r="AB893" s="21">
        <f t="shared" si="618"/>
        <v>37.836359477518485</v>
      </c>
      <c r="AC893" s="21">
        <f t="shared" si="618"/>
        <v>38.589196229176522</v>
      </c>
      <c r="AD893" s="21">
        <f t="shared" si="618"/>
        <v>38.922227860889045</v>
      </c>
      <c r="AE893" s="21">
        <f t="shared" si="618"/>
        <v>39.691131757861449</v>
      </c>
      <c r="AF893" s="21">
        <f t="shared" si="618"/>
        <v>40.468923215401901</v>
      </c>
      <c r="AG893" s="21">
        <f t="shared" si="618"/>
        <v>46.420590525150608</v>
      </c>
      <c r="AH893" s="21">
        <f t="shared" si="618"/>
        <v>26.447622496266209</v>
      </c>
      <c r="AI893" s="21">
        <f t="shared" si="618"/>
        <v>0</v>
      </c>
      <c r="AJ893" s="21">
        <f t="shared" si="618"/>
        <v>0</v>
      </c>
      <c r="AK893" s="21">
        <f t="shared" si="618"/>
        <v>0</v>
      </c>
      <c r="AL893" s="21">
        <f t="shared" si="618"/>
        <v>0</v>
      </c>
      <c r="AM893" s="21">
        <f t="shared" ref="AM893:BD893" si="619">IF($E$788 =1, AM563, AM254)</f>
        <v>0</v>
      </c>
      <c r="AN893" s="21">
        <f t="shared" si="619"/>
        <v>0</v>
      </c>
      <c r="AO893" s="21">
        <f t="shared" si="619"/>
        <v>0</v>
      </c>
      <c r="AP893" s="21">
        <f t="shared" si="619"/>
        <v>0</v>
      </c>
      <c r="AQ893" s="21">
        <f t="shared" si="619"/>
        <v>0</v>
      </c>
      <c r="AR893" s="21">
        <f t="shared" si="619"/>
        <v>0</v>
      </c>
      <c r="AS893" s="21">
        <f t="shared" si="619"/>
        <v>0</v>
      </c>
      <c r="AT893" s="21">
        <f t="shared" si="619"/>
        <v>0</v>
      </c>
      <c r="AU893" s="21">
        <f t="shared" si="619"/>
        <v>0</v>
      </c>
      <c r="AV893" s="21">
        <f t="shared" si="619"/>
        <v>0</v>
      </c>
      <c r="AW893" s="21">
        <f t="shared" si="619"/>
        <v>0</v>
      </c>
      <c r="AX893" s="21">
        <f t="shared" si="619"/>
        <v>0</v>
      </c>
      <c r="AY893" s="21">
        <f t="shared" si="619"/>
        <v>0</v>
      </c>
      <c r="AZ893" s="21">
        <f t="shared" si="619"/>
        <v>0</v>
      </c>
      <c r="BA893" s="21">
        <f t="shared" si="619"/>
        <v>0</v>
      </c>
      <c r="BB893" s="21">
        <f t="shared" si="619"/>
        <v>0</v>
      </c>
      <c r="BC893" s="21">
        <f t="shared" si="619"/>
        <v>0</v>
      </c>
      <c r="BD893" s="21">
        <f t="shared" si="619"/>
        <v>0</v>
      </c>
    </row>
    <row r="894" spans="3:56" ht="15" customHeight="1">
      <c r="C894" s="21">
        <f t="shared" ref="C894:C900" si="620">SUM(G894:BD894)</f>
        <v>0</v>
      </c>
      <c r="D894" s="11" t="s">
        <v>583</v>
      </c>
      <c r="E894" s="18" t="s">
        <v>333</v>
      </c>
      <c r="G894" s="21">
        <f t="shared" ref="G894:AL894" si="621">IF($E$788 =1, G557, G575)</f>
        <v>0</v>
      </c>
      <c r="H894" s="21">
        <f t="shared" si="621"/>
        <v>0</v>
      </c>
      <c r="I894" s="21">
        <f t="shared" si="621"/>
        <v>0</v>
      </c>
      <c r="J894" s="21">
        <f t="shared" si="621"/>
        <v>0</v>
      </c>
      <c r="K894" s="21">
        <f t="shared" si="621"/>
        <v>0</v>
      </c>
      <c r="L894" s="21">
        <f t="shared" si="621"/>
        <v>0</v>
      </c>
      <c r="M894" s="21">
        <f t="shared" si="621"/>
        <v>0</v>
      </c>
      <c r="N894" s="21">
        <f t="shared" si="621"/>
        <v>0</v>
      </c>
      <c r="O894" s="21">
        <f t="shared" si="621"/>
        <v>0</v>
      </c>
      <c r="P894" s="21">
        <f t="shared" si="621"/>
        <v>0</v>
      </c>
      <c r="Q894" s="21">
        <f t="shared" si="621"/>
        <v>0</v>
      </c>
      <c r="R894" s="21">
        <f t="shared" si="621"/>
        <v>0</v>
      </c>
      <c r="S894" s="21">
        <f t="shared" si="621"/>
        <v>0</v>
      </c>
      <c r="T894" s="21">
        <f t="shared" si="621"/>
        <v>0</v>
      </c>
      <c r="U894" s="21">
        <f t="shared" si="621"/>
        <v>0</v>
      </c>
      <c r="V894" s="21">
        <f t="shared" si="621"/>
        <v>0</v>
      </c>
      <c r="W894" s="21">
        <f t="shared" si="621"/>
        <v>0</v>
      </c>
      <c r="X894" s="21">
        <f t="shared" si="621"/>
        <v>0</v>
      </c>
      <c r="Y894" s="21">
        <f t="shared" si="621"/>
        <v>0</v>
      </c>
      <c r="Z894" s="21">
        <f t="shared" si="621"/>
        <v>0</v>
      </c>
      <c r="AA894" s="21">
        <f t="shared" si="621"/>
        <v>0</v>
      </c>
      <c r="AB894" s="21">
        <f t="shared" si="621"/>
        <v>0</v>
      </c>
      <c r="AC894" s="21">
        <f t="shared" si="621"/>
        <v>0</v>
      </c>
      <c r="AD894" s="21">
        <f t="shared" si="621"/>
        <v>0</v>
      </c>
      <c r="AE894" s="21">
        <f t="shared" si="621"/>
        <v>0</v>
      </c>
      <c r="AF894" s="21">
        <f t="shared" si="621"/>
        <v>0</v>
      </c>
      <c r="AG894" s="21">
        <f t="shared" si="621"/>
        <v>0</v>
      </c>
      <c r="AH894" s="21">
        <f t="shared" si="621"/>
        <v>0</v>
      </c>
      <c r="AI894" s="21">
        <f t="shared" si="621"/>
        <v>0</v>
      </c>
      <c r="AJ894" s="21">
        <f t="shared" si="621"/>
        <v>0</v>
      </c>
      <c r="AK894" s="21">
        <f t="shared" si="621"/>
        <v>0</v>
      </c>
      <c r="AL894" s="21">
        <f t="shared" si="621"/>
        <v>0</v>
      </c>
      <c r="AM894" s="21">
        <f t="shared" ref="AM894:BD894" si="622">IF($E$788 =1, AM557, AM575)</f>
        <v>0</v>
      </c>
      <c r="AN894" s="21">
        <f t="shared" si="622"/>
        <v>0</v>
      </c>
      <c r="AO894" s="21">
        <f t="shared" si="622"/>
        <v>0</v>
      </c>
      <c r="AP894" s="21">
        <f t="shared" si="622"/>
        <v>0</v>
      </c>
      <c r="AQ894" s="21">
        <f t="shared" si="622"/>
        <v>0</v>
      </c>
      <c r="AR894" s="21">
        <f t="shared" si="622"/>
        <v>0</v>
      </c>
      <c r="AS894" s="21">
        <f t="shared" si="622"/>
        <v>0</v>
      </c>
      <c r="AT894" s="21">
        <f t="shared" si="622"/>
        <v>0</v>
      </c>
      <c r="AU894" s="21">
        <f t="shared" si="622"/>
        <v>0</v>
      </c>
      <c r="AV894" s="21">
        <f t="shared" si="622"/>
        <v>0</v>
      </c>
      <c r="AW894" s="21">
        <f t="shared" si="622"/>
        <v>0</v>
      </c>
      <c r="AX894" s="21">
        <f t="shared" si="622"/>
        <v>0</v>
      </c>
      <c r="AY894" s="21">
        <f t="shared" si="622"/>
        <v>0</v>
      </c>
      <c r="AZ894" s="21">
        <f t="shared" si="622"/>
        <v>0</v>
      </c>
      <c r="BA894" s="21">
        <f t="shared" si="622"/>
        <v>0</v>
      </c>
      <c r="BB894" s="21">
        <f t="shared" si="622"/>
        <v>0</v>
      </c>
      <c r="BC894" s="21">
        <f t="shared" si="622"/>
        <v>0</v>
      </c>
      <c r="BD894" s="21">
        <f t="shared" si="622"/>
        <v>0</v>
      </c>
    </row>
    <row r="895" spans="3:56" ht="15" customHeight="1">
      <c r="C895" s="21">
        <f>SUM(G895:BD895)</f>
        <v>0</v>
      </c>
      <c r="D895" s="11" t="s">
        <v>696</v>
      </c>
      <c r="E895" s="18" t="s">
        <v>333</v>
      </c>
      <c r="G895" s="21">
        <f t="shared" ref="G895:AL895" si="623">IF($E$788 =1, G551, 0)</f>
        <v>0</v>
      </c>
      <c r="H895" s="21">
        <f t="shared" si="623"/>
        <v>0</v>
      </c>
      <c r="I895" s="21">
        <f t="shared" si="623"/>
        <v>0</v>
      </c>
      <c r="J895" s="21">
        <f t="shared" si="623"/>
        <v>0</v>
      </c>
      <c r="K895" s="21">
        <f t="shared" si="623"/>
        <v>0</v>
      </c>
      <c r="L895" s="21">
        <f t="shared" si="623"/>
        <v>0</v>
      </c>
      <c r="M895" s="21">
        <f t="shared" si="623"/>
        <v>0</v>
      </c>
      <c r="N895" s="21">
        <f t="shared" si="623"/>
        <v>0</v>
      </c>
      <c r="O895" s="21">
        <f t="shared" si="623"/>
        <v>0</v>
      </c>
      <c r="P895" s="21">
        <f t="shared" si="623"/>
        <v>0</v>
      </c>
      <c r="Q895" s="21">
        <f t="shared" si="623"/>
        <v>0</v>
      </c>
      <c r="R895" s="21">
        <f t="shared" si="623"/>
        <v>0</v>
      </c>
      <c r="S895" s="21">
        <f t="shared" si="623"/>
        <v>0</v>
      </c>
      <c r="T895" s="21">
        <f t="shared" si="623"/>
        <v>0</v>
      </c>
      <c r="U895" s="21">
        <f t="shared" si="623"/>
        <v>0</v>
      </c>
      <c r="V895" s="21">
        <f t="shared" si="623"/>
        <v>0</v>
      </c>
      <c r="W895" s="21">
        <f t="shared" si="623"/>
        <v>0</v>
      </c>
      <c r="X895" s="21">
        <f t="shared" si="623"/>
        <v>0</v>
      </c>
      <c r="Y895" s="21">
        <f t="shared" si="623"/>
        <v>0</v>
      </c>
      <c r="Z895" s="21">
        <f t="shared" si="623"/>
        <v>0</v>
      </c>
      <c r="AA895" s="21">
        <f t="shared" si="623"/>
        <v>0</v>
      </c>
      <c r="AB895" s="21">
        <f t="shared" si="623"/>
        <v>0</v>
      </c>
      <c r="AC895" s="21">
        <f t="shared" si="623"/>
        <v>0</v>
      </c>
      <c r="AD895" s="21">
        <f t="shared" si="623"/>
        <v>0</v>
      </c>
      <c r="AE895" s="21">
        <f t="shared" si="623"/>
        <v>0</v>
      </c>
      <c r="AF895" s="21">
        <f t="shared" si="623"/>
        <v>0</v>
      </c>
      <c r="AG895" s="21">
        <f t="shared" si="623"/>
        <v>0</v>
      </c>
      <c r="AH895" s="21">
        <f t="shared" si="623"/>
        <v>0</v>
      </c>
      <c r="AI895" s="21">
        <f t="shared" si="623"/>
        <v>0</v>
      </c>
      <c r="AJ895" s="21">
        <f t="shared" si="623"/>
        <v>0</v>
      </c>
      <c r="AK895" s="21">
        <f t="shared" si="623"/>
        <v>0</v>
      </c>
      <c r="AL895" s="21">
        <f t="shared" si="623"/>
        <v>0</v>
      </c>
      <c r="AM895" s="21">
        <f t="shared" ref="AM895:BD895" si="624">IF($E$788 =1, AM551, 0)</f>
        <v>0</v>
      </c>
      <c r="AN895" s="21">
        <f t="shared" si="624"/>
        <v>0</v>
      </c>
      <c r="AO895" s="21">
        <f t="shared" si="624"/>
        <v>0</v>
      </c>
      <c r="AP895" s="21">
        <f t="shared" si="624"/>
        <v>0</v>
      </c>
      <c r="AQ895" s="21">
        <f t="shared" si="624"/>
        <v>0</v>
      </c>
      <c r="AR895" s="21">
        <f t="shared" si="624"/>
        <v>0</v>
      </c>
      <c r="AS895" s="21">
        <f t="shared" si="624"/>
        <v>0</v>
      </c>
      <c r="AT895" s="21">
        <f t="shared" si="624"/>
        <v>0</v>
      </c>
      <c r="AU895" s="21">
        <f t="shared" si="624"/>
        <v>0</v>
      </c>
      <c r="AV895" s="21">
        <f t="shared" si="624"/>
        <v>0</v>
      </c>
      <c r="AW895" s="21">
        <f t="shared" si="624"/>
        <v>0</v>
      </c>
      <c r="AX895" s="21">
        <f t="shared" si="624"/>
        <v>0</v>
      </c>
      <c r="AY895" s="21">
        <f t="shared" si="624"/>
        <v>0</v>
      </c>
      <c r="AZ895" s="21">
        <f t="shared" si="624"/>
        <v>0</v>
      </c>
      <c r="BA895" s="21">
        <f t="shared" si="624"/>
        <v>0</v>
      </c>
      <c r="BB895" s="21">
        <f t="shared" si="624"/>
        <v>0</v>
      </c>
      <c r="BC895" s="21">
        <f t="shared" si="624"/>
        <v>0</v>
      </c>
      <c r="BD895" s="21">
        <f t="shared" si="624"/>
        <v>0</v>
      </c>
    </row>
    <row r="896" spans="3:56" ht="15" customHeight="1">
      <c r="C896" s="21">
        <f>SUM(G896:BD896)</f>
        <v>0</v>
      </c>
      <c r="D896" s="11" t="s">
        <v>697</v>
      </c>
      <c r="E896" s="18" t="s">
        <v>333</v>
      </c>
      <c r="G896" s="21">
        <f t="shared" ref="G896:AL896" si="625">G576</f>
        <v>0</v>
      </c>
      <c r="H896" s="21">
        <f t="shared" si="625"/>
        <v>0</v>
      </c>
      <c r="I896" s="21">
        <f t="shared" si="625"/>
        <v>0</v>
      </c>
      <c r="J896" s="21">
        <f t="shared" si="625"/>
        <v>0</v>
      </c>
      <c r="K896" s="21">
        <f t="shared" si="625"/>
        <v>0</v>
      </c>
      <c r="L896" s="21">
        <f t="shared" si="625"/>
        <v>0</v>
      </c>
      <c r="M896" s="21">
        <f t="shared" si="625"/>
        <v>0</v>
      </c>
      <c r="N896" s="21">
        <f t="shared" si="625"/>
        <v>0</v>
      </c>
      <c r="O896" s="21">
        <f t="shared" si="625"/>
        <v>0</v>
      </c>
      <c r="P896" s="21">
        <f t="shared" si="625"/>
        <v>0</v>
      </c>
      <c r="Q896" s="21">
        <f t="shared" si="625"/>
        <v>0</v>
      </c>
      <c r="R896" s="21">
        <f t="shared" si="625"/>
        <v>0</v>
      </c>
      <c r="S896" s="21">
        <f t="shared" si="625"/>
        <v>0</v>
      </c>
      <c r="T896" s="21">
        <f t="shared" si="625"/>
        <v>0</v>
      </c>
      <c r="U896" s="21">
        <f t="shared" si="625"/>
        <v>0</v>
      </c>
      <c r="V896" s="21">
        <f t="shared" si="625"/>
        <v>0</v>
      </c>
      <c r="W896" s="21">
        <f t="shared" si="625"/>
        <v>0</v>
      </c>
      <c r="X896" s="21">
        <f t="shared" si="625"/>
        <v>0</v>
      </c>
      <c r="Y896" s="21">
        <f t="shared" si="625"/>
        <v>0</v>
      </c>
      <c r="Z896" s="21">
        <f t="shared" si="625"/>
        <v>0</v>
      </c>
      <c r="AA896" s="21">
        <f t="shared" si="625"/>
        <v>0</v>
      </c>
      <c r="AB896" s="21">
        <f t="shared" si="625"/>
        <v>0</v>
      </c>
      <c r="AC896" s="21">
        <f t="shared" si="625"/>
        <v>0</v>
      </c>
      <c r="AD896" s="21">
        <f t="shared" si="625"/>
        <v>0</v>
      </c>
      <c r="AE896" s="21">
        <f t="shared" si="625"/>
        <v>0</v>
      </c>
      <c r="AF896" s="21">
        <f t="shared" si="625"/>
        <v>0</v>
      </c>
      <c r="AG896" s="21">
        <f t="shared" si="625"/>
        <v>0</v>
      </c>
      <c r="AH896" s="21">
        <f t="shared" si="625"/>
        <v>0</v>
      </c>
      <c r="AI896" s="21">
        <f t="shared" si="625"/>
        <v>0</v>
      </c>
      <c r="AJ896" s="21">
        <f t="shared" si="625"/>
        <v>0</v>
      </c>
      <c r="AK896" s="21">
        <f t="shared" si="625"/>
        <v>0</v>
      </c>
      <c r="AL896" s="21">
        <f t="shared" si="625"/>
        <v>0</v>
      </c>
      <c r="AM896" s="21">
        <f t="shared" ref="AM896:BD896" si="626">AM576</f>
        <v>0</v>
      </c>
      <c r="AN896" s="21">
        <f t="shared" si="626"/>
        <v>0</v>
      </c>
      <c r="AO896" s="21">
        <f t="shared" si="626"/>
        <v>0</v>
      </c>
      <c r="AP896" s="21">
        <f t="shared" si="626"/>
        <v>0</v>
      </c>
      <c r="AQ896" s="21">
        <f t="shared" si="626"/>
        <v>0</v>
      </c>
      <c r="AR896" s="21">
        <f t="shared" si="626"/>
        <v>0</v>
      </c>
      <c r="AS896" s="21">
        <f t="shared" si="626"/>
        <v>0</v>
      </c>
      <c r="AT896" s="21">
        <f t="shared" si="626"/>
        <v>0</v>
      </c>
      <c r="AU896" s="21">
        <f t="shared" si="626"/>
        <v>0</v>
      </c>
      <c r="AV896" s="21">
        <f t="shared" si="626"/>
        <v>0</v>
      </c>
      <c r="AW896" s="21">
        <f t="shared" si="626"/>
        <v>0</v>
      </c>
      <c r="AX896" s="21">
        <f t="shared" si="626"/>
        <v>0</v>
      </c>
      <c r="AY896" s="21">
        <f t="shared" si="626"/>
        <v>0</v>
      </c>
      <c r="AZ896" s="21">
        <f t="shared" si="626"/>
        <v>0</v>
      </c>
      <c r="BA896" s="21">
        <f t="shared" si="626"/>
        <v>0</v>
      </c>
      <c r="BB896" s="21">
        <f t="shared" si="626"/>
        <v>0</v>
      </c>
      <c r="BC896" s="21">
        <f t="shared" si="626"/>
        <v>0</v>
      </c>
      <c r="BD896" s="21">
        <f t="shared" si="626"/>
        <v>0</v>
      </c>
    </row>
    <row r="897" spans="3:56 16384:16384" ht="15" customHeight="1">
      <c r="C897" s="21">
        <f t="shared" si="620"/>
        <v>0</v>
      </c>
      <c r="D897" s="11" t="s">
        <v>698</v>
      </c>
      <c r="E897" s="18" t="s">
        <v>333</v>
      </c>
      <c r="G897" s="21">
        <f>IF(AND($E$788 =2, $E$789 &lt; 3), IF($E$790 = 1, G52 * $E$786, 0) + ((SUM(G53:G55) + G56 + (G66 + G78 + G79 + G80) + G236 + G240 + G244 + G210) * $E$786), 0)</f>
        <v>0</v>
      </c>
      <c r="H897" s="21">
        <f>IF(AND($E$788 =2, $E$789 &lt; 3), IF($E$790 = 1, H52 * $E$786, 0) + ((SUM(H53:H55) + H56 + (H66 + H78 + H79 + H80) + H236 + H240 + H244 + H210) * $E$786), 0)</f>
        <v>0</v>
      </c>
      <c r="I897" s="21">
        <f>IF(AND($E$788 =2, $E$789 &lt; 3), IF($E$790 = 1, I52 * $E$786, 0) + ((SUM(I53:I55) + I56 + (I66 + I78 + I79 + I80) + I236 + I240 + I244 + I210) * $E$786), 0)</f>
        <v>0</v>
      </c>
      <c r="J897" s="21">
        <f>IF(AND($E$788 =2, $E$789 &lt; 3), IF($E$790 = 1, J52 * $E$786, 0) + ((SUM(J53:J55) + J56 + (J66 + J78 + J79 + J80) + J236 + J240 + J244 + J210) * $E$786), 0)</f>
        <v>0</v>
      </c>
      <c r="K897" s="21">
        <f>IF(AND($E$788 =2, $E$789 &lt; 3), IF($E$790 = 1, K52 * $E$786, 0) + ((SUM(K53:K55) + K56 + (K66 + K78 + K79 + K80) + K236 + K240 + K244 + K210) * $E$786), 0)</f>
        <v>0</v>
      </c>
      <c r="L897" s="21">
        <f>IF(AND($E$788 =2, $E$789 &lt; 3), IF($E$790 = 1, L52 * $E$786, 0) + ((SUM(L53:L55) + L56 + (L66 + L78 + L79 + L80) + L236 + L240 + L244 + L210) * $E$786), 0)</f>
        <v>0</v>
      </c>
      <c r="M897" s="21">
        <f>IF(AND($E$788 =2, $E$789 &lt; 3), IF($E$790 = 1, M52 * $E$786, 0) + ((SUM(M53:M55) + M56 + (M66 + M78 + M79 + M80) + M236 + M240 + M244 + M210) * $E$786), 0)</f>
        <v>0</v>
      </c>
      <c r="N897" s="21">
        <f>IF(AND($E$788 =2, $E$789 &lt; 3), IF($E$790 = 1, N52 * $E$786, 0) + ((SUM(N53:N55) + N56 + (N66 + N78 + N79 + N80) + N236 + N240 + N244 + N210) * $E$786), 0)</f>
        <v>0</v>
      </c>
      <c r="O897" s="21">
        <f>IF(AND($E$788 =2, $E$789 &lt; 3), IF($E$790 = 1, O52 * $E$786, 0) + ((SUM(O53:O55) + O56 + (O66 + O78 + O79 + O80) + O236 + O240 + O244 + O210) * $E$786), 0)</f>
        <v>0</v>
      </c>
      <c r="P897" s="21">
        <f>IF(AND($E$788 =2, $E$789 &lt; 3), IF($E$790 = 1, P52 * $E$786, 0) + ((SUM(P53:P55) + P56 + (P66 + P78 + P79 + P80) + P236 + P240 + P244 + P210) * $E$786), 0)</f>
        <v>0</v>
      </c>
      <c r="Q897" s="21">
        <f>IF(AND($E$788 =2, $E$789 &lt; 3), IF($E$790 = 1, Q52 * $E$786, 0) + ((SUM(Q53:Q55) + Q56 + (Q66 + Q78 + Q79 + Q80) + Q236 + Q240 + Q244 + Q210) * $E$786), 0)</f>
        <v>0</v>
      </c>
      <c r="R897" s="21">
        <f>IF(AND($E$788 =2, $E$789 &lt; 3), IF($E$790 = 1, R52 * $E$786, 0) + ((SUM(R53:R55) + R56 + (R66 + R78 + R79 + R80) + R236 + R240 + R244 + R210) * $E$786), 0)</f>
        <v>0</v>
      </c>
      <c r="S897" s="21">
        <f>IF(AND($E$788 =2, $E$789 &lt; 3), IF($E$790 = 1, S52 * $E$786, 0) + ((SUM(S53:S55) + S56 + (S66 + S78 + S79 + S80) + S236 + S240 + S244 + S210) * $E$786), 0)</f>
        <v>0</v>
      </c>
      <c r="T897" s="21">
        <f>IF(AND($E$788 =2, $E$789 &lt; 3), IF($E$790 = 1, T52 * $E$786, 0) + ((SUM(T53:T55) + T56 + (T66 + T78 + T79 + T80) + T236 + T240 + T244 + T210) * $E$786), 0)</f>
        <v>0</v>
      </c>
      <c r="U897" s="21">
        <f>IF(AND($E$788 =2, $E$789 &lt; 3), IF($E$790 = 1, U52 * $E$786, 0) + ((SUM(U53:U55) + U56 + (U66 + U78 + U79 + U80) + U236 + U240 + U244 + U210) * $E$786), 0)</f>
        <v>0</v>
      </c>
      <c r="V897" s="21">
        <f>IF(AND($E$788 =2, $E$789 &lt; 3), IF($E$790 = 1, V52 * $E$786, 0) + ((SUM(V53:V55) + V56 + (V66 + V78 + V79 + V80) + V236 + V240 + V244 + V210) * $E$786), 0)</f>
        <v>0</v>
      </c>
      <c r="W897" s="21">
        <f>IF(AND($E$788 =2, $E$789 &lt; 3), IF($E$790 = 1, W52 * $E$786, 0) + ((SUM(W53:W55) + W56 + (W66 + W78 + W79 + W80) + W236 + W240 + W244 + W210) * $E$786), 0)</f>
        <v>0</v>
      </c>
      <c r="X897" s="21">
        <f>IF(AND($E$788 =2, $E$789 &lt; 3), IF($E$790 = 1, X52 * $E$786, 0) + ((SUM(X53:X55) + X56 + (X66 + X78 + X79 + X80) + X236 + X240 + X244 + X210) * $E$786), 0)</f>
        <v>0</v>
      </c>
      <c r="Y897" s="21">
        <f>IF(AND($E$788 =2, $E$789 &lt; 3), IF($E$790 = 1, Y52 * $E$786, 0) + ((SUM(Y53:Y55) + Y56 + (Y66 + Y78 + Y79 + Y80) + Y236 + Y240 + Y244 + Y210) * $E$786), 0)</f>
        <v>0</v>
      </c>
      <c r="Z897" s="21">
        <f>IF(AND($E$788 =2, $E$789 &lt; 3), IF($E$790 = 1, Z52 * $E$786, 0) + ((SUM(Z53:Z55) + Z56 + (Z66 + Z78 + Z79 + Z80) + Z236 + Z240 + Z244 + Z210) * $E$786), 0)</f>
        <v>0</v>
      </c>
      <c r="AA897" s="21">
        <f>IF(AND($E$788 =2, $E$789 &lt; 3), IF($E$790 = 1, AA52 * $E$786, 0) + ((SUM(AA53:AA55) + AA56 + (AA66 + AA78 + AA79 + AA80) + AA236 + AA240 + AA244 + AA210) * $E$786), 0)</f>
        <v>0</v>
      </c>
      <c r="AB897" s="21">
        <f>IF(AND($E$788 =2, $E$789 &lt; 3), IF($E$790 = 1, AB52 * $E$786, 0) + ((SUM(AB53:AB55) + AB56 + (AB66 + AB78 + AB79 + AB80) + AB236 + AB240 + AB244 + AB210) * $E$786), 0)</f>
        <v>0</v>
      </c>
      <c r="AC897" s="21">
        <f>IF(AND($E$788 =2, $E$789 &lt; 3), IF($E$790 = 1, AC52 * $E$786, 0) + ((SUM(AC53:AC55) + AC56 + (AC66 + AC78 + AC79 + AC80) + AC236 + AC240 + AC244 + AC210) * $E$786), 0)</f>
        <v>0</v>
      </c>
      <c r="AD897" s="21">
        <f>IF(AND($E$788 =2, $E$789 &lt; 3), IF($E$790 = 1, AD52 * $E$786, 0) + ((SUM(AD53:AD55) + AD56 + (AD66 + AD78 + AD79 + AD80) + AD236 + AD240 + AD244 + AD210) * $E$786), 0)</f>
        <v>0</v>
      </c>
      <c r="AE897" s="21">
        <f>IF(AND($E$788 =2, $E$789 &lt; 3), IF($E$790 = 1, AE52 * $E$786, 0) + ((SUM(AE53:AE55) + AE56 + (AE66 + AE78 + AE79 + AE80) + AE236 + AE240 + AE244 + AE210) * $E$786), 0)</f>
        <v>0</v>
      </c>
      <c r="AF897" s="21">
        <f>IF(AND($E$788 =2, $E$789 &lt; 3), IF($E$790 = 1, AF52 * $E$786, 0) + ((SUM(AF53:AF55) + AF56 + (AF66 + AF78 + AF79 + AF80) + AF236 + AF240 + AF244 + AF210) * $E$786), 0)</f>
        <v>0</v>
      </c>
      <c r="AG897" s="21">
        <f>IF(AND($E$788 =2, $E$789 &lt; 3), IF($E$790 = 1, AG52 * $E$786, 0) + ((SUM(AG53:AG55) + AG56 + (AG66 + AG78 + AG79 + AG80) + AG236 + AG240 + AG244 + AG210) * $E$786), 0)</f>
        <v>0</v>
      </c>
      <c r="AH897" s="21">
        <f>IF(AND($E$788 =2, $E$789 &lt; 3), IF($E$790 = 1, AH52 * $E$786, 0) + ((SUM(AH53:AH55) + AH56 + (AH66 + AH78 + AH79 + AH80) + AH236 + AH240 + AH244 + AH210) * $E$786), 0)</f>
        <v>0</v>
      </c>
      <c r="AI897" s="21">
        <f>IF(AND($E$788 =2, $E$789 &lt; 3), IF($E$790 = 1, AI52 * $E$786, 0) + ((SUM(AI53:AI55) + AI56 + (AI66 + AI78 + AI79 + AI80) + AI236 + AI240 + AI244 + AI210) * $E$786), 0)</f>
        <v>0</v>
      </c>
      <c r="AJ897" s="21">
        <f>IF(AND($E$788 =2, $E$789 &lt; 3), IF($E$790 = 1, AJ52 * $E$786, 0) + ((SUM(AJ53:AJ55) + AJ56 + (AJ66 + AJ78 + AJ79 + AJ80) + AJ236 + AJ240 + AJ244 + AJ210) * $E$786), 0)</f>
        <v>0</v>
      </c>
      <c r="AK897" s="21">
        <f>IF(AND($E$788 =2, $E$789 &lt; 3), IF($E$790 = 1, AK52 * $E$786, 0) + ((SUM(AK53:AK55) + AK56 + (AK66 + AK78 + AK79 + AK80) + AK236 + AK240 + AK244 + AK210) * $E$786), 0)</f>
        <v>0</v>
      </c>
      <c r="AL897" s="21">
        <f>IF(AND($E$788 =2, $E$789 &lt; 3), IF($E$790 = 1, AL52 * $E$786, 0) + ((SUM(AL53:AL55) + AL56 + (AL66 + AL78 + AL79 + AL80) + AL236 + AL240 + AL244 + AL210) * $E$786), 0)</f>
        <v>0</v>
      </c>
      <c r="AM897" s="21">
        <f>IF(AND($E$788 =2, $E$789 &lt; 3), IF($E$790 = 1, AM52 * $E$786, 0) + ((SUM(AM53:AM55) + AM56 + (AM66 + AM78 + AM79 + AM80) + AM236 + AM240 + AM244 + AM210) * $E$786), 0)</f>
        <v>0</v>
      </c>
      <c r="AN897" s="21">
        <f>IF(AND($E$788 =2, $E$789 &lt; 3), IF($E$790 = 1, AN52 * $E$786, 0) + ((SUM(AN53:AN55) + AN56 + (AN66 + AN78 + AN79 + AN80) + AN236 + AN240 + AN244 + AN210) * $E$786), 0)</f>
        <v>0</v>
      </c>
      <c r="AO897" s="21">
        <f>IF(AND($E$788 =2, $E$789 &lt; 3), IF($E$790 = 1, AO52 * $E$786, 0) + ((SUM(AO53:AO55) + AO56 + (AO66 + AO78 + AO79 + AO80) + AO236 + AO240 + AO244 + AO210) * $E$786), 0)</f>
        <v>0</v>
      </c>
      <c r="AP897" s="21">
        <f>IF(AND($E$788 =2, $E$789 &lt; 3), IF($E$790 = 1, AP52 * $E$786, 0) + ((SUM(AP53:AP55) + AP56 + (AP66 + AP78 + AP79 + AP80) + AP236 + AP240 + AP244 + AP210) * $E$786), 0)</f>
        <v>0</v>
      </c>
      <c r="AQ897" s="21">
        <f>IF(AND($E$788 =2, $E$789 &lt; 3), IF($E$790 = 1, AQ52 * $E$786, 0) + ((SUM(AQ53:AQ55) + AQ56 + (AQ66 + AQ78 + AQ79 + AQ80) + AQ236 + AQ240 + AQ244 + AQ210) * $E$786), 0)</f>
        <v>0</v>
      </c>
      <c r="AR897" s="21">
        <f>IF(AND($E$788 =2, $E$789 &lt; 3), IF($E$790 = 1, AR52 * $E$786, 0) + ((SUM(AR53:AR55) + AR56 + (AR66 + AR78 + AR79 + AR80) + AR236 + AR240 + AR244 + AR210) * $E$786), 0)</f>
        <v>0</v>
      </c>
      <c r="AS897" s="21">
        <f>IF(AND($E$788 =2, $E$789 &lt; 3), IF($E$790 = 1, AS52 * $E$786, 0) + ((SUM(AS53:AS55) + AS56 + (AS66 + AS78 + AS79 + AS80) + AS236 + AS240 + AS244 + AS210) * $E$786), 0)</f>
        <v>0</v>
      </c>
      <c r="AT897" s="21">
        <f>IF(AND($E$788 =2, $E$789 &lt; 3), IF($E$790 = 1, AT52 * $E$786, 0) + ((SUM(AT53:AT55) + AT56 + (AT66 + AT78 + AT79 + AT80) + AT236 + AT240 + AT244 + AT210) * $E$786), 0)</f>
        <v>0</v>
      </c>
      <c r="AU897" s="21">
        <f>IF(AND($E$788 =2, $E$789 &lt; 3), IF($E$790 = 1, AU52 * $E$786, 0) + ((SUM(AU53:AU55) + AU56 + (AU66 + AU78 + AU79 + AU80) + AU236 + AU240 + AU244 + AU210) * $E$786), 0)</f>
        <v>0</v>
      </c>
      <c r="AV897" s="21">
        <f>IF(AND($E$788 =2, $E$789 &lt; 3), IF($E$790 = 1, AV52 * $E$786, 0) + ((SUM(AV53:AV55) + AV56 + (AV66 + AV78 + AV79 + AV80) + AV236 + AV240 + AV244 + AV210) * $E$786), 0)</f>
        <v>0</v>
      </c>
      <c r="AW897" s="21">
        <f>IF(AND($E$788 =2, $E$789 &lt; 3), IF($E$790 = 1, AW52 * $E$786, 0) + ((SUM(AW53:AW55) + AW56 + (AW66 + AW78 + AW79 + AW80) + AW236 + AW240 + AW244 + AW210) * $E$786), 0)</f>
        <v>0</v>
      </c>
      <c r="AX897" s="21">
        <f>IF(AND($E$788 =2, $E$789 &lt; 3), IF($E$790 = 1, AX52 * $E$786, 0) + ((SUM(AX53:AX55) + AX56 + (AX66 + AX78 + AX79 + AX80) + AX236 + AX240 + AX244 + AX210) * $E$786), 0)</f>
        <v>0</v>
      </c>
      <c r="AY897" s="21">
        <f>IF(AND($E$788 =2, $E$789 &lt; 3), IF($E$790 = 1, AY52 * $E$786, 0) + ((SUM(AY53:AY55) + AY56 + (AY66 + AY78 + AY79 + AY80) + AY236 + AY240 + AY244 + AY210) * $E$786), 0)</f>
        <v>0</v>
      </c>
      <c r="AZ897" s="21">
        <f>IF(AND($E$788 =2, $E$789 &lt; 3), IF($E$790 = 1, AZ52 * $E$786, 0) + ((SUM(AZ53:AZ55) + AZ56 + (AZ66 + AZ78 + AZ79 + AZ80) + AZ236 + AZ240 + AZ244 + AZ210) * $E$786), 0)</f>
        <v>0</v>
      </c>
      <c r="BA897" s="21">
        <f>IF(AND($E$788 =2, $E$789 &lt; 3), IF($E$790 = 1, BA52 * $E$786, 0) + ((SUM(BA53:BA55) + BA56 + (BA66 + BA78 + BA79 + BA80) + BA236 + BA240 + BA244 + BA210) * $E$786), 0)</f>
        <v>0</v>
      </c>
      <c r="BB897" s="21">
        <f>IF(AND($E$788 =2, $E$789 &lt; 3), IF($E$790 = 1, BB52 * $E$786, 0) + ((SUM(BB53:BB55) + BB56 + (BB66 + BB78 + BB79 + BB80) + BB236 + BB240 + BB244 + BB210) * $E$786), 0)</f>
        <v>0</v>
      </c>
      <c r="BC897" s="21">
        <f>IF(AND($E$788 =2, $E$789 &lt; 3), IF($E$790 = 1, BC52 * $E$786, 0) + ((SUM(BC53:BC55) + BC56 + (BC66 + BC78 + BC79 + BC80) + BC236 + BC240 + BC244 + BC210) * $E$786), 0)</f>
        <v>0</v>
      </c>
      <c r="BD897" s="21">
        <f>IF(AND($E$788 =2, $E$789 &lt; 3), IF($E$790 = 1, BD52 * $E$786, 0) + ((SUM(BD53:BD55) + BD56 + (BD66 + BD78 + BD79 + BD80) + BD236 + BD240 + BD244 + BD210) * $E$786), 0)</f>
        <v>0</v>
      </c>
    </row>
    <row r="898" spans="3:56 16384:16384" ht="15" customHeight="1">
      <c r="C898" s="21">
        <f t="shared" si="620"/>
        <v>0</v>
      </c>
      <c r="D898" s="11" t="s">
        <v>699</v>
      </c>
      <c r="E898" s="18" t="s">
        <v>333</v>
      </c>
      <c r="G898" s="21">
        <f>IF($E$788 =2, G577, 0)</f>
        <v>0</v>
      </c>
      <c r="H898" s="21">
        <f>IF($E$788 =2, H577, 0)</f>
        <v>0</v>
      </c>
      <c r="I898" s="21">
        <f>IF($E$788 =2, I577, 0)</f>
        <v>0</v>
      </c>
      <c r="J898" s="21">
        <f>IF($E$788 =2, J577, 0)</f>
        <v>0</v>
      </c>
      <c r="K898" s="21">
        <f>IF($E$788 =2, K577, 0)</f>
        <v>0</v>
      </c>
      <c r="L898" s="21">
        <f>IF($E$788 =2, L577, 0)</f>
        <v>0</v>
      </c>
      <c r="M898" s="21">
        <f>IF($E$788 =2, M577, 0)</f>
        <v>0</v>
      </c>
      <c r="N898" s="21">
        <f>IF($E$788 =2, N577, 0)</f>
        <v>0</v>
      </c>
      <c r="O898" s="21">
        <f>IF($E$788 =2, O577, 0)</f>
        <v>0</v>
      </c>
      <c r="P898" s="21">
        <f>IF($E$788 =2, P577, 0)</f>
        <v>0</v>
      </c>
      <c r="Q898" s="21">
        <f>IF($E$788 =2, Q577, 0)</f>
        <v>0</v>
      </c>
      <c r="R898" s="21">
        <f>IF($E$788 =2, R577, 0)</f>
        <v>0</v>
      </c>
      <c r="S898" s="21">
        <f>IF($E$788 =2, S577, 0)</f>
        <v>0</v>
      </c>
      <c r="T898" s="21">
        <f>IF($E$788 =2, T577, 0)</f>
        <v>0</v>
      </c>
      <c r="U898" s="21">
        <f>IF($E$788 =2, U577, 0)</f>
        <v>0</v>
      </c>
      <c r="V898" s="21">
        <f>IF($E$788 =2, V577, 0)</f>
        <v>0</v>
      </c>
      <c r="W898" s="21">
        <f>IF($E$788 =2, W577, 0)</f>
        <v>0</v>
      </c>
      <c r="X898" s="21">
        <f>IF($E$788 =2, X577, 0)</f>
        <v>0</v>
      </c>
      <c r="Y898" s="21">
        <f>IF($E$788 =2, Y577, 0)</f>
        <v>0</v>
      </c>
      <c r="Z898" s="21">
        <f>IF($E$788 =2, Z577, 0)</f>
        <v>0</v>
      </c>
      <c r="AA898" s="21">
        <f>IF($E$788 =2, AA577, 0)</f>
        <v>0</v>
      </c>
      <c r="AB898" s="21">
        <f>IF($E$788 =2, AB577, 0)</f>
        <v>0</v>
      </c>
      <c r="AC898" s="21">
        <f>IF($E$788 =2, AC577, 0)</f>
        <v>0</v>
      </c>
      <c r="AD898" s="21">
        <f>IF($E$788 =2, AD577, 0)</f>
        <v>0</v>
      </c>
      <c r="AE898" s="21">
        <f>IF($E$788 =2, AE577, 0)</f>
        <v>0</v>
      </c>
      <c r="AF898" s="21">
        <f>IF($E$788 =2, AF577, 0)</f>
        <v>0</v>
      </c>
      <c r="AG898" s="21">
        <f>IF($E$788 =2, AG577, 0)</f>
        <v>0</v>
      </c>
      <c r="AH898" s="21">
        <f>IF($E$788 =2, AH577, 0)</f>
        <v>0</v>
      </c>
      <c r="AI898" s="21">
        <f>IF($E$788 =2, AI577, 0)</f>
        <v>0</v>
      </c>
      <c r="AJ898" s="21">
        <f>IF($E$788 =2, AJ577, 0)</f>
        <v>0</v>
      </c>
      <c r="AK898" s="21">
        <f>IF($E$788 =2, AK577, 0)</f>
        <v>0</v>
      </c>
      <c r="AL898" s="21">
        <f>IF($E$788 =2, AL577, 0)</f>
        <v>0</v>
      </c>
      <c r="AM898" s="21">
        <f>IF($E$788 =2, AM577, 0)</f>
        <v>0</v>
      </c>
      <c r="AN898" s="21">
        <f>IF($E$788 =2, AN577, 0)</f>
        <v>0</v>
      </c>
      <c r="AO898" s="21">
        <f>IF($E$788 =2, AO577, 0)</f>
        <v>0</v>
      </c>
      <c r="AP898" s="21">
        <f>IF($E$788 =2, AP577, 0)</f>
        <v>0</v>
      </c>
      <c r="AQ898" s="21">
        <f>IF($E$788 =2, AQ577, 0)</f>
        <v>0</v>
      </c>
      <c r="AR898" s="21">
        <f>IF($E$788 =2, AR577, 0)</f>
        <v>0</v>
      </c>
      <c r="AS898" s="21">
        <f>IF($E$788 =2, AS577, 0)</f>
        <v>0</v>
      </c>
      <c r="AT898" s="21">
        <f>IF($E$788 =2, AT577, 0)</f>
        <v>0</v>
      </c>
      <c r="AU898" s="21">
        <f>IF($E$788 =2, AU577, 0)</f>
        <v>0</v>
      </c>
      <c r="AV898" s="21">
        <f>IF($E$788 =2, AV577, 0)</f>
        <v>0</v>
      </c>
      <c r="AW898" s="21">
        <f>IF($E$788 =2, AW577, 0)</f>
        <v>0</v>
      </c>
      <c r="AX898" s="21">
        <f>IF($E$788 =2, AX577, 0)</f>
        <v>0</v>
      </c>
      <c r="AY898" s="21">
        <f>IF($E$788 =2, AY577, 0)</f>
        <v>0</v>
      </c>
      <c r="AZ898" s="21">
        <f>IF($E$788 =2, AZ577, 0)</f>
        <v>0</v>
      </c>
      <c r="BA898" s="21">
        <f>IF($E$788 =2, BA577, 0)</f>
        <v>0</v>
      </c>
      <c r="BB898" s="21">
        <f>IF($E$788 =2, BB577, 0)</f>
        <v>0</v>
      </c>
      <c r="BC898" s="21">
        <f>IF($E$788 =2, BC577, 0)</f>
        <v>0</v>
      </c>
      <c r="BD898" s="21">
        <f>IF($E$788 =2, BD577, 0)</f>
        <v>0</v>
      </c>
    </row>
    <row r="899" spans="3:56 16384:16384" ht="15" customHeight="1">
      <c r="C899" s="21">
        <f t="shared" ref="C899" si="627">SUM(G899:BD899)</f>
        <v>0</v>
      </c>
      <c r="D899" s="11" t="s">
        <v>700</v>
      </c>
      <c r="E899" s="18" t="s">
        <v>333</v>
      </c>
      <c r="G899" s="21">
        <f>IF($E$788 =2, G578, 0)</f>
        <v>0</v>
      </c>
      <c r="H899" s="21">
        <f>IF($E$788 =2, H578, 0)</f>
        <v>0</v>
      </c>
      <c r="I899" s="21">
        <f>IF($E$788 =2, I578, 0)</f>
        <v>0</v>
      </c>
      <c r="J899" s="21">
        <f>IF($E$788 =2, J578, 0)</f>
        <v>0</v>
      </c>
      <c r="K899" s="21">
        <f>IF($E$788 =2, K578, 0)</f>
        <v>0</v>
      </c>
      <c r="L899" s="21">
        <f>IF($E$788 =2, L578, 0)</f>
        <v>0</v>
      </c>
      <c r="M899" s="21">
        <f>IF($E$788 =2, M578, 0)</f>
        <v>0</v>
      </c>
      <c r="N899" s="21">
        <f>IF($E$788 =2, N578, 0)</f>
        <v>0</v>
      </c>
      <c r="O899" s="21">
        <f>IF($E$788 =2, O578, 0)</f>
        <v>0</v>
      </c>
      <c r="P899" s="21">
        <f>IF($E$788 =2, P578, 0)</f>
        <v>0</v>
      </c>
      <c r="Q899" s="21">
        <f>IF($E$788 =2, Q578, 0)</f>
        <v>0</v>
      </c>
      <c r="R899" s="21">
        <f>IF($E$788 =2, R578, 0)</f>
        <v>0</v>
      </c>
      <c r="S899" s="21">
        <f>IF($E$788 =2, S578, 0)</f>
        <v>0</v>
      </c>
      <c r="T899" s="21">
        <f>IF($E$788 =2, T578, 0)</f>
        <v>0</v>
      </c>
      <c r="U899" s="21">
        <f>IF($E$788 =2, U578, 0)</f>
        <v>0</v>
      </c>
      <c r="V899" s="21">
        <f>IF($E$788 =2, V578, 0)</f>
        <v>0</v>
      </c>
      <c r="W899" s="21">
        <f>IF($E$788 =2, W578, 0)</f>
        <v>0</v>
      </c>
      <c r="X899" s="21">
        <f>IF($E$788 =2, X578, 0)</f>
        <v>0</v>
      </c>
      <c r="Y899" s="21">
        <f>IF($E$788 =2, Y578, 0)</f>
        <v>0</v>
      </c>
      <c r="Z899" s="21">
        <f>IF($E$788 =2, Z578, 0)</f>
        <v>0</v>
      </c>
      <c r="AA899" s="21">
        <f>IF($E$788 =2, AA578, 0)</f>
        <v>0</v>
      </c>
      <c r="AB899" s="21">
        <f>IF($E$788 =2, AB578, 0)</f>
        <v>0</v>
      </c>
      <c r="AC899" s="21">
        <f>IF($E$788 =2, AC578, 0)</f>
        <v>0</v>
      </c>
      <c r="AD899" s="21">
        <f>IF($E$788 =2, AD578, 0)</f>
        <v>0</v>
      </c>
      <c r="AE899" s="21">
        <f>IF($E$788 =2, AE578, 0)</f>
        <v>0</v>
      </c>
      <c r="AF899" s="21">
        <f>IF($E$788 =2, AF578, 0)</f>
        <v>0</v>
      </c>
      <c r="AG899" s="21">
        <f>IF($E$788 =2, AG578, 0)</f>
        <v>0</v>
      </c>
      <c r="AH899" s="21">
        <f>IF($E$788 =2, AH578, 0)</f>
        <v>0</v>
      </c>
      <c r="AI899" s="21">
        <f>IF($E$788 =2, AI578, 0)</f>
        <v>0</v>
      </c>
      <c r="AJ899" s="21">
        <f>IF($E$788 =2, AJ578, 0)</f>
        <v>0</v>
      </c>
      <c r="AK899" s="21">
        <f>IF($E$788 =2, AK578, 0)</f>
        <v>0</v>
      </c>
      <c r="AL899" s="21">
        <f>IF($E$788 =2, AL578, 0)</f>
        <v>0</v>
      </c>
      <c r="AM899" s="21">
        <f>IF($E$788 =2, AM578, 0)</f>
        <v>0</v>
      </c>
      <c r="AN899" s="21">
        <f>IF($E$788 =2, AN578, 0)</f>
        <v>0</v>
      </c>
      <c r="AO899" s="21">
        <f>IF($E$788 =2, AO578, 0)</f>
        <v>0</v>
      </c>
      <c r="AP899" s="21">
        <f>IF($E$788 =2, AP578, 0)</f>
        <v>0</v>
      </c>
      <c r="AQ899" s="21">
        <f>IF($E$788 =2, AQ578, 0)</f>
        <v>0</v>
      </c>
      <c r="AR899" s="21">
        <f>IF($E$788 =2, AR578, 0)</f>
        <v>0</v>
      </c>
      <c r="AS899" s="21">
        <f>IF($E$788 =2, AS578, 0)</f>
        <v>0</v>
      </c>
      <c r="AT899" s="21">
        <f>IF($E$788 =2, AT578, 0)</f>
        <v>0</v>
      </c>
      <c r="AU899" s="21">
        <f>IF($E$788 =2, AU578, 0)</f>
        <v>0</v>
      </c>
      <c r="AV899" s="21">
        <f>IF($E$788 =2, AV578, 0)</f>
        <v>0</v>
      </c>
      <c r="AW899" s="21">
        <f>IF($E$788 =2, AW578, 0)</f>
        <v>0</v>
      </c>
      <c r="AX899" s="21">
        <f>IF($E$788 =2, AX578, 0)</f>
        <v>0</v>
      </c>
      <c r="AY899" s="21">
        <f>IF($E$788 =2, AY578, 0)</f>
        <v>0</v>
      </c>
      <c r="AZ899" s="21">
        <f>IF($E$788 =2, AZ578, 0)</f>
        <v>0</v>
      </c>
      <c r="BA899" s="21">
        <f>IF($E$788 =2, BA578, 0)</f>
        <v>0</v>
      </c>
      <c r="BB899" s="21">
        <f>IF($E$788 =2, BB578, 0)</f>
        <v>0</v>
      </c>
      <c r="BC899" s="21">
        <f>IF($E$788 =2, BC578, 0)</f>
        <v>0</v>
      </c>
      <c r="BD899" s="21">
        <f>IF($E$788 =2, BD578, 0)</f>
        <v>0</v>
      </c>
      <c r="XFD899" s="116"/>
    </row>
    <row r="900" spans="3:56 16384:16384" ht="15" customHeight="1">
      <c r="C900" s="21">
        <f t="shared" si="620"/>
        <v>727.39781169922594</v>
      </c>
      <c r="D900" s="11" t="s">
        <v>576</v>
      </c>
      <c r="E900" s="18" t="s">
        <v>333</v>
      </c>
      <c r="G900" s="21">
        <f>SUM(G893:G894) - SUM(G895:G899)</f>
        <v>0</v>
      </c>
      <c r="H900" s="21">
        <f>SUM(H893:H894) - SUM(H895:H899)</f>
        <v>0</v>
      </c>
      <c r="I900" s="21">
        <f>SUM(I893:I894) - SUM(I895:I899)</f>
        <v>0</v>
      </c>
      <c r="J900" s="21">
        <f>SUM(J893:J894) - SUM(J895:J899)</f>
        <v>0</v>
      </c>
      <c r="K900" s="21">
        <f>SUM(K893:K894) - SUM(K895:K899)</f>
        <v>0</v>
      </c>
      <c r="L900" s="21">
        <f>SUM(L893:L894) - SUM(L895:L899)</f>
        <v>0</v>
      </c>
      <c r="M900" s="21">
        <f>SUM(M893:M894) - SUM(M895:M899)</f>
        <v>5.0178412878112573</v>
      </c>
      <c r="N900" s="21">
        <f>SUM(N893:N894) - SUM(N895:N899)</f>
        <v>25.19463144695289</v>
      </c>
      <c r="O900" s="21">
        <f>SUM(O893:O894) - SUM(O895:O899)</f>
        <v>26.554992462370038</v>
      </c>
      <c r="P900" s="21">
        <f>SUM(P893:P894) - SUM(P895:P899)</f>
        <v>30.050181750654883</v>
      </c>
      <c r="Q900" s="21">
        <f>SUM(Q893:Q894) - SUM(Q895:Q899)</f>
        <v>30.65118538566799</v>
      </c>
      <c r="R900" s="21">
        <f>SUM(R893:R894) - SUM(R895:R899)</f>
        <v>31.264209093381325</v>
      </c>
      <c r="S900" s="21">
        <f>SUM(S893:S894) - SUM(S895:S899)</f>
        <v>31.88949327524897</v>
      </c>
      <c r="T900" s="21">
        <f>SUM(T893:T894) - SUM(T895:T899)</f>
        <v>32.527283140753944</v>
      </c>
      <c r="U900" s="21">
        <f>SUM(U893:U894) - SUM(U895:U899)</f>
        <v>33.177828803569021</v>
      </c>
      <c r="V900" s="21">
        <f>SUM(V893:V894) - SUM(V895:V899)</f>
        <v>33.841385379640393</v>
      </c>
      <c r="W900" s="21">
        <f>SUM(W893:W894) - SUM(W895:W899)</f>
        <v>34.518213087233214</v>
      </c>
      <c r="X900" s="21">
        <f>SUM(X893:X894) - SUM(X895:X899)</f>
        <v>35.20857734897789</v>
      </c>
      <c r="Y900" s="21">
        <f>SUM(Y893:Y894) - SUM(Y895:Y899)</f>
        <v>35.658261382752947</v>
      </c>
      <c r="Z900" s="21">
        <f>SUM(Z893:Z894) - SUM(Z895:Z899)</f>
        <v>36.370822741732582</v>
      </c>
      <c r="AA900" s="21">
        <f>SUM(AA893:AA894) - SUM(AA895:AA899)</f>
        <v>37.096853550214377</v>
      </c>
      <c r="AB900" s="21">
        <f>SUM(AB893:AB894) - SUM(AB895:AB899)</f>
        <v>37.836359477518485</v>
      </c>
      <c r="AC900" s="21">
        <f>SUM(AC893:AC894) - SUM(AC895:AC899)</f>
        <v>38.589196229176522</v>
      </c>
      <c r="AD900" s="21">
        <f>SUM(AD893:AD894) - SUM(AD895:AD899)</f>
        <v>38.922227860889045</v>
      </c>
      <c r="AE900" s="21">
        <f>SUM(AE893:AE894) - SUM(AE895:AE899)</f>
        <v>39.691131757861449</v>
      </c>
      <c r="AF900" s="21">
        <f>SUM(AF893:AF894) - SUM(AF895:AF899)</f>
        <v>40.468923215401901</v>
      </c>
      <c r="AG900" s="21">
        <f>SUM(AG893:AG894) - SUM(AG895:AG899)</f>
        <v>46.420590525150608</v>
      </c>
      <c r="AH900" s="21">
        <f>SUM(AH893:AH894) - SUM(AH895:AH899)</f>
        <v>26.447622496266209</v>
      </c>
      <c r="AI900" s="21">
        <f>SUM(AI893:AI894) - SUM(AI895:AI899)</f>
        <v>0</v>
      </c>
      <c r="AJ900" s="21">
        <f>SUM(AJ893:AJ894) - SUM(AJ895:AJ899)</f>
        <v>0</v>
      </c>
      <c r="AK900" s="21">
        <f>SUM(AK893:AK894) - SUM(AK895:AK899)</f>
        <v>0</v>
      </c>
      <c r="AL900" s="21">
        <f>SUM(AL893:AL894) - SUM(AL895:AL899)</f>
        <v>0</v>
      </c>
      <c r="AM900" s="21">
        <f>SUM(AM893:AM894) - SUM(AM895:AM899)</f>
        <v>0</v>
      </c>
      <c r="AN900" s="21">
        <f>SUM(AN893:AN894) - SUM(AN895:AN899)</f>
        <v>0</v>
      </c>
      <c r="AO900" s="21">
        <f>SUM(AO893:AO894) - SUM(AO895:AO899)</f>
        <v>0</v>
      </c>
      <c r="AP900" s="21">
        <f>SUM(AP893:AP894) - SUM(AP895:AP899)</f>
        <v>0</v>
      </c>
      <c r="AQ900" s="21">
        <f>SUM(AQ893:AQ894) - SUM(AQ895:AQ899)</f>
        <v>0</v>
      </c>
      <c r="AR900" s="21">
        <f>SUM(AR893:AR894) - SUM(AR895:AR899)</f>
        <v>0</v>
      </c>
      <c r="AS900" s="21">
        <f>SUM(AS893:AS894) - SUM(AS895:AS899)</f>
        <v>0</v>
      </c>
      <c r="AT900" s="21">
        <f>SUM(AT893:AT894) - SUM(AT895:AT899)</f>
        <v>0</v>
      </c>
      <c r="AU900" s="21">
        <f>SUM(AU893:AU894) - SUM(AU895:AU899)</f>
        <v>0</v>
      </c>
      <c r="AV900" s="21">
        <f>SUM(AV893:AV894) - SUM(AV895:AV899)</f>
        <v>0</v>
      </c>
      <c r="AW900" s="21">
        <f>SUM(AW893:AW894) - SUM(AW895:AW899)</f>
        <v>0</v>
      </c>
      <c r="AX900" s="21">
        <f>SUM(AX893:AX894) - SUM(AX895:AX899)</f>
        <v>0</v>
      </c>
      <c r="AY900" s="21">
        <f>SUM(AY893:AY894) - SUM(AY895:AY899)</f>
        <v>0</v>
      </c>
      <c r="AZ900" s="21">
        <f>SUM(AZ893:AZ894) - SUM(AZ895:AZ899)</f>
        <v>0</v>
      </c>
      <c r="BA900" s="21">
        <f>SUM(BA893:BA894) - SUM(BA895:BA899)</f>
        <v>0</v>
      </c>
      <c r="BB900" s="21">
        <f>SUM(BB893:BB894) - SUM(BB895:BB899)</f>
        <v>0</v>
      </c>
      <c r="BC900" s="21">
        <f>SUM(BC893:BC894) - SUM(BC895:BC899)</f>
        <v>0</v>
      </c>
      <c r="BD900" s="21">
        <f>SUM(BD893:BD894) - SUM(BD895:BD899)</f>
        <v>0</v>
      </c>
      <c r="XFD900" s="116"/>
    </row>
    <row r="901" spans="3:56 16384:16384" ht="15" customHeight="1"/>
    <row r="902" spans="3:56 16384:16384" ht="15" customHeight="1">
      <c r="D902" s="9" t="s">
        <v>701</v>
      </c>
    </row>
    <row r="903" spans="3:56 16384:16384" ht="15" customHeight="1">
      <c r="C903" s="21">
        <f>SUM(G903:BD903)</f>
        <v>517.43884309972077</v>
      </c>
      <c r="D903" s="11" t="str">
        <f t="shared" ref="D903:D910" si="628">D893</f>
        <v>State shareholder share of equity returns in incorporated JV or revenues in unincorporated JV</v>
      </c>
      <c r="E903" s="18" t="s">
        <v>289</v>
      </c>
      <c r="G903" s="116">
        <f>G893/G$816</f>
        <v>0</v>
      </c>
      <c r="H903" s="116">
        <f>H893/H$816</f>
        <v>0</v>
      </c>
      <c r="I903" s="116">
        <f>I893/I$816</f>
        <v>0</v>
      </c>
      <c r="J903" s="116">
        <f>J893/J$816</f>
        <v>0</v>
      </c>
      <c r="K903" s="116">
        <f>K893/K$816</f>
        <v>0</v>
      </c>
      <c r="L903" s="116">
        <f>L893/L$816</f>
        <v>0</v>
      </c>
      <c r="M903" s="116">
        <f>M893/M$816</f>
        <v>4.4556994639287035</v>
      </c>
      <c r="N903" s="116">
        <f>N893/N$816</f>
        <v>21.933442852571041</v>
      </c>
      <c r="O903" s="116">
        <f>O893/O$816</f>
        <v>22.664430373658821</v>
      </c>
      <c r="P903" s="116">
        <f>P893/P$816</f>
        <v>25.144647820290935</v>
      </c>
      <c r="Q903" s="116">
        <f>Q893/Q$816</f>
        <v>25.144647820290942</v>
      </c>
      <c r="R903" s="116">
        <f>R893/R$816</f>
        <v>25.144647820290928</v>
      </c>
      <c r="S903" s="116">
        <f>S893/S$816</f>
        <v>25.144647820290938</v>
      </c>
      <c r="T903" s="116">
        <f>T893/T$816</f>
        <v>25.144647820290935</v>
      </c>
      <c r="U903" s="116">
        <f>U893/U$816</f>
        <v>25.144647820290931</v>
      </c>
      <c r="V903" s="116">
        <f>V893/V$816</f>
        <v>25.144647820290931</v>
      </c>
      <c r="W903" s="116">
        <f>W893/W$816</f>
        <v>25.144647820290935</v>
      </c>
      <c r="X903" s="116">
        <f>X893/X$816</f>
        <v>25.144647820290942</v>
      </c>
      <c r="Y903" s="116">
        <f>Y893/Y$816</f>
        <v>24.966466002109126</v>
      </c>
      <c r="Z903" s="116">
        <f>Z893/Z$816</f>
        <v>24.966051488075454</v>
      </c>
      <c r="AA903" s="116">
        <f>AA893/AA$816</f>
        <v>24.965118987802153</v>
      </c>
      <c r="AB903" s="116">
        <f>AB893/AB$816</f>
        <v>24.963514977981678</v>
      </c>
      <c r="AC903" s="116">
        <f>AC893/AC$816</f>
        <v>24.960998490885583</v>
      </c>
      <c r="AD903" s="116">
        <f>AD893/AD$816</f>
        <v>24.682761127958038</v>
      </c>
      <c r="AE903" s="116">
        <f>AE893/AE$816</f>
        <v>24.676829494474362</v>
      </c>
      <c r="AF903" s="116">
        <f>AF893/AF$816</f>
        <v>24.667057996826014</v>
      </c>
      <c r="AG903" s="116">
        <f>AG893/AG$816</f>
        <v>27.739983287482197</v>
      </c>
      <c r="AH903" s="116">
        <f>AH893/AH$816</f>
        <v>15.494658173349142</v>
      </c>
      <c r="AI903" s="116">
        <f>AI893/AI$816</f>
        <v>0</v>
      </c>
      <c r="AJ903" s="116">
        <f>AJ893/AJ$816</f>
        <v>0</v>
      </c>
      <c r="AK903" s="116">
        <f>AK893/AK$816</f>
        <v>0</v>
      </c>
      <c r="AL903" s="116">
        <f>AL893/AL$816</f>
        <v>0</v>
      </c>
      <c r="AM903" s="116">
        <f>AM893/AM$816</f>
        <v>0</v>
      </c>
      <c r="AN903" s="116">
        <f>AN893/AN$816</f>
        <v>0</v>
      </c>
      <c r="AO903" s="116">
        <f>AO893/AO$816</f>
        <v>0</v>
      </c>
      <c r="AP903" s="116">
        <f>AP893/AP$816</f>
        <v>0</v>
      </c>
      <c r="AQ903" s="116">
        <f>AQ893/AQ$816</f>
        <v>0</v>
      </c>
      <c r="AR903" s="116">
        <f>AR893/AR$816</f>
        <v>0</v>
      </c>
      <c r="AS903" s="116">
        <f>AS893/AS$816</f>
        <v>0</v>
      </c>
      <c r="AT903" s="116">
        <f>AT893/AT$816</f>
        <v>0</v>
      </c>
      <c r="AU903" s="116">
        <f>AU893/AU$816</f>
        <v>0</v>
      </c>
      <c r="AV903" s="116">
        <f>AV893/AV$816</f>
        <v>0</v>
      </c>
      <c r="AW903" s="116">
        <f>AW893/AW$816</f>
        <v>0</v>
      </c>
      <c r="AX903" s="116">
        <f>AX893/AX$816</f>
        <v>0</v>
      </c>
      <c r="AY903" s="116">
        <f>AY893/AY$816</f>
        <v>0</v>
      </c>
      <c r="AZ903" s="116">
        <f>AZ893/AZ$816</f>
        <v>0</v>
      </c>
      <c r="BA903" s="116">
        <f>BA893/BA$816</f>
        <v>0</v>
      </c>
      <c r="BB903" s="116">
        <f>BB893/BB$816</f>
        <v>0</v>
      </c>
      <c r="BC903" s="116">
        <f>BC893/BC$816</f>
        <v>0</v>
      </c>
      <c r="BD903" s="116">
        <f>BD893/BD$816</f>
        <v>0</v>
      </c>
    </row>
    <row r="904" spans="3:56 16384:16384" ht="15" customHeight="1">
      <c r="C904" s="21">
        <f t="shared" ref="C904" si="629">SUM(G904:BD904)</f>
        <v>0</v>
      </c>
      <c r="D904" s="11" t="str">
        <f t="shared" si="628"/>
        <v>Carry loan from contractor</v>
      </c>
      <c r="E904" s="18" t="s">
        <v>289</v>
      </c>
      <c r="G904" s="116">
        <f>G894/G$816</f>
        <v>0</v>
      </c>
      <c r="H904" s="116">
        <f>H894/H$816</f>
        <v>0</v>
      </c>
      <c r="I904" s="116">
        <f>I894/I$816</f>
        <v>0</v>
      </c>
      <c r="J904" s="116">
        <f>J894/J$816</f>
        <v>0</v>
      </c>
      <c r="K904" s="116">
        <f>K894/K$816</f>
        <v>0</v>
      </c>
      <c r="L904" s="116">
        <f>L894/L$816</f>
        <v>0</v>
      </c>
      <c r="M904" s="116">
        <f>M894/M$816</f>
        <v>0</v>
      </c>
      <c r="N904" s="116">
        <f>N894/N$816</f>
        <v>0</v>
      </c>
      <c r="O904" s="116">
        <f>O894/O$816</f>
        <v>0</v>
      </c>
      <c r="P904" s="116">
        <f>P894/P$816</f>
        <v>0</v>
      </c>
      <c r="Q904" s="116">
        <f>Q894/Q$816</f>
        <v>0</v>
      </c>
      <c r="R904" s="116">
        <f>R894/R$816</f>
        <v>0</v>
      </c>
      <c r="S904" s="116">
        <f>S894/S$816</f>
        <v>0</v>
      </c>
      <c r="T904" s="116">
        <f>T894/T$816</f>
        <v>0</v>
      </c>
      <c r="U904" s="116">
        <f>U894/U$816</f>
        <v>0</v>
      </c>
      <c r="V904" s="116">
        <f>V894/V$816</f>
        <v>0</v>
      </c>
      <c r="W904" s="116">
        <f>W894/W$816</f>
        <v>0</v>
      </c>
      <c r="X904" s="116">
        <f>X894/X$816</f>
        <v>0</v>
      </c>
      <c r="Y904" s="116">
        <f>Y894/Y$816</f>
        <v>0</v>
      </c>
      <c r="Z904" s="116">
        <f>Z894/Z$816</f>
        <v>0</v>
      </c>
      <c r="AA904" s="116">
        <f>AA894/AA$816</f>
        <v>0</v>
      </c>
      <c r="AB904" s="116">
        <f>AB894/AB$816</f>
        <v>0</v>
      </c>
      <c r="AC904" s="116">
        <f>AC894/AC$816</f>
        <v>0</v>
      </c>
      <c r="AD904" s="116">
        <f>AD894/AD$816</f>
        <v>0</v>
      </c>
      <c r="AE904" s="116">
        <f>AE894/AE$816</f>
        <v>0</v>
      </c>
      <c r="AF904" s="116">
        <f>AF894/AF$816</f>
        <v>0</v>
      </c>
      <c r="AG904" s="116">
        <f>AG894/AG$816</f>
        <v>0</v>
      </c>
      <c r="AH904" s="116">
        <f>AH894/AH$816</f>
        <v>0</v>
      </c>
      <c r="AI904" s="116">
        <f>AI894/AI$816</f>
        <v>0</v>
      </c>
      <c r="AJ904" s="116">
        <f>AJ894/AJ$816</f>
        <v>0</v>
      </c>
      <c r="AK904" s="116">
        <f>AK894/AK$816</f>
        <v>0</v>
      </c>
      <c r="AL904" s="116">
        <f>AL894/AL$816</f>
        <v>0</v>
      </c>
      <c r="AM904" s="116">
        <f>AM894/AM$816</f>
        <v>0</v>
      </c>
      <c r="AN904" s="116">
        <f>AN894/AN$816</f>
        <v>0</v>
      </c>
      <c r="AO904" s="116">
        <f>AO894/AO$816</f>
        <v>0</v>
      </c>
      <c r="AP904" s="116">
        <f>AP894/AP$816</f>
        <v>0</v>
      </c>
      <c r="AQ904" s="116">
        <f>AQ894/AQ$816</f>
        <v>0</v>
      </c>
      <c r="AR904" s="116">
        <f>AR894/AR$816</f>
        <v>0</v>
      </c>
      <c r="AS904" s="116">
        <f>AS894/AS$816</f>
        <v>0</v>
      </c>
      <c r="AT904" s="116">
        <f>AT894/AT$816</f>
        <v>0</v>
      </c>
      <c r="AU904" s="116">
        <f>AU894/AU$816</f>
        <v>0</v>
      </c>
      <c r="AV904" s="116">
        <f>AV894/AV$816</f>
        <v>0</v>
      </c>
      <c r="AW904" s="116">
        <f>AW894/AW$816</f>
        <v>0</v>
      </c>
      <c r="AX904" s="116">
        <f>AX894/AX$816</f>
        <v>0</v>
      </c>
      <c r="AY904" s="116">
        <f>AY894/AY$816</f>
        <v>0</v>
      </c>
      <c r="AZ904" s="116">
        <f>AZ894/AZ$816</f>
        <v>0</v>
      </c>
      <c r="BA904" s="116">
        <f>BA894/BA$816</f>
        <v>0</v>
      </c>
      <c r="BB904" s="116">
        <f>BB894/BB$816</f>
        <v>0</v>
      </c>
      <c r="BC904" s="116">
        <f>BC894/BC$816</f>
        <v>0</v>
      </c>
      <c r="BD904" s="116">
        <f>BD894/BD$816</f>
        <v>0</v>
      </c>
    </row>
    <row r="905" spans="3:56 16384:16384" ht="15" customHeight="1">
      <c r="C905" s="21">
        <f>SUM(G905:BD905)</f>
        <v>0</v>
      </c>
      <c r="D905" s="11" t="str">
        <f t="shared" si="628"/>
        <v>Less: Equity contribution in incorporated JV</v>
      </c>
      <c r="E905" s="18" t="s">
        <v>289</v>
      </c>
      <c r="G905" s="116">
        <f>G895/G$816</f>
        <v>0</v>
      </c>
      <c r="H905" s="116">
        <f>H895/H$816</f>
        <v>0</v>
      </c>
      <c r="I905" s="116">
        <f>I895/I$816</f>
        <v>0</v>
      </c>
      <c r="J905" s="116">
        <f>J895/J$816</f>
        <v>0</v>
      </c>
      <c r="K905" s="116">
        <f>K895/K$816</f>
        <v>0</v>
      </c>
      <c r="L905" s="116">
        <f>L895/L$816</f>
        <v>0</v>
      </c>
      <c r="M905" s="116">
        <f>M895/M$816</f>
        <v>0</v>
      </c>
      <c r="N905" s="116">
        <f>N895/N$816</f>
        <v>0</v>
      </c>
      <c r="O905" s="116">
        <f>O895/O$816</f>
        <v>0</v>
      </c>
      <c r="P905" s="116">
        <f>P895/P$816</f>
        <v>0</v>
      </c>
      <c r="Q905" s="116">
        <f>Q895/Q$816</f>
        <v>0</v>
      </c>
      <c r="R905" s="116">
        <f>R895/R$816</f>
        <v>0</v>
      </c>
      <c r="S905" s="116">
        <f>S895/S$816</f>
        <v>0</v>
      </c>
      <c r="T905" s="116">
        <f>T895/T$816</f>
        <v>0</v>
      </c>
      <c r="U905" s="116">
        <f>U895/U$816</f>
        <v>0</v>
      </c>
      <c r="V905" s="116">
        <f>V895/V$816</f>
        <v>0</v>
      </c>
      <c r="W905" s="116">
        <f>W895/W$816</f>
        <v>0</v>
      </c>
      <c r="X905" s="116">
        <f>X895/X$816</f>
        <v>0</v>
      </c>
      <c r="Y905" s="116">
        <f>Y895/Y$816</f>
        <v>0</v>
      </c>
      <c r="Z905" s="116">
        <f>Z895/Z$816</f>
        <v>0</v>
      </c>
      <c r="AA905" s="116">
        <f>AA895/AA$816</f>
        <v>0</v>
      </c>
      <c r="AB905" s="116">
        <f>AB895/AB$816</f>
        <v>0</v>
      </c>
      <c r="AC905" s="116">
        <f>AC895/AC$816</f>
        <v>0</v>
      </c>
      <c r="AD905" s="116">
        <f>AD895/AD$816</f>
        <v>0</v>
      </c>
      <c r="AE905" s="116">
        <f>AE895/AE$816</f>
        <v>0</v>
      </c>
      <c r="AF905" s="116">
        <f>AF895/AF$816</f>
        <v>0</v>
      </c>
      <c r="AG905" s="116">
        <f>AG895/AG$816</f>
        <v>0</v>
      </c>
      <c r="AH905" s="116">
        <f>AH895/AH$816</f>
        <v>0</v>
      </c>
      <c r="AI905" s="116">
        <f>AI895/AI$816</f>
        <v>0</v>
      </c>
      <c r="AJ905" s="116">
        <f>AJ895/AJ$816</f>
        <v>0</v>
      </c>
      <c r="AK905" s="116">
        <f>AK895/AK$816</f>
        <v>0</v>
      </c>
      <c r="AL905" s="116">
        <f>AL895/AL$816</f>
        <v>0</v>
      </c>
      <c r="AM905" s="116">
        <f>AM895/AM$816</f>
        <v>0</v>
      </c>
      <c r="AN905" s="116">
        <f>AN895/AN$816</f>
        <v>0</v>
      </c>
      <c r="AO905" s="116">
        <f>AO895/AO$816</f>
        <v>0</v>
      </c>
      <c r="AP905" s="116">
        <f>AP895/AP$816</f>
        <v>0</v>
      </c>
      <c r="AQ905" s="116">
        <f>AQ895/AQ$816</f>
        <v>0</v>
      </c>
      <c r="AR905" s="116">
        <f>AR895/AR$816</f>
        <v>0</v>
      </c>
      <c r="AS905" s="116">
        <f>AS895/AS$816</f>
        <v>0</v>
      </c>
      <c r="AT905" s="116">
        <f>AT895/AT$816</f>
        <v>0</v>
      </c>
      <c r="AU905" s="116">
        <f>AU895/AU$816</f>
        <v>0</v>
      </c>
      <c r="AV905" s="116">
        <f>AV895/AV$816</f>
        <v>0</v>
      </c>
      <c r="AW905" s="116">
        <f>AW895/AW$816</f>
        <v>0</v>
      </c>
      <c r="AX905" s="116">
        <f>AX895/AX$816</f>
        <v>0</v>
      </c>
      <c r="AY905" s="116">
        <f>AY895/AY$816</f>
        <v>0</v>
      </c>
      <c r="AZ905" s="116">
        <f>AZ895/AZ$816</f>
        <v>0</v>
      </c>
      <c r="BA905" s="116">
        <f>BA895/BA$816</f>
        <v>0</v>
      </c>
      <c r="BB905" s="116">
        <f>BB895/BB$816</f>
        <v>0</v>
      </c>
      <c r="BC905" s="116">
        <f>BC895/BC$816</f>
        <v>0</v>
      </c>
      <c r="BD905" s="116">
        <f>BD895/BD$816</f>
        <v>0</v>
      </c>
    </row>
    <row r="906" spans="3:56 16384:16384" ht="15" customHeight="1">
      <c r="C906" s="21">
        <f>SUM(G906:BD906)</f>
        <v>0</v>
      </c>
      <c r="D906" s="11" t="str">
        <f t="shared" si="628"/>
        <v>Less: Carry loan repayment with unincorporated JV</v>
      </c>
      <c r="E906" s="18" t="s">
        <v>289</v>
      </c>
      <c r="G906" s="116">
        <f>G896/G$816</f>
        <v>0</v>
      </c>
      <c r="H906" s="116">
        <f>H896/H$816</f>
        <v>0</v>
      </c>
      <c r="I906" s="116">
        <f>I896/I$816</f>
        <v>0</v>
      </c>
      <c r="J906" s="116">
        <f>J896/J$816</f>
        <v>0</v>
      </c>
      <c r="K906" s="116">
        <f>K896/K$816</f>
        <v>0</v>
      </c>
      <c r="L906" s="116">
        <f>L896/L$816</f>
        <v>0</v>
      </c>
      <c r="M906" s="116">
        <f>M896/M$816</f>
        <v>0</v>
      </c>
      <c r="N906" s="116">
        <f>N896/N$816</f>
        <v>0</v>
      </c>
      <c r="O906" s="116">
        <f>O896/O$816</f>
        <v>0</v>
      </c>
      <c r="P906" s="116">
        <f>P896/P$816</f>
        <v>0</v>
      </c>
      <c r="Q906" s="116">
        <f>Q896/Q$816</f>
        <v>0</v>
      </c>
      <c r="R906" s="116">
        <f>R896/R$816</f>
        <v>0</v>
      </c>
      <c r="S906" s="116">
        <f>S896/S$816</f>
        <v>0</v>
      </c>
      <c r="T906" s="116">
        <f>T896/T$816</f>
        <v>0</v>
      </c>
      <c r="U906" s="116">
        <f>U896/U$816</f>
        <v>0</v>
      </c>
      <c r="V906" s="116">
        <f>V896/V$816</f>
        <v>0</v>
      </c>
      <c r="W906" s="116">
        <f>W896/W$816</f>
        <v>0</v>
      </c>
      <c r="X906" s="116">
        <f>X896/X$816</f>
        <v>0</v>
      </c>
      <c r="Y906" s="116">
        <f>Y896/Y$816</f>
        <v>0</v>
      </c>
      <c r="Z906" s="116">
        <f>Z896/Z$816</f>
        <v>0</v>
      </c>
      <c r="AA906" s="116">
        <f>AA896/AA$816</f>
        <v>0</v>
      </c>
      <c r="AB906" s="116">
        <f>AB896/AB$816</f>
        <v>0</v>
      </c>
      <c r="AC906" s="116">
        <f>AC896/AC$816</f>
        <v>0</v>
      </c>
      <c r="AD906" s="116">
        <f>AD896/AD$816</f>
        <v>0</v>
      </c>
      <c r="AE906" s="116">
        <f>AE896/AE$816</f>
        <v>0</v>
      </c>
      <c r="AF906" s="116">
        <f>AF896/AF$816</f>
        <v>0</v>
      </c>
      <c r="AG906" s="116">
        <f>AG896/AG$816</f>
        <v>0</v>
      </c>
      <c r="AH906" s="116">
        <f>AH896/AH$816</f>
        <v>0</v>
      </c>
      <c r="AI906" s="116">
        <f>AI896/AI$816</f>
        <v>0</v>
      </c>
      <c r="AJ906" s="116">
        <f>AJ896/AJ$816</f>
        <v>0</v>
      </c>
      <c r="AK906" s="116">
        <f>AK896/AK$816</f>
        <v>0</v>
      </c>
      <c r="AL906" s="116">
        <f>AL896/AL$816</f>
        <v>0</v>
      </c>
      <c r="AM906" s="116">
        <f>AM896/AM$816</f>
        <v>0</v>
      </c>
      <c r="AN906" s="116">
        <f>AN896/AN$816</f>
        <v>0</v>
      </c>
      <c r="AO906" s="116">
        <f>AO896/AO$816</f>
        <v>0</v>
      </c>
      <c r="AP906" s="116">
        <f>AP896/AP$816</f>
        <v>0</v>
      </c>
      <c r="AQ906" s="116">
        <f>AQ896/AQ$816</f>
        <v>0</v>
      </c>
      <c r="AR906" s="116">
        <f>AR896/AR$816</f>
        <v>0</v>
      </c>
      <c r="AS906" s="116">
        <f>AS896/AS$816</f>
        <v>0</v>
      </c>
      <c r="AT906" s="116">
        <f>AT896/AT$816</f>
        <v>0</v>
      </c>
      <c r="AU906" s="116">
        <f>AU896/AU$816</f>
        <v>0</v>
      </c>
      <c r="AV906" s="116">
        <f>AV896/AV$816</f>
        <v>0</v>
      </c>
      <c r="AW906" s="116">
        <f>AW896/AW$816</f>
        <v>0</v>
      </c>
      <c r="AX906" s="116">
        <f>AX896/AX$816</f>
        <v>0</v>
      </c>
      <c r="AY906" s="116">
        <f>AY896/AY$816</f>
        <v>0</v>
      </c>
      <c r="AZ906" s="116">
        <f>AZ896/AZ$816</f>
        <v>0</v>
      </c>
      <c r="BA906" s="116">
        <f>BA896/BA$816</f>
        <v>0</v>
      </c>
      <c r="BB906" s="116">
        <f>BB896/BB$816</f>
        <v>0</v>
      </c>
      <c r="BC906" s="116">
        <f>BC896/BC$816</f>
        <v>0</v>
      </c>
      <c r="BD906" s="116">
        <f>BD896/BD$816</f>
        <v>0</v>
      </c>
    </row>
    <row r="907" spans="3:56 16384:16384" ht="15" customHeight="1">
      <c r="C907" s="21">
        <f t="shared" ref="C907:C910" si="630">SUM(G907:BD907)</f>
        <v>0</v>
      </c>
      <c r="D907" s="11" t="str">
        <f t="shared" si="628"/>
        <v>Less: Project costs in unincorporated JV</v>
      </c>
      <c r="E907" s="18" t="s">
        <v>289</v>
      </c>
      <c r="G907" s="116">
        <f>G897/G$816</f>
        <v>0</v>
      </c>
      <c r="H907" s="116">
        <f>H897/H$816</f>
        <v>0</v>
      </c>
      <c r="I907" s="116">
        <f>I897/I$816</f>
        <v>0</v>
      </c>
      <c r="J907" s="116">
        <f>J897/J$816</f>
        <v>0</v>
      </c>
      <c r="K907" s="116">
        <f>K897/K$816</f>
        <v>0</v>
      </c>
      <c r="L907" s="116">
        <f>L897/L$816</f>
        <v>0</v>
      </c>
      <c r="M907" s="116">
        <f>M897/M$816</f>
        <v>0</v>
      </c>
      <c r="N907" s="116">
        <f>N897/N$816</f>
        <v>0</v>
      </c>
      <c r="O907" s="116">
        <f>O897/O$816</f>
        <v>0</v>
      </c>
      <c r="P907" s="116">
        <f>P897/P$816</f>
        <v>0</v>
      </c>
      <c r="Q907" s="116">
        <f>Q897/Q$816</f>
        <v>0</v>
      </c>
      <c r="R907" s="116">
        <f>R897/R$816</f>
        <v>0</v>
      </c>
      <c r="S907" s="116">
        <f>S897/S$816</f>
        <v>0</v>
      </c>
      <c r="T907" s="116">
        <f>T897/T$816</f>
        <v>0</v>
      </c>
      <c r="U907" s="116">
        <f>U897/U$816</f>
        <v>0</v>
      </c>
      <c r="V907" s="116">
        <f>V897/V$816</f>
        <v>0</v>
      </c>
      <c r="W907" s="116">
        <f>W897/W$816</f>
        <v>0</v>
      </c>
      <c r="X907" s="116">
        <f>X897/X$816</f>
        <v>0</v>
      </c>
      <c r="Y907" s="116">
        <f>Y897/Y$816</f>
        <v>0</v>
      </c>
      <c r="Z907" s="116">
        <f>Z897/Z$816</f>
        <v>0</v>
      </c>
      <c r="AA907" s="116">
        <f>AA897/AA$816</f>
        <v>0</v>
      </c>
      <c r="AB907" s="116">
        <f>AB897/AB$816</f>
        <v>0</v>
      </c>
      <c r="AC907" s="116">
        <f>AC897/AC$816</f>
        <v>0</v>
      </c>
      <c r="AD907" s="116">
        <f>AD897/AD$816</f>
        <v>0</v>
      </c>
      <c r="AE907" s="116">
        <f>AE897/AE$816</f>
        <v>0</v>
      </c>
      <c r="AF907" s="116">
        <f>AF897/AF$816</f>
        <v>0</v>
      </c>
      <c r="AG907" s="116">
        <f>AG897/AG$816</f>
        <v>0</v>
      </c>
      <c r="AH907" s="116">
        <f>AH897/AH$816</f>
        <v>0</v>
      </c>
      <c r="AI907" s="116">
        <f>AI897/AI$816</f>
        <v>0</v>
      </c>
      <c r="AJ907" s="116">
        <f>AJ897/AJ$816</f>
        <v>0</v>
      </c>
      <c r="AK907" s="116">
        <f>AK897/AK$816</f>
        <v>0</v>
      </c>
      <c r="AL907" s="116">
        <f>AL897/AL$816</f>
        <v>0</v>
      </c>
      <c r="AM907" s="116">
        <f>AM897/AM$816</f>
        <v>0</v>
      </c>
      <c r="AN907" s="116">
        <f>AN897/AN$816</f>
        <v>0</v>
      </c>
      <c r="AO907" s="116">
        <f>AO897/AO$816</f>
        <v>0</v>
      </c>
      <c r="AP907" s="116">
        <f>AP897/AP$816</f>
        <v>0</v>
      </c>
      <c r="AQ907" s="116">
        <f>AQ897/AQ$816</f>
        <v>0</v>
      </c>
      <c r="AR907" s="116">
        <f>AR897/AR$816</f>
        <v>0</v>
      </c>
      <c r="AS907" s="116">
        <f>AS897/AS$816</f>
        <v>0</v>
      </c>
      <c r="AT907" s="116">
        <f>AT897/AT$816</f>
        <v>0</v>
      </c>
      <c r="AU907" s="116">
        <f>AU897/AU$816</f>
        <v>0</v>
      </c>
      <c r="AV907" s="116">
        <f>AV897/AV$816</f>
        <v>0</v>
      </c>
      <c r="AW907" s="116">
        <f>AW897/AW$816</f>
        <v>0</v>
      </c>
      <c r="AX907" s="116">
        <f>AX897/AX$816</f>
        <v>0</v>
      </c>
      <c r="AY907" s="116">
        <f>AY897/AY$816</f>
        <v>0</v>
      </c>
      <c r="AZ907" s="116">
        <f>AZ897/AZ$816</f>
        <v>0</v>
      </c>
      <c r="BA907" s="116">
        <f>BA897/BA$816</f>
        <v>0</v>
      </c>
      <c r="BB907" s="116">
        <f>BB897/BB$816</f>
        <v>0</v>
      </c>
      <c r="BC907" s="116">
        <f>BC897/BC$816</f>
        <v>0</v>
      </c>
      <c r="BD907" s="116">
        <f>BD897/BD$816</f>
        <v>0</v>
      </c>
    </row>
    <row r="908" spans="3:56 16384:16384" ht="15" customHeight="1">
      <c r="C908" s="21">
        <f t="shared" si="630"/>
        <v>0</v>
      </c>
      <c r="D908" s="11" t="str">
        <f t="shared" si="628"/>
        <v>Less: Lender net cash flow in unincorporated JV</v>
      </c>
      <c r="E908" s="18" t="s">
        <v>289</v>
      </c>
      <c r="G908" s="116">
        <f>G898/G$816</f>
        <v>0</v>
      </c>
      <c r="H908" s="116">
        <f>H898/H$816</f>
        <v>0</v>
      </c>
      <c r="I908" s="116">
        <f>I898/I$816</f>
        <v>0</v>
      </c>
      <c r="J908" s="116">
        <f>J898/J$816</f>
        <v>0</v>
      </c>
      <c r="K908" s="116">
        <f>K898/K$816</f>
        <v>0</v>
      </c>
      <c r="L908" s="116">
        <f>L898/L$816</f>
        <v>0</v>
      </c>
      <c r="M908" s="116">
        <f>M898/M$816</f>
        <v>0</v>
      </c>
      <c r="N908" s="116">
        <f>N898/N$816</f>
        <v>0</v>
      </c>
      <c r="O908" s="116">
        <f>O898/O$816</f>
        <v>0</v>
      </c>
      <c r="P908" s="116">
        <f>P898/P$816</f>
        <v>0</v>
      </c>
      <c r="Q908" s="116">
        <f>Q898/Q$816</f>
        <v>0</v>
      </c>
      <c r="R908" s="116">
        <f>R898/R$816</f>
        <v>0</v>
      </c>
      <c r="S908" s="116">
        <f>S898/S$816</f>
        <v>0</v>
      </c>
      <c r="T908" s="116">
        <f>T898/T$816</f>
        <v>0</v>
      </c>
      <c r="U908" s="116">
        <f>U898/U$816</f>
        <v>0</v>
      </c>
      <c r="V908" s="116">
        <f>V898/V$816</f>
        <v>0</v>
      </c>
      <c r="W908" s="116">
        <f>W898/W$816</f>
        <v>0</v>
      </c>
      <c r="X908" s="116">
        <f>X898/X$816</f>
        <v>0</v>
      </c>
      <c r="Y908" s="116">
        <f>Y898/Y$816</f>
        <v>0</v>
      </c>
      <c r="Z908" s="116">
        <f>Z898/Z$816</f>
        <v>0</v>
      </c>
      <c r="AA908" s="116">
        <f>AA898/AA$816</f>
        <v>0</v>
      </c>
      <c r="AB908" s="116">
        <f>AB898/AB$816</f>
        <v>0</v>
      </c>
      <c r="AC908" s="116">
        <f>AC898/AC$816</f>
        <v>0</v>
      </c>
      <c r="AD908" s="116">
        <f>AD898/AD$816</f>
        <v>0</v>
      </c>
      <c r="AE908" s="116">
        <f>AE898/AE$816</f>
        <v>0</v>
      </c>
      <c r="AF908" s="116">
        <f>AF898/AF$816</f>
        <v>0</v>
      </c>
      <c r="AG908" s="116">
        <f>AG898/AG$816</f>
        <v>0</v>
      </c>
      <c r="AH908" s="116">
        <f>AH898/AH$816</f>
        <v>0</v>
      </c>
      <c r="AI908" s="116">
        <f>AI898/AI$816</f>
        <v>0</v>
      </c>
      <c r="AJ908" s="116">
        <f>AJ898/AJ$816</f>
        <v>0</v>
      </c>
      <c r="AK908" s="116">
        <f>AK898/AK$816</f>
        <v>0</v>
      </c>
      <c r="AL908" s="116">
        <f>AL898/AL$816</f>
        <v>0</v>
      </c>
      <c r="AM908" s="116">
        <f>AM898/AM$816</f>
        <v>0</v>
      </c>
      <c r="AN908" s="116">
        <f>AN898/AN$816</f>
        <v>0</v>
      </c>
      <c r="AO908" s="116">
        <f>AO898/AO$816</f>
        <v>0</v>
      </c>
      <c r="AP908" s="116">
        <f>AP898/AP$816</f>
        <v>0</v>
      </c>
      <c r="AQ908" s="116">
        <f>AQ898/AQ$816</f>
        <v>0</v>
      </c>
      <c r="AR908" s="116">
        <f>AR898/AR$816</f>
        <v>0</v>
      </c>
      <c r="AS908" s="116">
        <f>AS898/AS$816</f>
        <v>0</v>
      </c>
      <c r="AT908" s="116">
        <f>AT898/AT$816</f>
        <v>0</v>
      </c>
      <c r="AU908" s="116">
        <f>AU898/AU$816</f>
        <v>0</v>
      </c>
      <c r="AV908" s="116">
        <f>AV898/AV$816</f>
        <v>0</v>
      </c>
      <c r="AW908" s="116">
        <f>AW898/AW$816</f>
        <v>0</v>
      </c>
      <c r="AX908" s="116">
        <f>AX898/AX$816</f>
        <v>0</v>
      </c>
      <c r="AY908" s="116">
        <f>AY898/AY$816</f>
        <v>0</v>
      </c>
      <c r="AZ908" s="116">
        <f>AZ898/AZ$816</f>
        <v>0</v>
      </c>
      <c r="BA908" s="116">
        <f>BA898/BA$816</f>
        <v>0</v>
      </c>
      <c r="BB908" s="116">
        <f>BB898/BB$816</f>
        <v>0</v>
      </c>
      <c r="BC908" s="116">
        <f>BC898/BC$816</f>
        <v>0</v>
      </c>
      <c r="BD908" s="116">
        <f>BD898/BD$816</f>
        <v>0</v>
      </c>
    </row>
    <row r="909" spans="3:56 16384:16384" ht="15" customHeight="1">
      <c r="C909" s="21">
        <f t="shared" ref="C909" si="631">SUM(G909:BD909)</f>
        <v>0</v>
      </c>
      <c r="D909" s="11" t="str">
        <f t="shared" si="628"/>
        <v>Less: Government share of loan repayments in unincorporated JV</v>
      </c>
      <c r="E909" s="18" t="s">
        <v>289</v>
      </c>
      <c r="G909" s="116">
        <f>G899/G$816</f>
        <v>0</v>
      </c>
      <c r="H909" s="116">
        <f>H899/H$816</f>
        <v>0</v>
      </c>
      <c r="I909" s="116">
        <f>I899/I$816</f>
        <v>0</v>
      </c>
      <c r="J909" s="116">
        <f>J899/J$816</f>
        <v>0</v>
      </c>
      <c r="K909" s="116">
        <f>K899/K$816</f>
        <v>0</v>
      </c>
      <c r="L909" s="116">
        <f>L899/L$816</f>
        <v>0</v>
      </c>
      <c r="M909" s="116">
        <f>M899/M$816</f>
        <v>0</v>
      </c>
      <c r="N909" s="116">
        <f>N899/N$816</f>
        <v>0</v>
      </c>
      <c r="O909" s="116">
        <f>O899/O$816</f>
        <v>0</v>
      </c>
      <c r="P909" s="116">
        <f>P899/P$816</f>
        <v>0</v>
      </c>
      <c r="Q909" s="116">
        <f>Q899/Q$816</f>
        <v>0</v>
      </c>
      <c r="R909" s="116">
        <f>R899/R$816</f>
        <v>0</v>
      </c>
      <c r="S909" s="116">
        <f>S899/S$816</f>
        <v>0</v>
      </c>
      <c r="T909" s="116">
        <f>T899/T$816</f>
        <v>0</v>
      </c>
      <c r="U909" s="116">
        <f>U899/U$816</f>
        <v>0</v>
      </c>
      <c r="V909" s="116">
        <f>V899/V$816</f>
        <v>0</v>
      </c>
      <c r="W909" s="116">
        <f>W899/W$816</f>
        <v>0</v>
      </c>
      <c r="X909" s="116">
        <f>X899/X$816</f>
        <v>0</v>
      </c>
      <c r="Y909" s="116">
        <f>Y899/Y$816</f>
        <v>0</v>
      </c>
      <c r="Z909" s="116">
        <f>Z899/Z$816</f>
        <v>0</v>
      </c>
      <c r="AA909" s="116">
        <f>AA899/AA$816</f>
        <v>0</v>
      </c>
      <c r="AB909" s="116">
        <f>AB899/AB$816</f>
        <v>0</v>
      </c>
      <c r="AC909" s="116">
        <f>AC899/AC$816</f>
        <v>0</v>
      </c>
      <c r="AD909" s="116">
        <f>AD899/AD$816</f>
        <v>0</v>
      </c>
      <c r="AE909" s="116">
        <f>AE899/AE$816</f>
        <v>0</v>
      </c>
      <c r="AF909" s="116">
        <f>AF899/AF$816</f>
        <v>0</v>
      </c>
      <c r="AG909" s="116">
        <f>AG899/AG$816</f>
        <v>0</v>
      </c>
      <c r="AH909" s="116">
        <f>AH899/AH$816</f>
        <v>0</v>
      </c>
      <c r="AI909" s="116">
        <f>AI899/AI$816</f>
        <v>0</v>
      </c>
      <c r="AJ909" s="116">
        <f>AJ899/AJ$816</f>
        <v>0</v>
      </c>
      <c r="AK909" s="116">
        <f>AK899/AK$816</f>
        <v>0</v>
      </c>
      <c r="AL909" s="116">
        <f>AL899/AL$816</f>
        <v>0</v>
      </c>
      <c r="AM909" s="116">
        <f>AM899/AM$816</f>
        <v>0</v>
      </c>
      <c r="AN909" s="116">
        <f>AN899/AN$816</f>
        <v>0</v>
      </c>
      <c r="AO909" s="116">
        <f>AO899/AO$816</f>
        <v>0</v>
      </c>
      <c r="AP909" s="116">
        <f>AP899/AP$816</f>
        <v>0</v>
      </c>
      <c r="AQ909" s="116">
        <f>AQ899/AQ$816</f>
        <v>0</v>
      </c>
      <c r="AR909" s="116">
        <f>AR899/AR$816</f>
        <v>0</v>
      </c>
      <c r="AS909" s="116">
        <f>AS899/AS$816</f>
        <v>0</v>
      </c>
      <c r="AT909" s="116">
        <f>AT899/AT$816</f>
        <v>0</v>
      </c>
      <c r="AU909" s="116">
        <f>AU899/AU$816</f>
        <v>0</v>
      </c>
      <c r="AV909" s="116">
        <f>AV899/AV$816</f>
        <v>0</v>
      </c>
      <c r="AW909" s="116">
        <f>AW899/AW$816</f>
        <v>0</v>
      </c>
      <c r="AX909" s="116">
        <f>AX899/AX$816</f>
        <v>0</v>
      </c>
      <c r="AY909" s="116">
        <f>AY899/AY$816</f>
        <v>0</v>
      </c>
      <c r="AZ909" s="116">
        <f>AZ899/AZ$816</f>
        <v>0</v>
      </c>
      <c r="BA909" s="116">
        <f>BA899/BA$816</f>
        <v>0</v>
      </c>
      <c r="BB909" s="116">
        <f>BB899/BB$816</f>
        <v>0</v>
      </c>
      <c r="BC909" s="116">
        <f>BC899/BC$816</f>
        <v>0</v>
      </c>
      <c r="BD909" s="116">
        <f>BD899/BD$816</f>
        <v>0</v>
      </c>
      <c r="XFD909" s="116"/>
    </row>
    <row r="910" spans="3:56 16384:16384" ht="15" customHeight="1">
      <c r="C910" s="21">
        <f t="shared" si="630"/>
        <v>517.43884309972077</v>
      </c>
      <c r="D910" s="11" t="str">
        <f t="shared" si="628"/>
        <v>State shareholder cash flow</v>
      </c>
      <c r="E910" s="18" t="s">
        <v>289</v>
      </c>
      <c r="G910" s="21">
        <f t="shared" ref="G910:AL910" si="632">SUM(G903:G904) - SUM(G905:G909)</f>
        <v>0</v>
      </c>
      <c r="H910" s="21">
        <f t="shared" si="632"/>
        <v>0</v>
      </c>
      <c r="I910" s="21">
        <f t="shared" si="632"/>
        <v>0</v>
      </c>
      <c r="J910" s="21">
        <f t="shared" si="632"/>
        <v>0</v>
      </c>
      <c r="K910" s="21">
        <f t="shared" si="632"/>
        <v>0</v>
      </c>
      <c r="L910" s="21">
        <f t="shared" si="632"/>
        <v>0</v>
      </c>
      <c r="M910" s="21">
        <f t="shared" si="632"/>
        <v>4.4556994639287035</v>
      </c>
      <c r="N910" s="21">
        <f t="shared" si="632"/>
        <v>21.933442852571041</v>
      </c>
      <c r="O910" s="21">
        <f t="shared" si="632"/>
        <v>22.664430373658821</v>
      </c>
      <c r="P910" s="21">
        <f t="shared" si="632"/>
        <v>25.144647820290935</v>
      </c>
      <c r="Q910" s="21">
        <f t="shared" si="632"/>
        <v>25.144647820290942</v>
      </c>
      <c r="R910" s="21">
        <f t="shared" si="632"/>
        <v>25.144647820290928</v>
      </c>
      <c r="S910" s="21">
        <f t="shared" si="632"/>
        <v>25.144647820290938</v>
      </c>
      <c r="T910" s="21">
        <f t="shared" si="632"/>
        <v>25.144647820290935</v>
      </c>
      <c r="U910" s="21">
        <f t="shared" si="632"/>
        <v>25.144647820290931</v>
      </c>
      <c r="V910" s="21">
        <f t="shared" si="632"/>
        <v>25.144647820290931</v>
      </c>
      <c r="W910" s="21">
        <f t="shared" si="632"/>
        <v>25.144647820290935</v>
      </c>
      <c r="X910" s="21">
        <f t="shared" si="632"/>
        <v>25.144647820290942</v>
      </c>
      <c r="Y910" s="21">
        <f t="shared" si="632"/>
        <v>24.966466002109126</v>
      </c>
      <c r="Z910" s="21">
        <f t="shared" si="632"/>
        <v>24.966051488075454</v>
      </c>
      <c r="AA910" s="21">
        <f t="shared" si="632"/>
        <v>24.965118987802153</v>
      </c>
      <c r="AB910" s="21">
        <f t="shared" si="632"/>
        <v>24.963514977981678</v>
      </c>
      <c r="AC910" s="21">
        <f t="shared" si="632"/>
        <v>24.960998490885583</v>
      </c>
      <c r="AD910" s="21">
        <f t="shared" si="632"/>
        <v>24.682761127958038</v>
      </c>
      <c r="AE910" s="21">
        <f t="shared" si="632"/>
        <v>24.676829494474362</v>
      </c>
      <c r="AF910" s="21">
        <f t="shared" si="632"/>
        <v>24.667057996826014</v>
      </c>
      <c r="AG910" s="21">
        <f t="shared" si="632"/>
        <v>27.739983287482197</v>
      </c>
      <c r="AH910" s="21">
        <f t="shared" si="632"/>
        <v>15.494658173349142</v>
      </c>
      <c r="AI910" s="21">
        <f t="shared" si="632"/>
        <v>0</v>
      </c>
      <c r="AJ910" s="21">
        <f t="shared" si="632"/>
        <v>0</v>
      </c>
      <c r="AK910" s="21">
        <f t="shared" si="632"/>
        <v>0</v>
      </c>
      <c r="AL910" s="21">
        <f t="shared" si="632"/>
        <v>0</v>
      </c>
      <c r="AM910" s="21">
        <f t="shared" ref="AM910:BD910" si="633">SUM(AM903:AM904) - SUM(AM905:AM909)</f>
        <v>0</v>
      </c>
      <c r="AN910" s="21">
        <f t="shared" si="633"/>
        <v>0</v>
      </c>
      <c r="AO910" s="21">
        <f t="shared" si="633"/>
        <v>0</v>
      </c>
      <c r="AP910" s="21">
        <f t="shared" si="633"/>
        <v>0</v>
      </c>
      <c r="AQ910" s="21">
        <f t="shared" si="633"/>
        <v>0</v>
      </c>
      <c r="AR910" s="21">
        <f t="shared" si="633"/>
        <v>0</v>
      </c>
      <c r="AS910" s="21">
        <f t="shared" si="633"/>
        <v>0</v>
      </c>
      <c r="AT910" s="21">
        <f t="shared" si="633"/>
        <v>0</v>
      </c>
      <c r="AU910" s="21">
        <f t="shared" si="633"/>
        <v>0</v>
      </c>
      <c r="AV910" s="21">
        <f t="shared" si="633"/>
        <v>0</v>
      </c>
      <c r="AW910" s="21">
        <f t="shared" si="633"/>
        <v>0</v>
      </c>
      <c r="AX910" s="21">
        <f t="shared" si="633"/>
        <v>0</v>
      </c>
      <c r="AY910" s="21">
        <f t="shared" si="633"/>
        <v>0</v>
      </c>
      <c r="AZ910" s="21">
        <f t="shared" si="633"/>
        <v>0</v>
      </c>
      <c r="BA910" s="21">
        <f t="shared" si="633"/>
        <v>0</v>
      </c>
      <c r="BB910" s="21">
        <f t="shared" si="633"/>
        <v>0</v>
      </c>
      <c r="BC910" s="21">
        <f t="shared" si="633"/>
        <v>0</v>
      </c>
      <c r="BD910" s="21">
        <f t="shared" si="633"/>
        <v>0</v>
      </c>
    </row>
    <row r="911" spans="3:56 16384:16384" ht="15" customHeight="1">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c r="AB911" s="14"/>
      <c r="AC911" s="14"/>
      <c r="AD911" s="14"/>
      <c r="AE911" s="14"/>
      <c r="AF911" s="14"/>
      <c r="AG911" s="14"/>
      <c r="AH911" s="14"/>
      <c r="AI911" s="14"/>
      <c r="AJ911" s="14"/>
      <c r="AK911" s="14"/>
      <c r="AL911" s="14"/>
      <c r="AM911" s="14"/>
      <c r="AN911" s="14"/>
      <c r="AO911" s="14"/>
      <c r="AP911" s="14"/>
      <c r="AQ911" s="14"/>
      <c r="AR911" s="14"/>
      <c r="AS911" s="14"/>
      <c r="AT911" s="14"/>
      <c r="AU911" s="14"/>
      <c r="AV911" s="14"/>
      <c r="AW911" s="14"/>
      <c r="AX911" s="14"/>
      <c r="AY911" s="14"/>
      <c r="AZ911" s="14"/>
      <c r="BA911" s="14"/>
      <c r="BB911" s="14"/>
      <c r="BC911" s="14"/>
      <c r="BD911" s="14"/>
    </row>
    <row r="912" spans="3:56 16384:16384" ht="15" customHeight="1">
      <c r="D912" s="9" t="s">
        <v>702</v>
      </c>
    </row>
    <row r="913" spans="1:56" ht="15" customHeight="1">
      <c r="C913" s="21">
        <f t="shared" ref="C913:C917" si="634">SUM(G913:BD913)</f>
        <v>8103.8960573885061</v>
      </c>
      <c r="D913" s="11" t="s">
        <v>703</v>
      </c>
      <c r="E913" s="18" t="s">
        <v>333</v>
      </c>
      <c r="G913" s="19">
        <f t="shared" ref="G913:AL913" si="635">G866+G807+(G101-G610)+(G900-G861)</f>
        <v>-20</v>
      </c>
      <c r="H913" s="19">
        <f t="shared" si="635"/>
        <v>-20.399999999999999</v>
      </c>
      <c r="I913" s="19">
        <f t="shared" si="635"/>
        <v>-78.03</v>
      </c>
      <c r="J913" s="19">
        <f t="shared" si="635"/>
        <v>-318.36239999999998</v>
      </c>
      <c r="K913" s="19">
        <f t="shared" si="635"/>
        <v>64.458835128000018</v>
      </c>
      <c r="L913" s="19">
        <f t="shared" si="635"/>
        <v>302.46293603664009</v>
      </c>
      <c r="M913" s="19">
        <f t="shared" si="635"/>
        <v>308.51219475737287</v>
      </c>
      <c r="N913" s="19">
        <f t="shared" si="635"/>
        <v>314.68243865252015</v>
      </c>
      <c r="O913" s="19">
        <f t="shared" si="635"/>
        <v>320.9760874255706</v>
      </c>
      <c r="P913" s="19">
        <f t="shared" si="635"/>
        <v>327.3956091740821</v>
      </c>
      <c r="Q913" s="19">
        <f t="shared" si="635"/>
        <v>333.9435213575639</v>
      </c>
      <c r="R913" s="19">
        <f t="shared" si="635"/>
        <v>340.62239178471498</v>
      </c>
      <c r="S913" s="19">
        <f t="shared" si="635"/>
        <v>347.43483962040932</v>
      </c>
      <c r="T913" s="19">
        <f t="shared" si="635"/>
        <v>354.38353641281753</v>
      </c>
      <c r="U913" s="19">
        <f t="shared" si="635"/>
        <v>361.47120714107382</v>
      </c>
      <c r="V913" s="19">
        <f t="shared" si="635"/>
        <v>368.70063128389523</v>
      </c>
      <c r="W913" s="19">
        <f t="shared" si="635"/>
        <v>376.0746439095733</v>
      </c>
      <c r="X913" s="19">
        <f t="shared" si="635"/>
        <v>383.59613678776481</v>
      </c>
      <c r="Y913" s="19">
        <f t="shared" si="635"/>
        <v>388.9958495841941</v>
      </c>
      <c r="Z913" s="19">
        <f t="shared" si="635"/>
        <v>396.77037489127605</v>
      </c>
      <c r="AA913" s="19">
        <f t="shared" si="635"/>
        <v>404.69341054666546</v>
      </c>
      <c r="AB913" s="19">
        <f t="shared" si="635"/>
        <v>412.76557211741851</v>
      </c>
      <c r="AC913" s="19">
        <f t="shared" si="635"/>
        <v>420.9861475071566</v>
      </c>
      <c r="AD913" s="19">
        <f t="shared" si="635"/>
        <v>425.48843927095163</v>
      </c>
      <c r="AE913" s="19">
        <f t="shared" si="635"/>
        <v>433.91302358989412</v>
      </c>
      <c r="AF913" s="19">
        <f t="shared" si="635"/>
        <v>442.44814854725655</v>
      </c>
      <c r="AG913" s="19">
        <f t="shared" si="635"/>
        <v>484.48047412544304</v>
      </c>
      <c r="AH913" s="19">
        <f t="shared" si="635"/>
        <v>225.9440736792433</v>
      </c>
      <c r="AI913" s="19">
        <f t="shared" si="635"/>
        <v>-0.51206594299233643</v>
      </c>
      <c r="AJ913" s="19">
        <f t="shared" si="635"/>
        <v>0</v>
      </c>
      <c r="AK913" s="19">
        <f t="shared" si="635"/>
        <v>0</v>
      </c>
      <c r="AL913" s="19">
        <f t="shared" si="635"/>
        <v>0</v>
      </c>
      <c r="AM913" s="19">
        <f t="shared" ref="AM913:BD913" si="636">AM866+AM807+(AM101-AM610)+(AM900-AM861)</f>
        <v>0</v>
      </c>
      <c r="AN913" s="19">
        <f t="shared" si="636"/>
        <v>0</v>
      </c>
      <c r="AO913" s="19">
        <f t="shared" si="636"/>
        <v>0</v>
      </c>
      <c r="AP913" s="19">
        <f t="shared" si="636"/>
        <v>0</v>
      </c>
      <c r="AQ913" s="19">
        <f t="shared" si="636"/>
        <v>0</v>
      </c>
      <c r="AR913" s="19">
        <f t="shared" si="636"/>
        <v>0</v>
      </c>
      <c r="AS913" s="19">
        <f t="shared" si="636"/>
        <v>0</v>
      </c>
      <c r="AT913" s="19">
        <f t="shared" si="636"/>
        <v>0</v>
      </c>
      <c r="AU913" s="19">
        <f t="shared" si="636"/>
        <v>0</v>
      </c>
      <c r="AV913" s="19">
        <f t="shared" si="636"/>
        <v>0</v>
      </c>
      <c r="AW913" s="19">
        <f t="shared" si="636"/>
        <v>0</v>
      </c>
      <c r="AX913" s="19">
        <f t="shared" si="636"/>
        <v>0</v>
      </c>
      <c r="AY913" s="19">
        <f t="shared" si="636"/>
        <v>0</v>
      </c>
      <c r="AZ913" s="19">
        <f t="shared" si="636"/>
        <v>0</v>
      </c>
      <c r="BA913" s="19">
        <f t="shared" si="636"/>
        <v>0</v>
      </c>
      <c r="BB913" s="19">
        <f t="shared" si="636"/>
        <v>0</v>
      </c>
      <c r="BC913" s="19">
        <f t="shared" si="636"/>
        <v>0</v>
      </c>
      <c r="BD913" s="19">
        <f t="shared" si="636"/>
        <v>0</v>
      </c>
    </row>
    <row r="914" spans="1:56" ht="15" customHeight="1">
      <c r="C914" s="21">
        <f t="shared" si="634"/>
        <v>0</v>
      </c>
      <c r="D914" s="11" t="s">
        <v>679</v>
      </c>
      <c r="E914" s="18" t="s">
        <v>333</v>
      </c>
      <c r="G914" s="19">
        <f t="shared" ref="G914:AL914" si="637">G813</f>
        <v>0</v>
      </c>
      <c r="H914" s="19">
        <f t="shared" si="637"/>
        <v>0</v>
      </c>
      <c r="I914" s="19">
        <f t="shared" si="637"/>
        <v>0</v>
      </c>
      <c r="J914" s="19">
        <f t="shared" si="637"/>
        <v>0</v>
      </c>
      <c r="K914" s="19">
        <f t="shared" si="637"/>
        <v>0</v>
      </c>
      <c r="L914" s="19">
        <f t="shared" si="637"/>
        <v>0</v>
      </c>
      <c r="M914" s="19">
        <f t="shared" si="637"/>
        <v>0</v>
      </c>
      <c r="N914" s="19">
        <f t="shared" si="637"/>
        <v>0</v>
      </c>
      <c r="O914" s="19">
        <f t="shared" si="637"/>
        <v>0</v>
      </c>
      <c r="P914" s="19">
        <f t="shared" si="637"/>
        <v>0</v>
      </c>
      <c r="Q914" s="19">
        <f t="shared" si="637"/>
        <v>0</v>
      </c>
      <c r="R914" s="19">
        <f t="shared" si="637"/>
        <v>0</v>
      </c>
      <c r="S914" s="19">
        <f t="shared" si="637"/>
        <v>0</v>
      </c>
      <c r="T914" s="19">
        <f t="shared" si="637"/>
        <v>0</v>
      </c>
      <c r="U914" s="19">
        <f t="shared" si="637"/>
        <v>0</v>
      </c>
      <c r="V914" s="19">
        <f t="shared" si="637"/>
        <v>0</v>
      </c>
      <c r="W914" s="19">
        <f t="shared" si="637"/>
        <v>0</v>
      </c>
      <c r="X914" s="19">
        <f t="shared" si="637"/>
        <v>0</v>
      </c>
      <c r="Y914" s="19">
        <f t="shared" si="637"/>
        <v>2.2722099393258888</v>
      </c>
      <c r="Z914" s="19">
        <f t="shared" si="637"/>
        <v>2.3230458227141964</v>
      </c>
      <c r="AA914" s="19">
        <f t="shared" si="637"/>
        <v>2.3818785816047425</v>
      </c>
      <c r="AB914" s="19">
        <f t="shared" si="637"/>
        <v>2.4512227934170654</v>
      </c>
      <c r="AC914" s="19">
        <f t="shared" si="637"/>
        <v>2.5349833018956347</v>
      </c>
      <c r="AD914" s="19">
        <f t="shared" si="637"/>
        <v>2.6397109570127104</v>
      </c>
      <c r="AE914" s="19">
        <f t="shared" si="637"/>
        <v>2.7776896426294577</v>
      </c>
      <c r="AF914" s="19">
        <f t="shared" si="637"/>
        <v>2.9763789499175735</v>
      </c>
      <c r="AG914" s="19">
        <f t="shared" si="637"/>
        <v>3.3209062087551691</v>
      </c>
      <c r="AH914" s="19">
        <f t="shared" si="637"/>
        <v>1.9252709523441318</v>
      </c>
      <c r="AI914" s="19">
        <f t="shared" si="637"/>
        <v>-25.603297149616569</v>
      </c>
      <c r="AJ914" s="19">
        <f t="shared" si="637"/>
        <v>0</v>
      </c>
      <c r="AK914" s="19">
        <f t="shared" si="637"/>
        <v>0</v>
      </c>
      <c r="AL914" s="19">
        <f t="shared" si="637"/>
        <v>0</v>
      </c>
      <c r="AM914" s="19">
        <f t="shared" ref="AM914:BD914" si="638">AM813</f>
        <v>0</v>
      </c>
      <c r="AN914" s="19">
        <f t="shared" si="638"/>
        <v>0</v>
      </c>
      <c r="AO914" s="19">
        <f t="shared" si="638"/>
        <v>0</v>
      </c>
      <c r="AP914" s="19">
        <f t="shared" si="638"/>
        <v>0</v>
      </c>
      <c r="AQ914" s="19">
        <f t="shared" si="638"/>
        <v>0</v>
      </c>
      <c r="AR914" s="19">
        <f t="shared" si="638"/>
        <v>0</v>
      </c>
      <c r="AS914" s="19">
        <f t="shared" si="638"/>
        <v>0</v>
      </c>
      <c r="AT914" s="19">
        <f t="shared" si="638"/>
        <v>0</v>
      </c>
      <c r="AU914" s="19">
        <f t="shared" si="638"/>
        <v>0</v>
      </c>
      <c r="AV914" s="19">
        <f t="shared" si="638"/>
        <v>0</v>
      </c>
      <c r="AW914" s="19">
        <f t="shared" si="638"/>
        <v>0</v>
      </c>
      <c r="AX914" s="19">
        <f t="shared" si="638"/>
        <v>0</v>
      </c>
      <c r="AY914" s="19">
        <f t="shared" si="638"/>
        <v>0</v>
      </c>
      <c r="AZ914" s="19">
        <f t="shared" si="638"/>
        <v>0</v>
      </c>
      <c r="BA914" s="19">
        <f t="shared" si="638"/>
        <v>0</v>
      </c>
      <c r="BB914" s="19">
        <f t="shared" si="638"/>
        <v>0</v>
      </c>
      <c r="BC914" s="19">
        <f t="shared" si="638"/>
        <v>0</v>
      </c>
      <c r="BD914" s="19">
        <f t="shared" si="638"/>
        <v>0</v>
      </c>
    </row>
    <row r="915" spans="1:56" ht="15" customHeight="1">
      <c r="C915" s="21">
        <f t="shared" si="634"/>
        <v>8103.8960573885042</v>
      </c>
      <c r="D915" s="11" t="s">
        <v>704</v>
      </c>
      <c r="E915" s="18" t="s">
        <v>333</v>
      </c>
      <c r="G915" s="19">
        <f>G913+G914</f>
        <v>-20</v>
      </c>
      <c r="H915" s="19">
        <f t="shared" ref="H915:BD915" si="639">H913+H914</f>
        <v>-20.399999999999999</v>
      </c>
      <c r="I915" s="19">
        <f t="shared" si="639"/>
        <v>-78.03</v>
      </c>
      <c r="J915" s="19">
        <f t="shared" si="639"/>
        <v>-318.36239999999998</v>
      </c>
      <c r="K915" s="19">
        <f t="shared" si="639"/>
        <v>64.458835128000018</v>
      </c>
      <c r="L915" s="19">
        <f t="shared" si="639"/>
        <v>302.46293603664009</v>
      </c>
      <c r="M915" s="19">
        <f t="shared" si="639"/>
        <v>308.51219475737287</v>
      </c>
      <c r="N915" s="19">
        <f t="shared" si="639"/>
        <v>314.68243865252015</v>
      </c>
      <c r="O915" s="19">
        <f t="shared" si="639"/>
        <v>320.9760874255706</v>
      </c>
      <c r="P915" s="19">
        <f t="shared" si="639"/>
        <v>327.3956091740821</v>
      </c>
      <c r="Q915" s="19">
        <f t="shared" si="639"/>
        <v>333.9435213575639</v>
      </c>
      <c r="R915" s="19">
        <f t="shared" si="639"/>
        <v>340.62239178471498</v>
      </c>
      <c r="S915" s="19">
        <f t="shared" si="639"/>
        <v>347.43483962040932</v>
      </c>
      <c r="T915" s="19">
        <f t="shared" si="639"/>
        <v>354.38353641281753</v>
      </c>
      <c r="U915" s="19">
        <f t="shared" si="639"/>
        <v>361.47120714107382</v>
      </c>
      <c r="V915" s="19">
        <f t="shared" si="639"/>
        <v>368.70063128389523</v>
      </c>
      <c r="W915" s="19">
        <f t="shared" si="639"/>
        <v>376.0746439095733</v>
      </c>
      <c r="X915" s="19">
        <f t="shared" si="639"/>
        <v>383.59613678776481</v>
      </c>
      <c r="Y915" s="19">
        <f t="shared" si="639"/>
        <v>391.26805952351998</v>
      </c>
      <c r="Z915" s="19">
        <f t="shared" si="639"/>
        <v>399.09342071399027</v>
      </c>
      <c r="AA915" s="19">
        <f t="shared" si="639"/>
        <v>407.07528912827019</v>
      </c>
      <c r="AB915" s="19">
        <f t="shared" si="639"/>
        <v>415.21679491083557</v>
      </c>
      <c r="AC915" s="19">
        <f t="shared" si="639"/>
        <v>423.52113080905224</v>
      </c>
      <c r="AD915" s="19">
        <f t="shared" si="639"/>
        <v>428.12815022796434</v>
      </c>
      <c r="AE915" s="19">
        <f t="shared" si="639"/>
        <v>436.69071323252359</v>
      </c>
      <c r="AF915" s="19">
        <f t="shared" si="639"/>
        <v>445.4245274971741</v>
      </c>
      <c r="AG915" s="19">
        <f t="shared" si="639"/>
        <v>487.8013803341982</v>
      </c>
      <c r="AH915" s="19">
        <f t="shared" si="639"/>
        <v>227.86934463158744</v>
      </c>
      <c r="AI915" s="19">
        <f t="shared" si="639"/>
        <v>-26.115363092608906</v>
      </c>
      <c r="AJ915" s="19">
        <f t="shared" si="639"/>
        <v>0</v>
      </c>
      <c r="AK915" s="19">
        <f t="shared" si="639"/>
        <v>0</v>
      </c>
      <c r="AL915" s="19">
        <f t="shared" si="639"/>
        <v>0</v>
      </c>
      <c r="AM915" s="19">
        <f t="shared" si="639"/>
        <v>0</v>
      </c>
      <c r="AN915" s="19">
        <f t="shared" si="639"/>
        <v>0</v>
      </c>
      <c r="AO915" s="19">
        <f t="shared" si="639"/>
        <v>0</v>
      </c>
      <c r="AP915" s="19">
        <f t="shared" si="639"/>
        <v>0</v>
      </c>
      <c r="AQ915" s="19">
        <f t="shared" si="639"/>
        <v>0</v>
      </c>
      <c r="AR915" s="19">
        <f t="shared" si="639"/>
        <v>0</v>
      </c>
      <c r="AS915" s="19">
        <f t="shared" si="639"/>
        <v>0</v>
      </c>
      <c r="AT915" s="19">
        <f t="shared" si="639"/>
        <v>0</v>
      </c>
      <c r="AU915" s="19">
        <f t="shared" si="639"/>
        <v>0</v>
      </c>
      <c r="AV915" s="19">
        <f t="shared" si="639"/>
        <v>0</v>
      </c>
      <c r="AW915" s="19">
        <f t="shared" si="639"/>
        <v>0</v>
      </c>
      <c r="AX915" s="19">
        <f t="shared" si="639"/>
        <v>0</v>
      </c>
      <c r="AY915" s="19">
        <f t="shared" si="639"/>
        <v>0</v>
      </c>
      <c r="AZ915" s="19">
        <f t="shared" si="639"/>
        <v>0</v>
      </c>
      <c r="BA915" s="19">
        <f t="shared" si="639"/>
        <v>0</v>
      </c>
      <c r="BB915" s="19">
        <f t="shared" si="639"/>
        <v>0</v>
      </c>
      <c r="BC915" s="19">
        <f t="shared" si="639"/>
        <v>0</v>
      </c>
      <c r="BD915" s="19">
        <f t="shared" si="639"/>
        <v>0</v>
      </c>
    </row>
    <row r="916" spans="1:56" ht="15" customHeight="1">
      <c r="C916" s="21">
        <f t="shared" si="634"/>
        <v>8103.8960573885061</v>
      </c>
      <c r="D916" s="11" t="s">
        <v>705</v>
      </c>
      <c r="E916" s="18" t="s">
        <v>333</v>
      </c>
      <c r="G916" s="19">
        <f t="shared" ref="G916:AL916" si="640">G59</f>
        <v>-20</v>
      </c>
      <c r="H916" s="19">
        <f t="shared" si="640"/>
        <v>-20.399999999999999</v>
      </c>
      <c r="I916" s="19">
        <f t="shared" si="640"/>
        <v>-78.03</v>
      </c>
      <c r="J916" s="19">
        <f t="shared" si="640"/>
        <v>-318.36239999999998</v>
      </c>
      <c r="K916" s="19">
        <f t="shared" si="640"/>
        <v>64.458835128000032</v>
      </c>
      <c r="L916" s="19">
        <f t="shared" si="640"/>
        <v>302.46293603664009</v>
      </c>
      <c r="M916" s="19">
        <f t="shared" si="640"/>
        <v>308.51219475737287</v>
      </c>
      <c r="N916" s="19">
        <f t="shared" si="640"/>
        <v>314.6824386525202</v>
      </c>
      <c r="O916" s="19">
        <f t="shared" si="640"/>
        <v>320.97608742557065</v>
      </c>
      <c r="P916" s="19">
        <f t="shared" si="640"/>
        <v>327.3956091740821</v>
      </c>
      <c r="Q916" s="19">
        <f t="shared" si="640"/>
        <v>333.94352135756378</v>
      </c>
      <c r="R916" s="19">
        <f t="shared" si="640"/>
        <v>340.62239178471492</v>
      </c>
      <c r="S916" s="19">
        <f t="shared" si="640"/>
        <v>347.43483962040932</v>
      </c>
      <c r="T916" s="19">
        <f t="shared" si="640"/>
        <v>354.38353641281753</v>
      </c>
      <c r="U916" s="19">
        <f t="shared" si="640"/>
        <v>361.47120714107388</v>
      </c>
      <c r="V916" s="19">
        <f t="shared" si="640"/>
        <v>368.70063128389523</v>
      </c>
      <c r="W916" s="19">
        <f t="shared" si="640"/>
        <v>376.07464390957324</v>
      </c>
      <c r="X916" s="19">
        <f t="shared" si="640"/>
        <v>383.59613678776475</v>
      </c>
      <c r="Y916" s="19">
        <f t="shared" si="640"/>
        <v>391.26805952351998</v>
      </c>
      <c r="Z916" s="19">
        <f t="shared" si="640"/>
        <v>399.09342071399033</v>
      </c>
      <c r="AA916" s="19">
        <f t="shared" si="640"/>
        <v>407.07528912827019</v>
      </c>
      <c r="AB916" s="19">
        <f t="shared" si="640"/>
        <v>415.21679491083563</v>
      </c>
      <c r="AC916" s="19">
        <f t="shared" si="640"/>
        <v>423.52113080905235</v>
      </c>
      <c r="AD916" s="19">
        <f t="shared" si="640"/>
        <v>428.12815022796428</v>
      </c>
      <c r="AE916" s="19">
        <f t="shared" si="640"/>
        <v>436.69071323252354</v>
      </c>
      <c r="AF916" s="19">
        <f t="shared" si="640"/>
        <v>445.42452749717404</v>
      </c>
      <c r="AG916" s="19">
        <f t="shared" si="640"/>
        <v>487.80138033419814</v>
      </c>
      <c r="AH916" s="19">
        <f t="shared" si="640"/>
        <v>227.86934463158744</v>
      </c>
      <c r="AI916" s="19">
        <f t="shared" si="640"/>
        <v>-26.115363092608906</v>
      </c>
      <c r="AJ916" s="19">
        <f t="shared" si="640"/>
        <v>0</v>
      </c>
      <c r="AK916" s="19">
        <f t="shared" si="640"/>
        <v>0</v>
      </c>
      <c r="AL916" s="19">
        <f t="shared" si="640"/>
        <v>0</v>
      </c>
      <c r="AM916" s="19">
        <f t="shared" ref="AM916:BD916" si="641">AM59</f>
        <v>0</v>
      </c>
      <c r="AN916" s="19">
        <f t="shared" si="641"/>
        <v>0</v>
      </c>
      <c r="AO916" s="19">
        <f t="shared" si="641"/>
        <v>0</v>
      </c>
      <c r="AP916" s="19">
        <f t="shared" si="641"/>
        <v>0</v>
      </c>
      <c r="AQ916" s="19">
        <f t="shared" si="641"/>
        <v>0</v>
      </c>
      <c r="AR916" s="19">
        <f t="shared" si="641"/>
        <v>0</v>
      </c>
      <c r="AS916" s="19">
        <f t="shared" si="641"/>
        <v>0</v>
      </c>
      <c r="AT916" s="19">
        <f t="shared" si="641"/>
        <v>0</v>
      </c>
      <c r="AU916" s="19">
        <f t="shared" si="641"/>
        <v>0</v>
      </c>
      <c r="AV916" s="19">
        <f t="shared" si="641"/>
        <v>0</v>
      </c>
      <c r="AW916" s="19">
        <f t="shared" si="641"/>
        <v>0</v>
      </c>
      <c r="AX916" s="19">
        <f t="shared" si="641"/>
        <v>0</v>
      </c>
      <c r="AY916" s="19">
        <f t="shared" si="641"/>
        <v>0</v>
      </c>
      <c r="AZ916" s="19">
        <f t="shared" si="641"/>
        <v>0</v>
      </c>
      <c r="BA916" s="19">
        <f t="shared" si="641"/>
        <v>0</v>
      </c>
      <c r="BB916" s="19">
        <f t="shared" si="641"/>
        <v>0</v>
      </c>
      <c r="BC916" s="19">
        <f t="shared" si="641"/>
        <v>0</v>
      </c>
      <c r="BD916" s="19">
        <f t="shared" si="641"/>
        <v>0</v>
      </c>
    </row>
    <row r="917" spans="1:56" ht="15" customHeight="1">
      <c r="A917" s="26" t="b">
        <f>ROUND(C917,5)=0</f>
        <v>1</v>
      </c>
      <c r="C917" s="21">
        <f t="shared" si="634"/>
        <v>0</v>
      </c>
      <c r="D917" s="11" t="s">
        <v>706</v>
      </c>
      <c r="G917" s="19">
        <f>G915-G916</f>
        <v>0</v>
      </c>
      <c r="H917" s="19">
        <f t="shared" ref="H917:AL917" si="642">H915-H916</f>
        <v>0</v>
      </c>
      <c r="I917" s="19">
        <f t="shared" si="642"/>
        <v>0</v>
      </c>
      <c r="J917" s="19">
        <f t="shared" si="642"/>
        <v>0</v>
      </c>
      <c r="K917" s="19">
        <f t="shared" si="642"/>
        <v>0</v>
      </c>
      <c r="L917" s="19">
        <f t="shared" si="642"/>
        <v>0</v>
      </c>
      <c r="M917" s="19">
        <f t="shared" si="642"/>
        <v>0</v>
      </c>
      <c r="N917" s="19">
        <f t="shared" si="642"/>
        <v>0</v>
      </c>
      <c r="O917" s="19">
        <f t="shared" si="642"/>
        <v>0</v>
      </c>
      <c r="P917" s="19">
        <f t="shared" si="642"/>
        <v>0</v>
      </c>
      <c r="Q917" s="19">
        <f t="shared" si="642"/>
        <v>0</v>
      </c>
      <c r="R917" s="19">
        <f t="shared" si="642"/>
        <v>0</v>
      </c>
      <c r="S917" s="19">
        <f t="shared" si="642"/>
        <v>0</v>
      </c>
      <c r="T917" s="19">
        <f t="shared" si="642"/>
        <v>0</v>
      </c>
      <c r="U917" s="19">
        <f t="shared" si="642"/>
        <v>0</v>
      </c>
      <c r="V917" s="19">
        <f t="shared" si="642"/>
        <v>0</v>
      </c>
      <c r="W917" s="19">
        <f t="shared" si="642"/>
        <v>0</v>
      </c>
      <c r="X917" s="19">
        <f t="shared" si="642"/>
        <v>0</v>
      </c>
      <c r="Y917" s="19">
        <f t="shared" si="642"/>
        <v>0</v>
      </c>
      <c r="Z917" s="19">
        <f t="shared" si="642"/>
        <v>0</v>
      </c>
      <c r="AA917" s="19">
        <f t="shared" si="642"/>
        <v>0</v>
      </c>
      <c r="AB917" s="19">
        <f t="shared" si="642"/>
        <v>0</v>
      </c>
      <c r="AC917" s="19">
        <f t="shared" si="642"/>
        <v>0</v>
      </c>
      <c r="AD917" s="19">
        <f t="shared" si="642"/>
        <v>0</v>
      </c>
      <c r="AE917" s="19">
        <f t="shared" si="642"/>
        <v>0</v>
      </c>
      <c r="AF917" s="19">
        <f t="shared" si="642"/>
        <v>0</v>
      </c>
      <c r="AG917" s="19">
        <f t="shared" si="642"/>
        <v>0</v>
      </c>
      <c r="AH917" s="19">
        <f t="shared" si="642"/>
        <v>0</v>
      </c>
      <c r="AI917" s="19">
        <f t="shared" si="642"/>
        <v>0</v>
      </c>
      <c r="AJ917" s="19">
        <f t="shared" si="642"/>
        <v>0</v>
      </c>
      <c r="AK917" s="19">
        <f t="shared" si="642"/>
        <v>0</v>
      </c>
      <c r="AL917" s="19">
        <f t="shared" si="642"/>
        <v>0</v>
      </c>
      <c r="AM917" s="19">
        <f t="shared" ref="AM917:BD917" si="643">AM915-AM916</f>
        <v>0</v>
      </c>
      <c r="AN917" s="19">
        <f t="shared" si="643"/>
        <v>0</v>
      </c>
      <c r="AO917" s="19">
        <f t="shared" si="643"/>
        <v>0</v>
      </c>
      <c r="AP917" s="19">
        <f t="shared" si="643"/>
        <v>0</v>
      </c>
      <c r="AQ917" s="19">
        <f t="shared" si="643"/>
        <v>0</v>
      </c>
      <c r="AR917" s="19">
        <f t="shared" si="643"/>
        <v>0</v>
      </c>
      <c r="AS917" s="19">
        <f t="shared" si="643"/>
        <v>0</v>
      </c>
      <c r="AT917" s="19">
        <f t="shared" si="643"/>
        <v>0</v>
      </c>
      <c r="AU917" s="19">
        <f t="shared" si="643"/>
        <v>0</v>
      </c>
      <c r="AV917" s="19">
        <f t="shared" si="643"/>
        <v>0</v>
      </c>
      <c r="AW917" s="19">
        <f t="shared" si="643"/>
        <v>0</v>
      </c>
      <c r="AX917" s="19">
        <f t="shared" si="643"/>
        <v>0</v>
      </c>
      <c r="AY917" s="19">
        <f t="shared" si="643"/>
        <v>0</v>
      </c>
      <c r="AZ917" s="19">
        <f t="shared" si="643"/>
        <v>0</v>
      </c>
      <c r="BA917" s="19">
        <f t="shared" si="643"/>
        <v>0</v>
      </c>
      <c r="BB917" s="19">
        <f t="shared" si="643"/>
        <v>0</v>
      </c>
      <c r="BC917" s="19">
        <f t="shared" si="643"/>
        <v>0</v>
      </c>
      <c r="BD917" s="19">
        <f t="shared" si="643"/>
        <v>0</v>
      </c>
    </row>
    <row r="918" spans="1:56" ht="15" customHeight="1">
      <c r="A918" s="11"/>
      <c r="C918" s="21"/>
      <c r="G918" s="19"/>
      <c r="H918" s="19"/>
      <c r="I918" s="19"/>
      <c r="J918" s="19"/>
      <c r="K918" s="19"/>
      <c r="L918" s="19"/>
      <c r="M918" s="19"/>
      <c r="N918" s="19"/>
      <c r="O918" s="19"/>
      <c r="P918" s="19"/>
      <c r="Q918" s="19"/>
      <c r="R918" s="19"/>
      <c r="S918" s="19"/>
      <c r="T918" s="19"/>
      <c r="U918" s="19"/>
      <c r="V918" s="19"/>
      <c r="W918" s="19"/>
      <c r="X918" s="19"/>
      <c r="Y918" s="19"/>
      <c r="Z918" s="19"/>
      <c r="AA918" s="19"/>
      <c r="AB918" s="19"/>
      <c r="AC918" s="19"/>
      <c r="AD918" s="19"/>
      <c r="AE918" s="19"/>
      <c r="AF918" s="19"/>
      <c r="AG918" s="19"/>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row>
    <row r="919" spans="1:56" ht="15" customHeight="1">
      <c r="A919" s="11"/>
      <c r="D919" s="9" t="s">
        <v>707</v>
      </c>
      <c r="G919" s="19"/>
      <c r="H919" s="19"/>
      <c r="I919" s="19"/>
      <c r="J919" s="19"/>
      <c r="K919" s="19"/>
      <c r="L919" s="19"/>
      <c r="M919" s="19"/>
      <c r="N919" s="19"/>
      <c r="O919" s="19"/>
      <c r="P919" s="19"/>
      <c r="Q919" s="19"/>
      <c r="R919" s="19"/>
      <c r="S919" s="19"/>
      <c r="T919" s="19"/>
      <c r="U919" s="19"/>
      <c r="V919" s="19"/>
      <c r="W919" s="19"/>
      <c r="X919" s="19"/>
      <c r="Y919" s="19"/>
      <c r="Z919" s="19"/>
      <c r="AA919" s="19"/>
      <c r="AB919" s="19"/>
      <c r="AC919" s="19"/>
      <c r="AD919" s="19"/>
      <c r="AE919" s="19"/>
      <c r="AF919" s="19"/>
      <c r="AG919" s="19"/>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row>
    <row r="920" spans="1:56" ht="15" customHeight="1">
      <c r="A920" s="11"/>
      <c r="C920" s="21">
        <f t="shared" ref="C920:C924" si="644">SUM(G920:BD920)</f>
        <v>5798.4828630256407</v>
      </c>
      <c r="D920" s="11" t="s">
        <v>703</v>
      </c>
      <c r="E920" s="18" t="s">
        <v>289</v>
      </c>
      <c r="G920" s="19">
        <f t="shared" ref="G920:AL920" si="645">G913/G$816</f>
        <v>-20</v>
      </c>
      <c r="H920" s="19">
        <f t="shared" si="645"/>
        <v>-20</v>
      </c>
      <c r="I920" s="19">
        <f t="shared" si="645"/>
        <v>-75</v>
      </c>
      <c r="J920" s="19">
        <f t="shared" si="645"/>
        <v>-300</v>
      </c>
      <c r="K920" s="19">
        <f t="shared" si="645"/>
        <v>59.550000000000018</v>
      </c>
      <c r="L920" s="19">
        <f t="shared" si="645"/>
        <v>273.9500000000001</v>
      </c>
      <c r="M920" s="19">
        <f t="shared" si="645"/>
        <v>273.95000000000005</v>
      </c>
      <c r="N920" s="19">
        <f t="shared" si="645"/>
        <v>273.94999999999993</v>
      </c>
      <c r="O920" s="19">
        <f t="shared" si="645"/>
        <v>273.95</v>
      </c>
      <c r="P920" s="19">
        <f t="shared" si="645"/>
        <v>273.95000000000005</v>
      </c>
      <c r="Q920" s="19">
        <f t="shared" si="645"/>
        <v>273.95000000000016</v>
      </c>
      <c r="R920" s="19">
        <f t="shared" si="645"/>
        <v>273.95000000000005</v>
      </c>
      <c r="S920" s="19">
        <f t="shared" si="645"/>
        <v>273.95000000000005</v>
      </c>
      <c r="T920" s="19">
        <f t="shared" si="645"/>
        <v>273.95000000000005</v>
      </c>
      <c r="U920" s="19">
        <f t="shared" si="645"/>
        <v>273.95</v>
      </c>
      <c r="V920" s="19">
        <f t="shared" si="645"/>
        <v>273.95000000000005</v>
      </c>
      <c r="W920" s="19">
        <f t="shared" si="645"/>
        <v>273.9500000000001</v>
      </c>
      <c r="X920" s="19">
        <f t="shared" si="645"/>
        <v>273.9500000000001</v>
      </c>
      <c r="Y920" s="19">
        <f t="shared" si="645"/>
        <v>272.35909090909098</v>
      </c>
      <c r="Z920" s="19">
        <f t="shared" si="645"/>
        <v>272.35538989093322</v>
      </c>
      <c r="AA920" s="19">
        <f t="shared" si="645"/>
        <v>272.34706399563595</v>
      </c>
      <c r="AB920" s="19">
        <f t="shared" si="645"/>
        <v>272.33274247938169</v>
      </c>
      <c r="AC920" s="19">
        <f t="shared" si="645"/>
        <v>272.31027384459497</v>
      </c>
      <c r="AD920" s="19">
        <f t="shared" si="645"/>
        <v>269.82601167559915</v>
      </c>
      <c r="AE920" s="19">
        <f t="shared" si="645"/>
        <v>269.77305066235209</v>
      </c>
      <c r="AF920" s="19">
        <f t="shared" si="645"/>
        <v>269.68580514763471</v>
      </c>
      <c r="AG920" s="19">
        <f t="shared" si="645"/>
        <v>289.5154952427792</v>
      </c>
      <c r="AH920" s="19">
        <f t="shared" si="645"/>
        <v>132.3720568246971</v>
      </c>
      <c r="AI920" s="19">
        <f t="shared" si="645"/>
        <v>-0.29411764705882637</v>
      </c>
      <c r="AJ920" s="19">
        <f t="shared" si="645"/>
        <v>0</v>
      </c>
      <c r="AK920" s="19">
        <f t="shared" si="645"/>
        <v>0</v>
      </c>
      <c r="AL920" s="19">
        <f t="shared" si="645"/>
        <v>0</v>
      </c>
      <c r="AM920" s="19">
        <f t="shared" ref="AM920:BD920" si="646">AM913/AM$816</f>
        <v>0</v>
      </c>
      <c r="AN920" s="19">
        <f t="shared" si="646"/>
        <v>0</v>
      </c>
      <c r="AO920" s="19">
        <f t="shared" si="646"/>
        <v>0</v>
      </c>
      <c r="AP920" s="19">
        <f t="shared" si="646"/>
        <v>0</v>
      </c>
      <c r="AQ920" s="19">
        <f t="shared" si="646"/>
        <v>0</v>
      </c>
      <c r="AR920" s="19">
        <f t="shared" si="646"/>
        <v>0</v>
      </c>
      <c r="AS920" s="19">
        <f t="shared" si="646"/>
        <v>0</v>
      </c>
      <c r="AT920" s="19">
        <f t="shared" si="646"/>
        <v>0</v>
      </c>
      <c r="AU920" s="19">
        <f t="shared" si="646"/>
        <v>0</v>
      </c>
      <c r="AV920" s="19">
        <f t="shared" si="646"/>
        <v>0</v>
      </c>
      <c r="AW920" s="19">
        <f t="shared" si="646"/>
        <v>0</v>
      </c>
      <c r="AX920" s="19">
        <f t="shared" si="646"/>
        <v>0</v>
      </c>
      <c r="AY920" s="19">
        <f t="shared" si="646"/>
        <v>0</v>
      </c>
      <c r="AZ920" s="19">
        <f t="shared" si="646"/>
        <v>0</v>
      </c>
      <c r="BA920" s="19">
        <f t="shared" si="646"/>
        <v>0</v>
      </c>
      <c r="BB920" s="19">
        <f t="shared" si="646"/>
        <v>0</v>
      </c>
      <c r="BC920" s="19">
        <f t="shared" si="646"/>
        <v>0</v>
      </c>
      <c r="BD920" s="19">
        <f t="shared" si="646"/>
        <v>0</v>
      </c>
    </row>
    <row r="921" spans="1:56" ht="15" customHeight="1">
      <c r="A921" s="11"/>
      <c r="C921" s="21">
        <f t="shared" si="644"/>
        <v>1.6671369743599627</v>
      </c>
      <c r="D921" s="11" t="s">
        <v>679</v>
      </c>
      <c r="E921" s="18" t="s">
        <v>289</v>
      </c>
      <c r="G921" s="19">
        <f t="shared" ref="G921:AL921" si="647">G914/G$816</f>
        <v>0</v>
      </c>
      <c r="H921" s="19">
        <f t="shared" si="647"/>
        <v>0</v>
      </c>
      <c r="I921" s="19">
        <f t="shared" si="647"/>
        <v>0</v>
      </c>
      <c r="J921" s="19">
        <f t="shared" si="647"/>
        <v>0</v>
      </c>
      <c r="K921" s="19">
        <f t="shared" si="647"/>
        <v>0</v>
      </c>
      <c r="L921" s="19">
        <f t="shared" si="647"/>
        <v>0</v>
      </c>
      <c r="M921" s="19">
        <f t="shared" si="647"/>
        <v>0</v>
      </c>
      <c r="N921" s="19">
        <f t="shared" si="647"/>
        <v>0</v>
      </c>
      <c r="O921" s="19">
        <f t="shared" si="647"/>
        <v>0</v>
      </c>
      <c r="P921" s="19">
        <f t="shared" si="647"/>
        <v>0</v>
      </c>
      <c r="Q921" s="19">
        <f t="shared" si="647"/>
        <v>0</v>
      </c>
      <c r="R921" s="19">
        <f t="shared" si="647"/>
        <v>0</v>
      </c>
      <c r="S921" s="19">
        <f t="shared" si="647"/>
        <v>0</v>
      </c>
      <c r="T921" s="19">
        <f t="shared" si="647"/>
        <v>0</v>
      </c>
      <c r="U921" s="19">
        <f t="shared" si="647"/>
        <v>0</v>
      </c>
      <c r="V921" s="19">
        <f t="shared" si="647"/>
        <v>0</v>
      </c>
      <c r="W921" s="19">
        <f t="shared" si="647"/>
        <v>0</v>
      </c>
      <c r="X921" s="19">
        <f t="shared" si="647"/>
        <v>0</v>
      </c>
      <c r="Y921" s="19">
        <f t="shared" si="647"/>
        <v>1.5909090909090911</v>
      </c>
      <c r="Z921" s="19">
        <f t="shared" si="647"/>
        <v>1.5946101090667393</v>
      </c>
      <c r="AA921" s="19">
        <f t="shared" si="647"/>
        <v>1.6029360043640732</v>
      </c>
      <c r="AB921" s="19">
        <f t="shared" si="647"/>
        <v>1.6172575206183724</v>
      </c>
      <c r="AC921" s="19">
        <f t="shared" si="647"/>
        <v>1.6397261554050089</v>
      </c>
      <c r="AD921" s="19">
        <f t="shared" si="647"/>
        <v>1.6739883244008629</v>
      </c>
      <c r="AE921" s="19">
        <f t="shared" si="647"/>
        <v>1.7269493376479048</v>
      </c>
      <c r="AF921" s="19">
        <f t="shared" si="647"/>
        <v>1.8141948523653044</v>
      </c>
      <c r="AG921" s="19">
        <f t="shared" si="647"/>
        <v>1.9845047572208878</v>
      </c>
      <c r="AH921" s="19">
        <f t="shared" si="647"/>
        <v>1.1279431753028912</v>
      </c>
      <c r="AI921" s="19">
        <f t="shared" si="647"/>
        <v>-14.705882352941174</v>
      </c>
      <c r="AJ921" s="19">
        <f t="shared" si="647"/>
        <v>0</v>
      </c>
      <c r="AK921" s="19">
        <f t="shared" si="647"/>
        <v>0</v>
      </c>
      <c r="AL921" s="19">
        <f t="shared" si="647"/>
        <v>0</v>
      </c>
      <c r="AM921" s="19">
        <f t="shared" ref="AM921:BD921" si="648">AM914/AM$816</f>
        <v>0</v>
      </c>
      <c r="AN921" s="19">
        <f t="shared" si="648"/>
        <v>0</v>
      </c>
      <c r="AO921" s="19">
        <f t="shared" si="648"/>
        <v>0</v>
      </c>
      <c r="AP921" s="19">
        <f t="shared" si="648"/>
        <v>0</v>
      </c>
      <c r="AQ921" s="19">
        <f t="shared" si="648"/>
        <v>0</v>
      </c>
      <c r="AR921" s="19">
        <f t="shared" si="648"/>
        <v>0</v>
      </c>
      <c r="AS921" s="19">
        <f t="shared" si="648"/>
        <v>0</v>
      </c>
      <c r="AT921" s="19">
        <f t="shared" si="648"/>
        <v>0</v>
      </c>
      <c r="AU921" s="19">
        <f t="shared" si="648"/>
        <v>0</v>
      </c>
      <c r="AV921" s="19">
        <f t="shared" si="648"/>
        <v>0</v>
      </c>
      <c r="AW921" s="19">
        <f t="shared" si="648"/>
        <v>0</v>
      </c>
      <c r="AX921" s="19">
        <f t="shared" si="648"/>
        <v>0</v>
      </c>
      <c r="AY921" s="19">
        <f t="shared" si="648"/>
        <v>0</v>
      </c>
      <c r="AZ921" s="19">
        <f t="shared" si="648"/>
        <v>0</v>
      </c>
      <c r="BA921" s="19">
        <f t="shared" si="648"/>
        <v>0</v>
      </c>
      <c r="BB921" s="19">
        <f t="shared" si="648"/>
        <v>0</v>
      </c>
      <c r="BC921" s="19">
        <f t="shared" si="648"/>
        <v>0</v>
      </c>
      <c r="BD921" s="19">
        <f t="shared" si="648"/>
        <v>0</v>
      </c>
    </row>
    <row r="922" spans="1:56" ht="15" customHeight="1">
      <c r="C922" s="21">
        <f t="shared" si="644"/>
        <v>5800.15</v>
      </c>
      <c r="D922" s="11" t="s">
        <v>704</v>
      </c>
      <c r="E922" s="18" t="s">
        <v>289</v>
      </c>
      <c r="G922" s="19">
        <f>G920+G921</f>
        <v>-20</v>
      </c>
      <c r="H922" s="19">
        <f t="shared" ref="H922:BD922" si="649">H920+H921</f>
        <v>-20</v>
      </c>
      <c r="I922" s="19">
        <f t="shared" si="649"/>
        <v>-75</v>
      </c>
      <c r="J922" s="19">
        <f t="shared" si="649"/>
        <v>-300</v>
      </c>
      <c r="K922" s="19">
        <f t="shared" si="649"/>
        <v>59.550000000000018</v>
      </c>
      <c r="L922" s="19">
        <f t="shared" si="649"/>
        <v>273.9500000000001</v>
      </c>
      <c r="M922" s="19">
        <f t="shared" si="649"/>
        <v>273.95000000000005</v>
      </c>
      <c r="N922" s="19">
        <f t="shared" si="649"/>
        <v>273.94999999999993</v>
      </c>
      <c r="O922" s="19">
        <f t="shared" si="649"/>
        <v>273.95</v>
      </c>
      <c r="P922" s="19">
        <f t="shared" si="649"/>
        <v>273.95000000000005</v>
      </c>
      <c r="Q922" s="19">
        <f t="shared" si="649"/>
        <v>273.95000000000016</v>
      </c>
      <c r="R922" s="19">
        <f t="shared" si="649"/>
        <v>273.95000000000005</v>
      </c>
      <c r="S922" s="19">
        <f t="shared" si="649"/>
        <v>273.95000000000005</v>
      </c>
      <c r="T922" s="19">
        <f t="shared" si="649"/>
        <v>273.95000000000005</v>
      </c>
      <c r="U922" s="19">
        <f t="shared" si="649"/>
        <v>273.95</v>
      </c>
      <c r="V922" s="19">
        <f t="shared" si="649"/>
        <v>273.95000000000005</v>
      </c>
      <c r="W922" s="19">
        <f t="shared" si="649"/>
        <v>273.9500000000001</v>
      </c>
      <c r="X922" s="19">
        <f t="shared" si="649"/>
        <v>273.9500000000001</v>
      </c>
      <c r="Y922" s="19">
        <f t="shared" si="649"/>
        <v>273.95000000000005</v>
      </c>
      <c r="Z922" s="19">
        <f t="shared" si="649"/>
        <v>273.95</v>
      </c>
      <c r="AA922" s="19">
        <f t="shared" si="649"/>
        <v>273.95000000000005</v>
      </c>
      <c r="AB922" s="19">
        <f t="shared" si="649"/>
        <v>273.95000000000005</v>
      </c>
      <c r="AC922" s="19">
        <f t="shared" si="649"/>
        <v>273.95</v>
      </c>
      <c r="AD922" s="19">
        <f t="shared" si="649"/>
        <v>271.5</v>
      </c>
      <c r="AE922" s="19">
        <f t="shared" si="649"/>
        <v>271.5</v>
      </c>
      <c r="AF922" s="19">
        <f t="shared" si="649"/>
        <v>271.5</v>
      </c>
      <c r="AG922" s="19">
        <f t="shared" si="649"/>
        <v>291.50000000000006</v>
      </c>
      <c r="AH922" s="19">
        <f t="shared" si="649"/>
        <v>133.5</v>
      </c>
      <c r="AI922" s="19">
        <f t="shared" si="649"/>
        <v>-15</v>
      </c>
      <c r="AJ922" s="19">
        <f t="shared" si="649"/>
        <v>0</v>
      </c>
      <c r="AK922" s="19">
        <f t="shared" si="649"/>
        <v>0</v>
      </c>
      <c r="AL922" s="19">
        <f t="shared" si="649"/>
        <v>0</v>
      </c>
      <c r="AM922" s="19">
        <f t="shared" si="649"/>
        <v>0</v>
      </c>
      <c r="AN922" s="19">
        <f t="shared" si="649"/>
        <v>0</v>
      </c>
      <c r="AO922" s="19">
        <f t="shared" si="649"/>
        <v>0</v>
      </c>
      <c r="AP922" s="19">
        <f t="shared" si="649"/>
        <v>0</v>
      </c>
      <c r="AQ922" s="19">
        <f t="shared" si="649"/>
        <v>0</v>
      </c>
      <c r="AR922" s="19">
        <f t="shared" si="649"/>
        <v>0</v>
      </c>
      <c r="AS922" s="19">
        <f t="shared" si="649"/>
        <v>0</v>
      </c>
      <c r="AT922" s="19">
        <f t="shared" si="649"/>
        <v>0</v>
      </c>
      <c r="AU922" s="19">
        <f t="shared" si="649"/>
        <v>0</v>
      </c>
      <c r="AV922" s="19">
        <f t="shared" si="649"/>
        <v>0</v>
      </c>
      <c r="AW922" s="19">
        <f t="shared" si="649"/>
        <v>0</v>
      </c>
      <c r="AX922" s="19">
        <f t="shared" si="649"/>
        <v>0</v>
      </c>
      <c r="AY922" s="19">
        <f t="shared" si="649"/>
        <v>0</v>
      </c>
      <c r="AZ922" s="19">
        <f t="shared" si="649"/>
        <v>0</v>
      </c>
      <c r="BA922" s="19">
        <f t="shared" si="649"/>
        <v>0</v>
      </c>
      <c r="BB922" s="19">
        <f t="shared" si="649"/>
        <v>0</v>
      </c>
      <c r="BC922" s="19">
        <f t="shared" si="649"/>
        <v>0</v>
      </c>
      <c r="BD922" s="19">
        <f t="shared" si="649"/>
        <v>0</v>
      </c>
    </row>
    <row r="923" spans="1:56" ht="15" customHeight="1">
      <c r="A923" s="11"/>
      <c r="C923" s="21">
        <f t="shared" si="644"/>
        <v>5800.1499999999987</v>
      </c>
      <c r="D923" s="11" t="s">
        <v>705</v>
      </c>
      <c r="E923" s="18" t="s">
        <v>289</v>
      </c>
      <c r="G923" s="19">
        <f t="shared" ref="G923:AL923" si="650">G25</f>
        <v>-20</v>
      </c>
      <c r="H923" s="19">
        <f t="shared" si="650"/>
        <v>-20</v>
      </c>
      <c r="I923" s="19">
        <f t="shared" si="650"/>
        <v>-75</v>
      </c>
      <c r="J923" s="19">
        <f t="shared" si="650"/>
        <v>-300</v>
      </c>
      <c r="K923" s="19">
        <f t="shared" si="650"/>
        <v>59.550000000000011</v>
      </c>
      <c r="L923" s="19">
        <f t="shared" si="650"/>
        <v>273.95000000000005</v>
      </c>
      <c r="M923" s="19">
        <f t="shared" si="650"/>
        <v>273.95000000000005</v>
      </c>
      <c r="N923" s="19">
        <f t="shared" si="650"/>
        <v>273.95000000000005</v>
      </c>
      <c r="O923" s="19">
        <f t="shared" si="650"/>
        <v>273.95000000000005</v>
      </c>
      <c r="P923" s="19">
        <f t="shared" si="650"/>
        <v>273.95000000000005</v>
      </c>
      <c r="Q923" s="19">
        <f t="shared" si="650"/>
        <v>273.95000000000005</v>
      </c>
      <c r="R923" s="19">
        <f t="shared" si="650"/>
        <v>273.95000000000005</v>
      </c>
      <c r="S923" s="19">
        <f t="shared" si="650"/>
        <v>273.95000000000005</v>
      </c>
      <c r="T923" s="19">
        <f t="shared" si="650"/>
        <v>273.95000000000005</v>
      </c>
      <c r="U923" s="19">
        <f t="shared" si="650"/>
        <v>273.95000000000005</v>
      </c>
      <c r="V923" s="19">
        <f t="shared" si="650"/>
        <v>273.95000000000005</v>
      </c>
      <c r="W923" s="19">
        <f t="shared" si="650"/>
        <v>273.95000000000005</v>
      </c>
      <c r="X923" s="19">
        <f t="shared" si="650"/>
        <v>273.95000000000005</v>
      </c>
      <c r="Y923" s="19">
        <f t="shared" si="650"/>
        <v>273.95000000000005</v>
      </c>
      <c r="Z923" s="19">
        <f t="shared" si="650"/>
        <v>273.95000000000005</v>
      </c>
      <c r="AA923" s="19">
        <f t="shared" si="650"/>
        <v>273.95000000000005</v>
      </c>
      <c r="AB923" s="19">
        <f t="shared" si="650"/>
        <v>273.95000000000005</v>
      </c>
      <c r="AC923" s="19">
        <f t="shared" si="650"/>
        <v>273.95000000000005</v>
      </c>
      <c r="AD923" s="19">
        <f t="shared" si="650"/>
        <v>271.5</v>
      </c>
      <c r="AE923" s="19">
        <f t="shared" si="650"/>
        <v>271.5</v>
      </c>
      <c r="AF923" s="19">
        <f t="shared" si="650"/>
        <v>271.5</v>
      </c>
      <c r="AG923" s="19">
        <f t="shared" si="650"/>
        <v>291.5</v>
      </c>
      <c r="AH923" s="19">
        <f t="shared" si="650"/>
        <v>133.5</v>
      </c>
      <c r="AI923" s="19">
        <f t="shared" si="650"/>
        <v>-15</v>
      </c>
      <c r="AJ923" s="19">
        <f t="shared" si="650"/>
        <v>0</v>
      </c>
      <c r="AK923" s="19">
        <f t="shared" si="650"/>
        <v>0</v>
      </c>
      <c r="AL923" s="19">
        <f t="shared" si="650"/>
        <v>0</v>
      </c>
      <c r="AM923" s="19">
        <f t="shared" ref="AM923:BD923" si="651">AM25</f>
        <v>0</v>
      </c>
      <c r="AN923" s="19">
        <f t="shared" si="651"/>
        <v>0</v>
      </c>
      <c r="AO923" s="19">
        <f t="shared" si="651"/>
        <v>0</v>
      </c>
      <c r="AP923" s="19">
        <f t="shared" si="651"/>
        <v>0</v>
      </c>
      <c r="AQ923" s="19">
        <f t="shared" si="651"/>
        <v>0</v>
      </c>
      <c r="AR923" s="19">
        <f t="shared" si="651"/>
        <v>0</v>
      </c>
      <c r="AS923" s="19">
        <f t="shared" si="651"/>
        <v>0</v>
      </c>
      <c r="AT923" s="19">
        <f t="shared" si="651"/>
        <v>0</v>
      </c>
      <c r="AU923" s="19">
        <f t="shared" si="651"/>
        <v>0</v>
      </c>
      <c r="AV923" s="19">
        <f t="shared" si="651"/>
        <v>0</v>
      </c>
      <c r="AW923" s="19">
        <f t="shared" si="651"/>
        <v>0</v>
      </c>
      <c r="AX923" s="19">
        <f t="shared" si="651"/>
        <v>0</v>
      </c>
      <c r="AY923" s="19">
        <f t="shared" si="651"/>
        <v>0</v>
      </c>
      <c r="AZ923" s="19">
        <f t="shared" si="651"/>
        <v>0</v>
      </c>
      <c r="BA923" s="19">
        <f t="shared" si="651"/>
        <v>0</v>
      </c>
      <c r="BB923" s="19">
        <f t="shared" si="651"/>
        <v>0</v>
      </c>
      <c r="BC923" s="19">
        <f t="shared" si="651"/>
        <v>0</v>
      </c>
      <c r="BD923" s="19">
        <f t="shared" si="651"/>
        <v>0</v>
      </c>
    </row>
    <row r="924" spans="1:56" ht="15" customHeight="1">
      <c r="A924" s="26" t="b">
        <f>ROUND(C924,5)=0</f>
        <v>1</v>
      </c>
      <c r="C924" s="21">
        <f t="shared" si="644"/>
        <v>0</v>
      </c>
      <c r="D924" s="11" t="s">
        <v>706</v>
      </c>
      <c r="G924" s="19">
        <f t="shared" ref="G924:AL924" si="652">G922-G923</f>
        <v>0</v>
      </c>
      <c r="H924" s="19">
        <f t="shared" si="652"/>
        <v>0</v>
      </c>
      <c r="I924" s="19">
        <f t="shared" si="652"/>
        <v>0</v>
      </c>
      <c r="J924" s="19">
        <f t="shared" si="652"/>
        <v>0</v>
      </c>
      <c r="K924" s="19">
        <f t="shared" si="652"/>
        <v>0</v>
      </c>
      <c r="L924" s="19">
        <f t="shared" si="652"/>
        <v>0</v>
      </c>
      <c r="M924" s="19">
        <f t="shared" si="652"/>
        <v>0</v>
      </c>
      <c r="N924" s="19">
        <f t="shared" si="652"/>
        <v>0</v>
      </c>
      <c r="O924" s="19">
        <f t="shared" si="652"/>
        <v>0</v>
      </c>
      <c r="P924" s="19">
        <f t="shared" si="652"/>
        <v>0</v>
      </c>
      <c r="Q924" s="19">
        <f t="shared" si="652"/>
        <v>0</v>
      </c>
      <c r="R924" s="19">
        <f t="shared" si="652"/>
        <v>0</v>
      </c>
      <c r="S924" s="19">
        <f t="shared" si="652"/>
        <v>0</v>
      </c>
      <c r="T924" s="19">
        <f t="shared" si="652"/>
        <v>0</v>
      </c>
      <c r="U924" s="19">
        <f t="shared" si="652"/>
        <v>0</v>
      </c>
      <c r="V924" s="19">
        <f t="shared" si="652"/>
        <v>0</v>
      </c>
      <c r="W924" s="19">
        <f t="shared" si="652"/>
        <v>0</v>
      </c>
      <c r="X924" s="19">
        <f t="shared" si="652"/>
        <v>0</v>
      </c>
      <c r="Y924" s="19">
        <f t="shared" si="652"/>
        <v>0</v>
      </c>
      <c r="Z924" s="19">
        <f t="shared" si="652"/>
        <v>0</v>
      </c>
      <c r="AA924" s="19">
        <f t="shared" si="652"/>
        <v>0</v>
      </c>
      <c r="AB924" s="19">
        <f t="shared" si="652"/>
        <v>0</v>
      </c>
      <c r="AC924" s="19">
        <f t="shared" si="652"/>
        <v>0</v>
      </c>
      <c r="AD924" s="19">
        <f t="shared" si="652"/>
        <v>0</v>
      </c>
      <c r="AE924" s="19">
        <f t="shared" si="652"/>
        <v>0</v>
      </c>
      <c r="AF924" s="19">
        <f t="shared" si="652"/>
        <v>0</v>
      </c>
      <c r="AG924" s="19">
        <f t="shared" si="652"/>
        <v>0</v>
      </c>
      <c r="AH924" s="19">
        <f t="shared" si="652"/>
        <v>0</v>
      </c>
      <c r="AI924" s="19">
        <f t="shared" si="652"/>
        <v>0</v>
      </c>
      <c r="AJ924" s="19">
        <f t="shared" si="652"/>
        <v>0</v>
      </c>
      <c r="AK924" s="19">
        <f t="shared" si="652"/>
        <v>0</v>
      </c>
      <c r="AL924" s="19">
        <f t="shared" si="652"/>
        <v>0</v>
      </c>
      <c r="AM924" s="19">
        <f t="shared" ref="AM924:BD924" si="653">AM922-AM923</f>
        <v>0</v>
      </c>
      <c r="AN924" s="19">
        <f t="shared" si="653"/>
        <v>0</v>
      </c>
      <c r="AO924" s="19">
        <f t="shared" si="653"/>
        <v>0</v>
      </c>
      <c r="AP924" s="19">
        <f t="shared" si="653"/>
        <v>0</v>
      </c>
      <c r="AQ924" s="19">
        <f t="shared" si="653"/>
        <v>0</v>
      </c>
      <c r="AR924" s="19">
        <f t="shared" si="653"/>
        <v>0</v>
      </c>
      <c r="AS924" s="19">
        <f t="shared" si="653"/>
        <v>0</v>
      </c>
      <c r="AT924" s="19">
        <f t="shared" si="653"/>
        <v>0</v>
      </c>
      <c r="AU924" s="19">
        <f t="shared" si="653"/>
        <v>0</v>
      </c>
      <c r="AV924" s="19">
        <f t="shared" si="653"/>
        <v>0</v>
      </c>
      <c r="AW924" s="19">
        <f t="shared" si="653"/>
        <v>0</v>
      </c>
      <c r="AX924" s="19">
        <f t="shared" si="653"/>
        <v>0</v>
      </c>
      <c r="AY924" s="19">
        <f t="shared" si="653"/>
        <v>0</v>
      </c>
      <c r="AZ924" s="19">
        <f t="shared" si="653"/>
        <v>0</v>
      </c>
      <c r="BA924" s="19">
        <f t="shared" si="653"/>
        <v>0</v>
      </c>
      <c r="BB924" s="19">
        <f t="shared" si="653"/>
        <v>0</v>
      </c>
      <c r="BC924" s="19">
        <f t="shared" si="653"/>
        <v>0</v>
      </c>
      <c r="BD924" s="19">
        <f t="shared" si="653"/>
        <v>0</v>
      </c>
    </row>
    <row r="925" spans="1:56" ht="15" customHeight="1">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4"/>
      <c r="AI925" s="14"/>
      <c r="AJ925" s="14"/>
      <c r="AK925" s="14"/>
      <c r="AL925" s="14"/>
      <c r="AM925" s="14"/>
      <c r="AN925" s="14"/>
      <c r="AO925" s="14"/>
      <c r="AP925" s="14"/>
      <c r="AQ925" s="14"/>
      <c r="AR925" s="14"/>
      <c r="AS925" s="14"/>
      <c r="AT925" s="14"/>
      <c r="AU925" s="14"/>
      <c r="AV925" s="14"/>
      <c r="AW925" s="14"/>
      <c r="AX925" s="14"/>
      <c r="AY925" s="14"/>
      <c r="AZ925" s="14"/>
      <c r="BA925" s="14"/>
      <c r="BB925" s="14"/>
      <c r="BC925" s="14"/>
      <c r="BD925" s="14"/>
    </row>
    <row r="926" spans="1:56" ht="15" customHeight="1">
      <c r="D926" s="9" t="s">
        <v>708</v>
      </c>
    </row>
    <row r="927" spans="1:56" ht="15" customHeight="1">
      <c r="C927" s="21">
        <f t="shared" ref="C927:C932" si="654">SUM(G927:BD927)</f>
        <v>8103.8960573885061</v>
      </c>
      <c r="D927" s="11" t="s">
        <v>319</v>
      </c>
      <c r="E927" s="18" t="s">
        <v>333</v>
      </c>
      <c r="G927" s="19">
        <f t="shared" ref="G927:AL927" si="655">G59</f>
        <v>-20</v>
      </c>
      <c r="H927" s="19">
        <f t="shared" si="655"/>
        <v>-20.399999999999999</v>
      </c>
      <c r="I927" s="19">
        <f t="shared" si="655"/>
        <v>-78.03</v>
      </c>
      <c r="J927" s="19">
        <f t="shared" si="655"/>
        <v>-318.36239999999998</v>
      </c>
      <c r="K927" s="19">
        <f t="shared" si="655"/>
        <v>64.458835128000032</v>
      </c>
      <c r="L927" s="19">
        <f t="shared" si="655"/>
        <v>302.46293603664009</v>
      </c>
      <c r="M927" s="19">
        <f t="shared" si="655"/>
        <v>308.51219475737287</v>
      </c>
      <c r="N927" s="19">
        <f t="shared" si="655"/>
        <v>314.6824386525202</v>
      </c>
      <c r="O927" s="19">
        <f t="shared" si="655"/>
        <v>320.97608742557065</v>
      </c>
      <c r="P927" s="19">
        <f t="shared" si="655"/>
        <v>327.3956091740821</v>
      </c>
      <c r="Q927" s="19">
        <f t="shared" si="655"/>
        <v>333.94352135756378</v>
      </c>
      <c r="R927" s="19">
        <f t="shared" si="655"/>
        <v>340.62239178471492</v>
      </c>
      <c r="S927" s="19">
        <f t="shared" si="655"/>
        <v>347.43483962040932</v>
      </c>
      <c r="T927" s="19">
        <f t="shared" si="655"/>
        <v>354.38353641281753</v>
      </c>
      <c r="U927" s="19">
        <f t="shared" si="655"/>
        <v>361.47120714107388</v>
      </c>
      <c r="V927" s="19">
        <f t="shared" si="655"/>
        <v>368.70063128389523</v>
      </c>
      <c r="W927" s="19">
        <f t="shared" si="655"/>
        <v>376.07464390957324</v>
      </c>
      <c r="X927" s="19">
        <f t="shared" si="655"/>
        <v>383.59613678776475</v>
      </c>
      <c r="Y927" s="19">
        <f t="shared" si="655"/>
        <v>391.26805952351998</v>
      </c>
      <c r="Z927" s="19">
        <f t="shared" si="655"/>
        <v>399.09342071399033</v>
      </c>
      <c r="AA927" s="19">
        <f t="shared" si="655"/>
        <v>407.07528912827019</v>
      </c>
      <c r="AB927" s="19">
        <f t="shared" si="655"/>
        <v>415.21679491083563</v>
      </c>
      <c r="AC927" s="19">
        <f t="shared" si="655"/>
        <v>423.52113080905235</v>
      </c>
      <c r="AD927" s="19">
        <f t="shared" si="655"/>
        <v>428.12815022796428</v>
      </c>
      <c r="AE927" s="19">
        <f t="shared" si="655"/>
        <v>436.69071323252354</v>
      </c>
      <c r="AF927" s="19">
        <f t="shared" si="655"/>
        <v>445.42452749717404</v>
      </c>
      <c r="AG927" s="19">
        <f t="shared" si="655"/>
        <v>487.80138033419814</v>
      </c>
      <c r="AH927" s="19">
        <f t="shared" si="655"/>
        <v>227.86934463158744</v>
      </c>
      <c r="AI927" s="19">
        <f t="shared" si="655"/>
        <v>-26.115363092608906</v>
      </c>
      <c r="AJ927" s="19">
        <f t="shared" si="655"/>
        <v>0</v>
      </c>
      <c r="AK927" s="19">
        <f t="shared" si="655"/>
        <v>0</v>
      </c>
      <c r="AL927" s="19">
        <f t="shared" si="655"/>
        <v>0</v>
      </c>
      <c r="AM927" s="19">
        <f t="shared" ref="AM927:BD927" si="656">AM59</f>
        <v>0</v>
      </c>
      <c r="AN927" s="19">
        <f t="shared" si="656"/>
        <v>0</v>
      </c>
      <c r="AO927" s="19">
        <f t="shared" si="656"/>
        <v>0</v>
      </c>
      <c r="AP927" s="19">
        <f t="shared" si="656"/>
        <v>0</v>
      </c>
      <c r="AQ927" s="19">
        <f t="shared" si="656"/>
        <v>0</v>
      </c>
      <c r="AR927" s="19">
        <f t="shared" si="656"/>
        <v>0</v>
      </c>
      <c r="AS927" s="19">
        <f t="shared" si="656"/>
        <v>0</v>
      </c>
      <c r="AT927" s="19">
        <f t="shared" si="656"/>
        <v>0</v>
      </c>
      <c r="AU927" s="19">
        <f t="shared" si="656"/>
        <v>0</v>
      </c>
      <c r="AV927" s="19">
        <f t="shared" si="656"/>
        <v>0</v>
      </c>
      <c r="AW927" s="19">
        <f t="shared" si="656"/>
        <v>0</v>
      </c>
      <c r="AX927" s="19">
        <f t="shared" si="656"/>
        <v>0</v>
      </c>
      <c r="AY927" s="19">
        <f t="shared" si="656"/>
        <v>0</v>
      </c>
      <c r="AZ927" s="19">
        <f t="shared" si="656"/>
        <v>0</v>
      </c>
      <c r="BA927" s="19">
        <f t="shared" si="656"/>
        <v>0</v>
      </c>
      <c r="BB927" s="19">
        <f t="shared" si="656"/>
        <v>0</v>
      </c>
      <c r="BC927" s="19">
        <f t="shared" si="656"/>
        <v>0</v>
      </c>
      <c r="BD927" s="19">
        <f t="shared" si="656"/>
        <v>0</v>
      </c>
    </row>
    <row r="928" spans="1:56" ht="15" customHeight="1">
      <c r="C928" s="21">
        <f t="shared" si="654"/>
        <v>3883.6578146174297</v>
      </c>
      <c r="D928" s="11" t="s">
        <v>709</v>
      </c>
      <c r="E928" s="18" t="s">
        <v>333</v>
      </c>
      <c r="G928" s="19">
        <f t="shared" ref="G928:AL928" si="657">G866-G861</f>
        <v>0</v>
      </c>
      <c r="H928" s="19">
        <f t="shared" si="657"/>
        <v>0</v>
      </c>
      <c r="I928" s="19">
        <f t="shared" si="657"/>
        <v>2.9261250000000003</v>
      </c>
      <c r="J928" s="19">
        <f t="shared" si="657"/>
        <v>11.93859</v>
      </c>
      <c r="K928" s="19">
        <f t="shared" si="657"/>
        <v>26.654788940400003</v>
      </c>
      <c r="L928" s="19">
        <f t="shared" si="657"/>
        <v>93.647078124470454</v>
      </c>
      <c r="M928" s="19">
        <f t="shared" si="657"/>
        <v>111.14283229562314</v>
      </c>
      <c r="N928" s="19">
        <f t="shared" si="657"/>
        <v>122.53929565391491</v>
      </c>
      <c r="O928" s="19">
        <f t="shared" si="657"/>
        <v>124.05980699610221</v>
      </c>
      <c r="P928" s="19">
        <f t="shared" si="657"/>
        <v>155.35831865158295</v>
      </c>
      <c r="Q928" s="19">
        <f t="shared" si="657"/>
        <v>158.46548502461459</v>
      </c>
      <c r="R928" s="19">
        <f t="shared" si="657"/>
        <v>161.63479472510681</v>
      </c>
      <c r="S928" s="19">
        <f t="shared" si="657"/>
        <v>164.86749061960901</v>
      </c>
      <c r="T928" s="19">
        <f t="shared" si="657"/>
        <v>168.16484043200117</v>
      </c>
      <c r="U928" s="19">
        <f t="shared" si="657"/>
        <v>171.5281372406412</v>
      </c>
      <c r="V928" s="19">
        <f t="shared" si="657"/>
        <v>174.95869998545399</v>
      </c>
      <c r="W928" s="19">
        <f t="shared" si="657"/>
        <v>178.45787398516313</v>
      </c>
      <c r="X928" s="19">
        <f t="shared" si="657"/>
        <v>182.02703146486641</v>
      </c>
      <c r="Y928" s="19">
        <f t="shared" si="657"/>
        <v>184.85230316793357</v>
      </c>
      <c r="Z928" s="19">
        <f t="shared" si="657"/>
        <v>188.54741469485708</v>
      </c>
      <c r="AA928" s="19">
        <f t="shared" si="657"/>
        <v>192.31392397168813</v>
      </c>
      <c r="AB928" s="19">
        <f t="shared" si="657"/>
        <v>196.15241410862524</v>
      </c>
      <c r="AC928" s="19">
        <f t="shared" si="657"/>
        <v>200.0629990951212</v>
      </c>
      <c r="AD928" s="19">
        <f t="shared" si="657"/>
        <v>202.65868476736182</v>
      </c>
      <c r="AE928" s="19">
        <f t="shared" si="657"/>
        <v>206.68129427613732</v>
      </c>
      <c r="AF928" s="19">
        <f t="shared" si="657"/>
        <v>210.76356313908062</v>
      </c>
      <c r="AG928" s="19">
        <f t="shared" si="657"/>
        <v>218.72259336895581</v>
      </c>
      <c r="AH928" s="19">
        <f t="shared" si="657"/>
        <v>74.531434888119264</v>
      </c>
      <c r="AI928" s="19">
        <f t="shared" si="657"/>
        <v>0</v>
      </c>
      <c r="AJ928" s="19">
        <f t="shared" si="657"/>
        <v>0</v>
      </c>
      <c r="AK928" s="19">
        <f t="shared" si="657"/>
        <v>0</v>
      </c>
      <c r="AL928" s="19">
        <f t="shared" si="657"/>
        <v>0</v>
      </c>
      <c r="AM928" s="19">
        <f t="shared" ref="AM928:BD928" si="658">AM866-AM861</f>
        <v>0</v>
      </c>
      <c r="AN928" s="19">
        <f t="shared" si="658"/>
        <v>0</v>
      </c>
      <c r="AO928" s="19">
        <f t="shared" si="658"/>
        <v>0</v>
      </c>
      <c r="AP928" s="19">
        <f t="shared" si="658"/>
        <v>0</v>
      </c>
      <c r="AQ928" s="19">
        <f t="shared" si="658"/>
        <v>0</v>
      </c>
      <c r="AR928" s="19">
        <f t="shared" si="658"/>
        <v>0</v>
      </c>
      <c r="AS928" s="19">
        <f t="shared" si="658"/>
        <v>0</v>
      </c>
      <c r="AT928" s="19">
        <f t="shared" si="658"/>
        <v>0</v>
      </c>
      <c r="AU928" s="19">
        <f t="shared" si="658"/>
        <v>0</v>
      </c>
      <c r="AV928" s="19">
        <f t="shared" si="658"/>
        <v>0</v>
      </c>
      <c r="AW928" s="19">
        <f t="shared" si="658"/>
        <v>0</v>
      </c>
      <c r="AX928" s="19">
        <f t="shared" si="658"/>
        <v>0</v>
      </c>
      <c r="AY928" s="19">
        <f t="shared" si="658"/>
        <v>0</v>
      </c>
      <c r="AZ928" s="19">
        <f t="shared" si="658"/>
        <v>0</v>
      </c>
      <c r="BA928" s="19">
        <f t="shared" si="658"/>
        <v>0</v>
      </c>
      <c r="BB928" s="19">
        <f t="shared" si="658"/>
        <v>0</v>
      </c>
      <c r="BC928" s="19">
        <f t="shared" si="658"/>
        <v>0</v>
      </c>
      <c r="BD928" s="19">
        <f t="shared" si="658"/>
        <v>0</v>
      </c>
    </row>
    <row r="929" spans="1:56" ht="15" customHeight="1">
      <c r="A929" s="26" t="b">
        <f>ROUND(C927-(C928+C929+C930+C813+C931),5)=0</f>
        <v>1</v>
      </c>
      <c r="C929" s="21">
        <f t="shared" si="654"/>
        <v>3436.4425943358506</v>
      </c>
      <c r="D929" s="11" t="s">
        <v>675</v>
      </c>
      <c r="E929" s="18" t="s">
        <v>333</v>
      </c>
      <c r="G929" s="19">
        <f t="shared" ref="G929:AL929" si="659">G807</f>
        <v>-20</v>
      </c>
      <c r="H929" s="19">
        <f t="shared" si="659"/>
        <v>-20.399999999999999</v>
      </c>
      <c r="I929" s="19">
        <f t="shared" si="659"/>
        <v>-41.941125</v>
      </c>
      <c r="J929" s="19">
        <f t="shared" si="659"/>
        <v>-171.11978999999997</v>
      </c>
      <c r="K929" s="19">
        <f t="shared" si="659"/>
        <v>-19.14461992439999</v>
      </c>
      <c r="L929" s="19">
        <f t="shared" si="659"/>
        <v>154.88212118256962</v>
      </c>
      <c r="M929" s="19">
        <f t="shared" si="659"/>
        <v>141.43271382673845</v>
      </c>
      <c r="N929" s="19">
        <f t="shared" si="659"/>
        <v>119.04463358685234</v>
      </c>
      <c r="O929" s="19">
        <f t="shared" si="659"/>
        <v>125.47233938469833</v>
      </c>
      <c r="P929" s="19">
        <f t="shared" si="659"/>
        <v>141.98710877184431</v>
      </c>
      <c r="Q929" s="19">
        <f t="shared" si="659"/>
        <v>144.82685094728129</v>
      </c>
      <c r="R929" s="19">
        <f t="shared" si="659"/>
        <v>147.72338796622682</v>
      </c>
      <c r="S929" s="19">
        <f t="shared" si="659"/>
        <v>150.67785572555135</v>
      </c>
      <c r="T929" s="19">
        <f t="shared" si="659"/>
        <v>153.69141284006241</v>
      </c>
      <c r="U929" s="19">
        <f t="shared" si="659"/>
        <v>156.76524109686363</v>
      </c>
      <c r="V929" s="19">
        <f t="shared" si="659"/>
        <v>159.90054591880084</v>
      </c>
      <c r="W929" s="19">
        <f t="shared" si="659"/>
        <v>163.09855683717694</v>
      </c>
      <c r="X929" s="19">
        <f t="shared" si="659"/>
        <v>166.36052797392051</v>
      </c>
      <c r="Y929" s="19">
        <f t="shared" si="659"/>
        <v>168.48528503350758</v>
      </c>
      <c r="Z929" s="19">
        <f t="shared" si="659"/>
        <v>171.85213745468639</v>
      </c>
      <c r="AA929" s="19">
        <f t="shared" si="659"/>
        <v>175.28263302476296</v>
      </c>
      <c r="AB929" s="19">
        <f t="shared" si="659"/>
        <v>178.77679853127484</v>
      </c>
      <c r="AC929" s="19">
        <f t="shared" si="659"/>
        <v>182.33395218285887</v>
      </c>
      <c r="AD929" s="19">
        <f t="shared" si="659"/>
        <v>183.90752664270076</v>
      </c>
      <c r="AE929" s="19">
        <f t="shared" si="659"/>
        <v>187.54059755589537</v>
      </c>
      <c r="AF929" s="19">
        <f t="shared" si="659"/>
        <v>191.21566219277406</v>
      </c>
      <c r="AG929" s="19">
        <f t="shared" si="659"/>
        <v>219.33729023133662</v>
      </c>
      <c r="AH929" s="19">
        <f t="shared" si="659"/>
        <v>124.96501629485783</v>
      </c>
      <c r="AI929" s="19">
        <f t="shared" si="659"/>
        <v>-0.51206594299233643</v>
      </c>
      <c r="AJ929" s="19">
        <f t="shared" si="659"/>
        <v>0</v>
      </c>
      <c r="AK929" s="19">
        <f t="shared" si="659"/>
        <v>0</v>
      </c>
      <c r="AL929" s="19">
        <f t="shared" si="659"/>
        <v>0</v>
      </c>
      <c r="AM929" s="19">
        <f t="shared" ref="AM929:BD929" si="660">AM807</f>
        <v>0</v>
      </c>
      <c r="AN929" s="19">
        <f t="shared" si="660"/>
        <v>0</v>
      </c>
      <c r="AO929" s="19">
        <f t="shared" si="660"/>
        <v>0</v>
      </c>
      <c r="AP929" s="19">
        <f t="shared" si="660"/>
        <v>0</v>
      </c>
      <c r="AQ929" s="19">
        <f t="shared" si="660"/>
        <v>0</v>
      </c>
      <c r="AR929" s="19">
        <f t="shared" si="660"/>
        <v>0</v>
      </c>
      <c r="AS929" s="19">
        <f t="shared" si="660"/>
        <v>0</v>
      </c>
      <c r="AT929" s="19">
        <f t="shared" si="660"/>
        <v>0</v>
      </c>
      <c r="AU929" s="19">
        <f t="shared" si="660"/>
        <v>0</v>
      </c>
      <c r="AV929" s="19">
        <f t="shared" si="660"/>
        <v>0</v>
      </c>
      <c r="AW929" s="19">
        <f t="shared" si="660"/>
        <v>0</v>
      </c>
      <c r="AX929" s="19">
        <f t="shared" si="660"/>
        <v>0</v>
      </c>
      <c r="AY929" s="19">
        <f t="shared" si="660"/>
        <v>0</v>
      </c>
      <c r="AZ929" s="19">
        <f t="shared" si="660"/>
        <v>0</v>
      </c>
      <c r="BA929" s="19">
        <f t="shared" si="660"/>
        <v>0</v>
      </c>
      <c r="BB929" s="19">
        <f t="shared" si="660"/>
        <v>0</v>
      </c>
      <c r="BC929" s="19">
        <f t="shared" si="660"/>
        <v>0</v>
      </c>
      <c r="BD929" s="19">
        <f t="shared" si="660"/>
        <v>0</v>
      </c>
    </row>
    <row r="930" spans="1:56" ht="15" customHeight="1">
      <c r="C930" s="21">
        <f t="shared" si="654"/>
        <v>56.397836736000066</v>
      </c>
      <c r="D930" s="11" t="s">
        <v>710</v>
      </c>
      <c r="E930" s="18" t="s">
        <v>333</v>
      </c>
      <c r="G930" s="19">
        <f t="shared" ref="G930:AL930" si="661">G101-G863</f>
        <v>0</v>
      </c>
      <c r="H930" s="19">
        <f t="shared" si="661"/>
        <v>0</v>
      </c>
      <c r="I930" s="19">
        <f t="shared" si="661"/>
        <v>-39.015000000000001</v>
      </c>
      <c r="J930" s="19">
        <f t="shared" si="661"/>
        <v>-159.18119999999999</v>
      </c>
      <c r="K930" s="19">
        <f t="shared" si="661"/>
        <v>56.948666112000005</v>
      </c>
      <c r="L930" s="19">
        <f t="shared" si="661"/>
        <v>53.933736729600007</v>
      </c>
      <c r="M930" s="19">
        <f t="shared" si="661"/>
        <v>50.918807347200001</v>
      </c>
      <c r="N930" s="19">
        <f t="shared" si="661"/>
        <v>47.903877964800003</v>
      </c>
      <c r="O930" s="19">
        <f t="shared" si="661"/>
        <v>44.888948582400012</v>
      </c>
      <c r="P930" s="19">
        <f t="shared" si="661"/>
        <v>0</v>
      </c>
      <c r="Q930" s="19">
        <f t="shared" si="661"/>
        <v>0</v>
      </c>
      <c r="R930" s="19">
        <f t="shared" si="661"/>
        <v>0</v>
      </c>
      <c r="S930" s="19">
        <f t="shared" si="661"/>
        <v>0</v>
      </c>
      <c r="T930" s="19">
        <f t="shared" si="661"/>
        <v>0</v>
      </c>
      <c r="U930" s="19">
        <f t="shared" si="661"/>
        <v>0</v>
      </c>
      <c r="V930" s="19">
        <f t="shared" si="661"/>
        <v>0</v>
      </c>
      <c r="W930" s="19">
        <f t="shared" si="661"/>
        <v>0</v>
      </c>
      <c r="X930" s="19">
        <f t="shared" si="661"/>
        <v>0</v>
      </c>
      <c r="Y930" s="19">
        <f t="shared" si="661"/>
        <v>0</v>
      </c>
      <c r="Z930" s="19">
        <f t="shared" si="661"/>
        <v>0</v>
      </c>
      <c r="AA930" s="19">
        <f t="shared" si="661"/>
        <v>0</v>
      </c>
      <c r="AB930" s="19">
        <f t="shared" si="661"/>
        <v>0</v>
      </c>
      <c r="AC930" s="19">
        <f t="shared" si="661"/>
        <v>0</v>
      </c>
      <c r="AD930" s="19">
        <f t="shared" si="661"/>
        <v>0</v>
      </c>
      <c r="AE930" s="19">
        <f t="shared" si="661"/>
        <v>0</v>
      </c>
      <c r="AF930" s="19">
        <f t="shared" si="661"/>
        <v>0</v>
      </c>
      <c r="AG930" s="19">
        <f t="shared" si="661"/>
        <v>0</v>
      </c>
      <c r="AH930" s="19">
        <f t="shared" si="661"/>
        <v>0</v>
      </c>
      <c r="AI930" s="19">
        <f t="shared" si="661"/>
        <v>0</v>
      </c>
      <c r="AJ930" s="19">
        <f t="shared" si="661"/>
        <v>0</v>
      </c>
      <c r="AK930" s="19">
        <f t="shared" si="661"/>
        <v>0</v>
      </c>
      <c r="AL930" s="19">
        <f t="shared" si="661"/>
        <v>0</v>
      </c>
      <c r="AM930" s="19">
        <f t="shared" ref="AM930:BD930" si="662">AM101-AM863</f>
        <v>0</v>
      </c>
      <c r="AN930" s="19">
        <f t="shared" si="662"/>
        <v>0</v>
      </c>
      <c r="AO930" s="19">
        <f t="shared" si="662"/>
        <v>0</v>
      </c>
      <c r="AP930" s="19">
        <f t="shared" si="662"/>
        <v>0</v>
      </c>
      <c r="AQ930" s="19">
        <f t="shared" si="662"/>
        <v>0</v>
      </c>
      <c r="AR930" s="19">
        <f t="shared" si="662"/>
        <v>0</v>
      </c>
      <c r="AS930" s="19">
        <f t="shared" si="662"/>
        <v>0</v>
      </c>
      <c r="AT930" s="19">
        <f t="shared" si="662"/>
        <v>0</v>
      </c>
      <c r="AU930" s="19">
        <f t="shared" si="662"/>
        <v>0</v>
      </c>
      <c r="AV930" s="19">
        <f t="shared" si="662"/>
        <v>0</v>
      </c>
      <c r="AW930" s="19">
        <f t="shared" si="662"/>
        <v>0</v>
      </c>
      <c r="AX930" s="19">
        <f t="shared" si="662"/>
        <v>0</v>
      </c>
      <c r="AY930" s="19">
        <f t="shared" si="662"/>
        <v>0</v>
      </c>
      <c r="AZ930" s="19">
        <f t="shared" si="662"/>
        <v>0</v>
      </c>
      <c r="BA930" s="19">
        <f t="shared" si="662"/>
        <v>0</v>
      </c>
      <c r="BB930" s="19">
        <f t="shared" si="662"/>
        <v>0</v>
      </c>
      <c r="BC930" s="19">
        <f t="shared" si="662"/>
        <v>0</v>
      </c>
      <c r="BD930" s="19">
        <f t="shared" si="662"/>
        <v>0</v>
      </c>
    </row>
    <row r="931" spans="1:56" ht="15" customHeight="1">
      <c r="C931" s="21">
        <f t="shared" si="654"/>
        <v>727.39781169922594</v>
      </c>
      <c r="D931" s="11" t="s">
        <v>576</v>
      </c>
      <c r="E931" s="18" t="s">
        <v>333</v>
      </c>
      <c r="G931" s="19">
        <f t="shared" ref="G931:AL931" si="663">G900</f>
        <v>0</v>
      </c>
      <c r="H931" s="19">
        <f t="shared" si="663"/>
        <v>0</v>
      </c>
      <c r="I931" s="19">
        <f t="shared" si="663"/>
        <v>0</v>
      </c>
      <c r="J931" s="19">
        <f t="shared" si="663"/>
        <v>0</v>
      </c>
      <c r="K931" s="19">
        <f t="shared" si="663"/>
        <v>0</v>
      </c>
      <c r="L931" s="19">
        <f t="shared" si="663"/>
        <v>0</v>
      </c>
      <c r="M931" s="19">
        <f t="shared" si="663"/>
        <v>5.0178412878112573</v>
      </c>
      <c r="N931" s="19">
        <f t="shared" si="663"/>
        <v>25.19463144695289</v>
      </c>
      <c r="O931" s="19">
        <f t="shared" si="663"/>
        <v>26.554992462370038</v>
      </c>
      <c r="P931" s="19">
        <f t="shared" si="663"/>
        <v>30.050181750654883</v>
      </c>
      <c r="Q931" s="19">
        <f t="shared" si="663"/>
        <v>30.65118538566799</v>
      </c>
      <c r="R931" s="19">
        <f t="shared" si="663"/>
        <v>31.264209093381325</v>
      </c>
      <c r="S931" s="19">
        <f t="shared" si="663"/>
        <v>31.88949327524897</v>
      </c>
      <c r="T931" s="19">
        <f t="shared" si="663"/>
        <v>32.527283140753944</v>
      </c>
      <c r="U931" s="19">
        <f t="shared" si="663"/>
        <v>33.177828803569021</v>
      </c>
      <c r="V931" s="19">
        <f t="shared" si="663"/>
        <v>33.841385379640393</v>
      </c>
      <c r="W931" s="19">
        <f t="shared" si="663"/>
        <v>34.518213087233214</v>
      </c>
      <c r="X931" s="19">
        <f t="shared" si="663"/>
        <v>35.20857734897789</v>
      </c>
      <c r="Y931" s="19">
        <f t="shared" si="663"/>
        <v>35.658261382752947</v>
      </c>
      <c r="Z931" s="19">
        <f t="shared" si="663"/>
        <v>36.370822741732582</v>
      </c>
      <c r="AA931" s="19">
        <f t="shared" si="663"/>
        <v>37.096853550214377</v>
      </c>
      <c r="AB931" s="19">
        <f t="shared" si="663"/>
        <v>37.836359477518485</v>
      </c>
      <c r="AC931" s="19">
        <f t="shared" si="663"/>
        <v>38.589196229176522</v>
      </c>
      <c r="AD931" s="19">
        <f t="shared" si="663"/>
        <v>38.922227860889045</v>
      </c>
      <c r="AE931" s="19">
        <f t="shared" si="663"/>
        <v>39.691131757861449</v>
      </c>
      <c r="AF931" s="19">
        <f t="shared" si="663"/>
        <v>40.468923215401901</v>
      </c>
      <c r="AG931" s="19">
        <f t="shared" si="663"/>
        <v>46.420590525150608</v>
      </c>
      <c r="AH931" s="19">
        <f t="shared" si="663"/>
        <v>26.447622496266209</v>
      </c>
      <c r="AI931" s="19">
        <f t="shared" si="663"/>
        <v>0</v>
      </c>
      <c r="AJ931" s="19">
        <f t="shared" si="663"/>
        <v>0</v>
      </c>
      <c r="AK931" s="19">
        <f t="shared" si="663"/>
        <v>0</v>
      </c>
      <c r="AL931" s="19">
        <f t="shared" si="663"/>
        <v>0</v>
      </c>
      <c r="AM931" s="19">
        <f t="shared" ref="AM931:BD931" si="664">AM900</f>
        <v>0</v>
      </c>
      <c r="AN931" s="19">
        <f t="shared" si="664"/>
        <v>0</v>
      </c>
      <c r="AO931" s="19">
        <f t="shared" si="664"/>
        <v>0</v>
      </c>
      <c r="AP931" s="19">
        <f t="shared" si="664"/>
        <v>0</v>
      </c>
      <c r="AQ931" s="19">
        <f t="shared" si="664"/>
        <v>0</v>
      </c>
      <c r="AR931" s="19">
        <f t="shared" si="664"/>
        <v>0</v>
      </c>
      <c r="AS931" s="19">
        <f t="shared" si="664"/>
        <v>0</v>
      </c>
      <c r="AT931" s="19">
        <f t="shared" si="664"/>
        <v>0</v>
      </c>
      <c r="AU931" s="19">
        <f t="shared" si="664"/>
        <v>0</v>
      </c>
      <c r="AV931" s="19">
        <f t="shared" si="664"/>
        <v>0</v>
      </c>
      <c r="AW931" s="19">
        <f t="shared" si="664"/>
        <v>0</v>
      </c>
      <c r="AX931" s="19">
        <f t="shared" si="664"/>
        <v>0</v>
      </c>
      <c r="AY931" s="19">
        <f t="shared" si="664"/>
        <v>0</v>
      </c>
      <c r="AZ931" s="19">
        <f t="shared" si="664"/>
        <v>0</v>
      </c>
      <c r="BA931" s="19">
        <f t="shared" si="664"/>
        <v>0</v>
      </c>
      <c r="BB931" s="19">
        <f t="shared" si="664"/>
        <v>0</v>
      </c>
      <c r="BC931" s="19">
        <f t="shared" si="664"/>
        <v>0</v>
      </c>
      <c r="BD931" s="19">
        <f t="shared" si="664"/>
        <v>0</v>
      </c>
    </row>
    <row r="932" spans="1:56" ht="15" customHeight="1">
      <c r="A932" s="11"/>
      <c r="C932" s="21">
        <f t="shared" si="654"/>
        <v>8621.8708693885055</v>
      </c>
      <c r="D932" s="11" t="s">
        <v>711</v>
      </c>
      <c r="E932" s="18" t="s">
        <v>333</v>
      </c>
      <c r="G932" s="19">
        <f t="shared" ref="G932:AL932" si="665">G927+G52+G53+G54</f>
        <v>0</v>
      </c>
      <c r="H932" s="19">
        <f t="shared" si="665"/>
        <v>0</v>
      </c>
      <c r="I932" s="19">
        <f t="shared" si="665"/>
        <v>0</v>
      </c>
      <c r="J932" s="19">
        <f t="shared" si="665"/>
        <v>0</v>
      </c>
      <c r="K932" s="19">
        <f t="shared" si="665"/>
        <v>145.64124712800003</v>
      </c>
      <c r="L932" s="19">
        <f t="shared" si="665"/>
        <v>302.46293603664009</v>
      </c>
      <c r="M932" s="19">
        <f t="shared" si="665"/>
        <v>308.51219475737287</v>
      </c>
      <c r="N932" s="19">
        <f t="shared" si="665"/>
        <v>314.6824386525202</v>
      </c>
      <c r="O932" s="19">
        <f t="shared" si="665"/>
        <v>320.97608742557065</v>
      </c>
      <c r="P932" s="19">
        <f t="shared" si="665"/>
        <v>327.3956091740821</v>
      </c>
      <c r="Q932" s="19">
        <f t="shared" si="665"/>
        <v>333.94352135756378</v>
      </c>
      <c r="R932" s="19">
        <f t="shared" si="665"/>
        <v>340.62239178471492</v>
      </c>
      <c r="S932" s="19">
        <f t="shared" si="665"/>
        <v>347.43483962040932</v>
      </c>
      <c r="T932" s="19">
        <f t="shared" si="665"/>
        <v>354.38353641281753</v>
      </c>
      <c r="U932" s="19">
        <f t="shared" si="665"/>
        <v>361.47120714107388</v>
      </c>
      <c r="V932" s="19">
        <f t="shared" si="665"/>
        <v>368.70063128389523</v>
      </c>
      <c r="W932" s="19">
        <f t="shared" si="665"/>
        <v>376.07464390957324</v>
      </c>
      <c r="X932" s="19">
        <f t="shared" si="665"/>
        <v>383.59613678776475</v>
      </c>
      <c r="Y932" s="19">
        <f t="shared" si="665"/>
        <v>391.26805952351998</v>
      </c>
      <c r="Z932" s="19">
        <f t="shared" si="665"/>
        <v>399.09342071399033</v>
      </c>
      <c r="AA932" s="19">
        <f t="shared" si="665"/>
        <v>407.07528912827019</v>
      </c>
      <c r="AB932" s="19">
        <f t="shared" si="665"/>
        <v>415.21679491083563</v>
      </c>
      <c r="AC932" s="19">
        <f t="shared" si="665"/>
        <v>423.52113080905235</v>
      </c>
      <c r="AD932" s="19">
        <f t="shared" si="665"/>
        <v>428.12815022796428</v>
      </c>
      <c r="AE932" s="19">
        <f t="shared" si="665"/>
        <v>436.69071323252354</v>
      </c>
      <c r="AF932" s="19">
        <f t="shared" si="665"/>
        <v>445.42452749717404</v>
      </c>
      <c r="AG932" s="19">
        <f t="shared" si="665"/>
        <v>487.80138033419814</v>
      </c>
      <c r="AH932" s="19">
        <f t="shared" si="665"/>
        <v>227.86934463158744</v>
      </c>
      <c r="AI932" s="19">
        <f t="shared" si="665"/>
        <v>-26.115363092608906</v>
      </c>
      <c r="AJ932" s="19">
        <f t="shared" si="665"/>
        <v>0</v>
      </c>
      <c r="AK932" s="19">
        <f t="shared" si="665"/>
        <v>0</v>
      </c>
      <c r="AL932" s="19">
        <f t="shared" si="665"/>
        <v>0</v>
      </c>
      <c r="AM932" s="19">
        <f t="shared" ref="AM932:BD932" si="666">AM927+AM52+AM53+AM54</f>
        <v>0</v>
      </c>
      <c r="AN932" s="19">
        <f t="shared" si="666"/>
        <v>0</v>
      </c>
      <c r="AO932" s="19">
        <f t="shared" si="666"/>
        <v>0</v>
      </c>
      <c r="AP932" s="19">
        <f t="shared" si="666"/>
        <v>0</v>
      </c>
      <c r="AQ932" s="19">
        <f t="shared" si="666"/>
        <v>0</v>
      </c>
      <c r="AR932" s="19">
        <f t="shared" si="666"/>
        <v>0</v>
      </c>
      <c r="AS932" s="19">
        <f t="shared" si="666"/>
        <v>0</v>
      </c>
      <c r="AT932" s="19">
        <f t="shared" si="666"/>
        <v>0</v>
      </c>
      <c r="AU932" s="19">
        <f t="shared" si="666"/>
        <v>0</v>
      </c>
      <c r="AV932" s="19">
        <f t="shared" si="666"/>
        <v>0</v>
      </c>
      <c r="AW932" s="19">
        <f t="shared" si="666"/>
        <v>0</v>
      </c>
      <c r="AX932" s="19">
        <f t="shared" si="666"/>
        <v>0</v>
      </c>
      <c r="AY932" s="19">
        <f t="shared" si="666"/>
        <v>0</v>
      </c>
      <c r="AZ932" s="19">
        <f t="shared" si="666"/>
        <v>0</v>
      </c>
      <c r="BA932" s="19">
        <f t="shared" si="666"/>
        <v>0</v>
      </c>
      <c r="BB932" s="19">
        <f t="shared" si="666"/>
        <v>0</v>
      </c>
      <c r="BC932" s="19">
        <f t="shared" si="666"/>
        <v>0</v>
      </c>
      <c r="BD932" s="19">
        <f t="shared" si="666"/>
        <v>0</v>
      </c>
    </row>
    <row r="933" spans="1:56" ht="15" customHeight="1">
      <c r="A933" s="11"/>
    </row>
    <row r="934" spans="1:56" ht="15" customHeight="1">
      <c r="A934" s="11"/>
      <c r="D934" s="9" t="s">
        <v>712</v>
      </c>
    </row>
    <row r="935" spans="1:56" ht="15" customHeight="1">
      <c r="C935" s="21">
        <f t="shared" ref="C935:C940" si="667">SUM(G935:BD935)</f>
        <v>5800.1499999999987</v>
      </c>
      <c r="D935" s="11" t="s">
        <v>319</v>
      </c>
      <c r="E935" s="18" t="s">
        <v>289</v>
      </c>
      <c r="G935" s="19">
        <f t="shared" ref="G935:AL935" si="668">G927/G$816</f>
        <v>-20</v>
      </c>
      <c r="H935" s="19">
        <f t="shared" si="668"/>
        <v>-20</v>
      </c>
      <c r="I935" s="19">
        <f t="shared" si="668"/>
        <v>-75</v>
      </c>
      <c r="J935" s="19">
        <f t="shared" si="668"/>
        <v>-300</v>
      </c>
      <c r="K935" s="19">
        <f t="shared" si="668"/>
        <v>59.550000000000033</v>
      </c>
      <c r="L935" s="19">
        <f t="shared" si="668"/>
        <v>273.9500000000001</v>
      </c>
      <c r="M935" s="19">
        <f t="shared" si="668"/>
        <v>273.95000000000005</v>
      </c>
      <c r="N935" s="19">
        <f t="shared" si="668"/>
        <v>273.95</v>
      </c>
      <c r="O935" s="19">
        <f t="shared" si="668"/>
        <v>273.95</v>
      </c>
      <c r="P935" s="19">
        <f t="shared" si="668"/>
        <v>273.95000000000005</v>
      </c>
      <c r="Q935" s="19">
        <f t="shared" si="668"/>
        <v>273.95000000000005</v>
      </c>
      <c r="R935" s="19">
        <f t="shared" si="668"/>
        <v>273.95</v>
      </c>
      <c r="S935" s="19">
        <f t="shared" si="668"/>
        <v>273.95000000000005</v>
      </c>
      <c r="T935" s="19">
        <f t="shared" si="668"/>
        <v>273.95000000000005</v>
      </c>
      <c r="U935" s="19">
        <f t="shared" si="668"/>
        <v>273.95000000000005</v>
      </c>
      <c r="V935" s="19">
        <f t="shared" si="668"/>
        <v>273.95000000000005</v>
      </c>
      <c r="W935" s="19">
        <f t="shared" si="668"/>
        <v>273.95000000000005</v>
      </c>
      <c r="X935" s="19">
        <f t="shared" si="668"/>
        <v>273.95000000000005</v>
      </c>
      <c r="Y935" s="19">
        <f t="shared" si="668"/>
        <v>273.95000000000005</v>
      </c>
      <c r="Z935" s="19">
        <f t="shared" si="668"/>
        <v>273.95000000000005</v>
      </c>
      <c r="AA935" s="19">
        <f t="shared" si="668"/>
        <v>273.95000000000005</v>
      </c>
      <c r="AB935" s="19">
        <f t="shared" si="668"/>
        <v>273.9500000000001</v>
      </c>
      <c r="AC935" s="19">
        <f t="shared" si="668"/>
        <v>273.95000000000005</v>
      </c>
      <c r="AD935" s="19">
        <f t="shared" si="668"/>
        <v>271.5</v>
      </c>
      <c r="AE935" s="19">
        <f t="shared" si="668"/>
        <v>271.49999999999994</v>
      </c>
      <c r="AF935" s="19">
        <f t="shared" si="668"/>
        <v>271.5</v>
      </c>
      <c r="AG935" s="19">
        <f t="shared" si="668"/>
        <v>291.50000000000006</v>
      </c>
      <c r="AH935" s="19">
        <f t="shared" si="668"/>
        <v>133.5</v>
      </c>
      <c r="AI935" s="19">
        <f t="shared" si="668"/>
        <v>-15.000000000000002</v>
      </c>
      <c r="AJ935" s="19">
        <f t="shared" si="668"/>
        <v>0</v>
      </c>
      <c r="AK935" s="19">
        <f t="shared" si="668"/>
        <v>0</v>
      </c>
      <c r="AL935" s="19">
        <f t="shared" si="668"/>
        <v>0</v>
      </c>
      <c r="AM935" s="19">
        <f t="shared" ref="AM935:BD935" si="669">AM927/AM$816</f>
        <v>0</v>
      </c>
      <c r="AN935" s="19">
        <f t="shared" si="669"/>
        <v>0</v>
      </c>
      <c r="AO935" s="19">
        <f t="shared" si="669"/>
        <v>0</v>
      </c>
      <c r="AP935" s="19">
        <f t="shared" si="669"/>
        <v>0</v>
      </c>
      <c r="AQ935" s="19">
        <f t="shared" si="669"/>
        <v>0</v>
      </c>
      <c r="AR935" s="19">
        <f t="shared" si="669"/>
        <v>0</v>
      </c>
      <c r="AS935" s="19">
        <f t="shared" si="669"/>
        <v>0</v>
      </c>
      <c r="AT935" s="19">
        <f t="shared" si="669"/>
        <v>0</v>
      </c>
      <c r="AU935" s="19">
        <f t="shared" si="669"/>
        <v>0</v>
      </c>
      <c r="AV935" s="19">
        <f t="shared" si="669"/>
        <v>0</v>
      </c>
      <c r="AW935" s="19">
        <f t="shared" si="669"/>
        <v>0</v>
      </c>
      <c r="AX935" s="19">
        <f t="shared" si="669"/>
        <v>0</v>
      </c>
      <c r="AY935" s="19">
        <f t="shared" si="669"/>
        <v>0</v>
      </c>
      <c r="AZ935" s="19">
        <f t="shared" si="669"/>
        <v>0</v>
      </c>
      <c r="BA935" s="19">
        <f t="shared" si="669"/>
        <v>0</v>
      </c>
      <c r="BB935" s="19">
        <f t="shared" si="669"/>
        <v>0</v>
      </c>
      <c r="BC935" s="19">
        <f t="shared" si="669"/>
        <v>0</v>
      </c>
      <c r="BD935" s="19">
        <f t="shared" si="669"/>
        <v>0</v>
      </c>
    </row>
    <row r="936" spans="1:56" ht="15" customHeight="1">
      <c r="C936" s="21">
        <f t="shared" si="667"/>
        <v>2811.6810925783343</v>
      </c>
      <c r="D936" s="11" t="s">
        <v>709</v>
      </c>
      <c r="E936" s="18" t="s">
        <v>289</v>
      </c>
      <c r="G936" s="19">
        <f t="shared" ref="G936:AL936" si="670">G928/G$816</f>
        <v>0</v>
      </c>
      <c r="H936" s="19">
        <f t="shared" si="670"/>
        <v>0</v>
      </c>
      <c r="I936" s="19">
        <f t="shared" si="670"/>
        <v>2.8125000000000004</v>
      </c>
      <c r="J936" s="19">
        <f t="shared" si="670"/>
        <v>11.25</v>
      </c>
      <c r="K936" s="19">
        <f t="shared" si="670"/>
        <v>24.624904844290661</v>
      </c>
      <c r="L936" s="19">
        <f t="shared" si="670"/>
        <v>84.819043907882019</v>
      </c>
      <c r="M936" s="19">
        <f t="shared" si="670"/>
        <v>98.691654413632619</v>
      </c>
      <c r="N936" s="19">
        <f t="shared" si="670"/>
        <v>106.67783111169537</v>
      </c>
      <c r="O936" s="19">
        <f t="shared" si="670"/>
        <v>105.88385072287689</v>
      </c>
      <c r="P936" s="19">
        <f t="shared" si="670"/>
        <v>129.99689122883447</v>
      </c>
      <c r="Q936" s="19">
        <f t="shared" si="670"/>
        <v>129.99689122883447</v>
      </c>
      <c r="R936" s="19">
        <f t="shared" si="670"/>
        <v>129.99689122883444</v>
      </c>
      <c r="S936" s="19">
        <f t="shared" si="670"/>
        <v>129.99689122883447</v>
      </c>
      <c r="T936" s="19">
        <f t="shared" si="670"/>
        <v>129.99689122883444</v>
      </c>
      <c r="U936" s="19">
        <f t="shared" si="670"/>
        <v>129.99689122883444</v>
      </c>
      <c r="V936" s="19">
        <f t="shared" si="670"/>
        <v>129.99689122883444</v>
      </c>
      <c r="W936" s="19">
        <f t="shared" si="670"/>
        <v>129.99689122883447</v>
      </c>
      <c r="X936" s="19">
        <f t="shared" si="670"/>
        <v>129.99689122883447</v>
      </c>
      <c r="Y936" s="19">
        <f t="shared" si="670"/>
        <v>129.42607304701627</v>
      </c>
      <c r="Z936" s="19">
        <f t="shared" si="670"/>
        <v>129.42474512170131</v>
      </c>
      <c r="AA936" s="19">
        <f t="shared" si="670"/>
        <v>129.42175779046863</v>
      </c>
      <c r="AB936" s="19">
        <f t="shared" si="670"/>
        <v>129.41661923043659</v>
      </c>
      <c r="AC936" s="19">
        <f t="shared" si="670"/>
        <v>129.40855748427515</v>
      </c>
      <c r="AD936" s="19">
        <f t="shared" si="670"/>
        <v>128.51720421803938</v>
      </c>
      <c r="AE936" s="19">
        <f t="shared" si="670"/>
        <v>128.49820180648638</v>
      </c>
      <c r="AF936" s="19">
        <f t="shared" si="670"/>
        <v>128.46689811580578</v>
      </c>
      <c r="AG936" s="19">
        <f t="shared" si="670"/>
        <v>130.70409092194362</v>
      </c>
      <c r="AH936" s="19">
        <f t="shared" si="670"/>
        <v>43.665138782273267</v>
      </c>
      <c r="AI936" s="19">
        <f t="shared" si="670"/>
        <v>0</v>
      </c>
      <c r="AJ936" s="19">
        <f t="shared" si="670"/>
        <v>0</v>
      </c>
      <c r="AK936" s="19">
        <f t="shared" si="670"/>
        <v>0</v>
      </c>
      <c r="AL936" s="19">
        <f t="shared" si="670"/>
        <v>0</v>
      </c>
      <c r="AM936" s="19">
        <f t="shared" ref="AM936:BD936" si="671">AM928/AM$816</f>
        <v>0</v>
      </c>
      <c r="AN936" s="19">
        <f t="shared" si="671"/>
        <v>0</v>
      </c>
      <c r="AO936" s="19">
        <f t="shared" si="671"/>
        <v>0</v>
      </c>
      <c r="AP936" s="19">
        <f t="shared" si="671"/>
        <v>0</v>
      </c>
      <c r="AQ936" s="19">
        <f t="shared" si="671"/>
        <v>0</v>
      </c>
      <c r="AR936" s="19">
        <f t="shared" si="671"/>
        <v>0</v>
      </c>
      <c r="AS936" s="19">
        <f t="shared" si="671"/>
        <v>0</v>
      </c>
      <c r="AT936" s="19">
        <f t="shared" si="671"/>
        <v>0</v>
      </c>
      <c r="AU936" s="19">
        <f t="shared" si="671"/>
        <v>0</v>
      </c>
      <c r="AV936" s="19">
        <f t="shared" si="671"/>
        <v>0</v>
      </c>
      <c r="AW936" s="19">
        <f t="shared" si="671"/>
        <v>0</v>
      </c>
      <c r="AX936" s="19">
        <f t="shared" si="671"/>
        <v>0</v>
      </c>
      <c r="AY936" s="19">
        <f t="shared" si="671"/>
        <v>0</v>
      </c>
      <c r="AZ936" s="19">
        <f t="shared" si="671"/>
        <v>0</v>
      </c>
      <c r="BA936" s="19">
        <f t="shared" si="671"/>
        <v>0</v>
      </c>
      <c r="BB936" s="19">
        <f t="shared" si="671"/>
        <v>0</v>
      </c>
      <c r="BC936" s="19">
        <f t="shared" si="671"/>
        <v>0</v>
      </c>
      <c r="BD936" s="19">
        <f t="shared" si="671"/>
        <v>0</v>
      </c>
    </row>
    <row r="937" spans="1:56" ht="15" customHeight="1">
      <c r="A937" s="26" t="b">
        <f>ROUND(C935-(C936+C937+C938+C834+C939),5)=0</f>
        <v>1</v>
      </c>
      <c r="C937" s="21">
        <f t="shared" si="667"/>
        <v>2430.1717779118221</v>
      </c>
      <c r="D937" s="11" t="s">
        <v>675</v>
      </c>
      <c r="E937" s="18" t="s">
        <v>289</v>
      </c>
      <c r="G937" s="19">
        <f t="shared" ref="G937:AL937" si="672">G929/G$816</f>
        <v>-20</v>
      </c>
      <c r="H937" s="19">
        <f t="shared" si="672"/>
        <v>-20</v>
      </c>
      <c r="I937" s="19">
        <f t="shared" si="672"/>
        <v>-40.3125</v>
      </c>
      <c r="J937" s="19">
        <f t="shared" si="672"/>
        <v>-161.24999999999997</v>
      </c>
      <c r="K937" s="19">
        <f t="shared" si="672"/>
        <v>-17.686669550173001</v>
      </c>
      <c r="L937" s="19">
        <f t="shared" si="672"/>
        <v>140.28150904686396</v>
      </c>
      <c r="M937" s="19">
        <f t="shared" si="672"/>
        <v>125.5882023830731</v>
      </c>
      <c r="N937" s="19">
        <f t="shared" si="672"/>
        <v>103.63551747839811</v>
      </c>
      <c r="O937" s="19">
        <f t="shared" si="672"/>
        <v>107.08943351553783</v>
      </c>
      <c r="P937" s="19">
        <f t="shared" si="672"/>
        <v>118.80846095087466</v>
      </c>
      <c r="Q937" s="19">
        <f t="shared" si="672"/>
        <v>118.80846095087473</v>
      </c>
      <c r="R937" s="19">
        <f t="shared" si="672"/>
        <v>118.80846095087468</v>
      </c>
      <c r="S937" s="19">
        <f t="shared" si="672"/>
        <v>118.80846095087465</v>
      </c>
      <c r="T937" s="19">
        <f t="shared" si="672"/>
        <v>118.80846095087469</v>
      </c>
      <c r="U937" s="19">
        <f t="shared" si="672"/>
        <v>118.80846095087465</v>
      </c>
      <c r="V937" s="19">
        <f t="shared" si="672"/>
        <v>118.80846095087463</v>
      </c>
      <c r="W937" s="19">
        <f t="shared" si="672"/>
        <v>118.80846095087468</v>
      </c>
      <c r="X937" s="19">
        <f t="shared" si="672"/>
        <v>118.80846095087469</v>
      </c>
      <c r="Y937" s="19">
        <f t="shared" si="672"/>
        <v>117.96655185996555</v>
      </c>
      <c r="Z937" s="19">
        <f t="shared" si="672"/>
        <v>117.96459328115648</v>
      </c>
      <c r="AA937" s="19">
        <f t="shared" si="672"/>
        <v>117.96018721736519</v>
      </c>
      <c r="AB937" s="19">
        <f t="shared" si="672"/>
        <v>117.95260827096342</v>
      </c>
      <c r="AC937" s="19">
        <f t="shared" si="672"/>
        <v>117.94071786943424</v>
      </c>
      <c r="AD937" s="19">
        <f t="shared" si="672"/>
        <v>116.62604632960173</v>
      </c>
      <c r="AE937" s="19">
        <f t="shared" si="672"/>
        <v>116.59801936139137</v>
      </c>
      <c r="AF937" s="19">
        <f t="shared" si="672"/>
        <v>116.55184903500296</v>
      </c>
      <c r="AG937" s="19">
        <f t="shared" si="672"/>
        <v>131.07142103335337</v>
      </c>
      <c r="AH937" s="19">
        <f t="shared" si="672"/>
        <v>73.2122598690747</v>
      </c>
      <c r="AI937" s="19">
        <f t="shared" si="672"/>
        <v>-0.29411764705882637</v>
      </c>
      <c r="AJ937" s="19">
        <f t="shared" si="672"/>
        <v>0</v>
      </c>
      <c r="AK937" s="19">
        <f t="shared" si="672"/>
        <v>0</v>
      </c>
      <c r="AL937" s="19">
        <f t="shared" si="672"/>
        <v>0</v>
      </c>
      <c r="AM937" s="19">
        <f t="shared" ref="AM937:BD937" si="673">AM929/AM$816</f>
        <v>0</v>
      </c>
      <c r="AN937" s="19">
        <f t="shared" si="673"/>
        <v>0</v>
      </c>
      <c r="AO937" s="19">
        <f t="shared" si="673"/>
        <v>0</v>
      </c>
      <c r="AP937" s="19">
        <f t="shared" si="673"/>
        <v>0</v>
      </c>
      <c r="AQ937" s="19">
        <f t="shared" si="673"/>
        <v>0</v>
      </c>
      <c r="AR937" s="19">
        <f t="shared" si="673"/>
        <v>0</v>
      </c>
      <c r="AS937" s="19">
        <f t="shared" si="673"/>
        <v>0</v>
      </c>
      <c r="AT937" s="19">
        <f t="shared" si="673"/>
        <v>0</v>
      </c>
      <c r="AU937" s="19">
        <f t="shared" si="673"/>
        <v>0</v>
      </c>
      <c r="AV937" s="19">
        <f t="shared" si="673"/>
        <v>0</v>
      </c>
      <c r="AW937" s="19">
        <f t="shared" si="673"/>
        <v>0</v>
      </c>
      <c r="AX937" s="19">
        <f t="shared" si="673"/>
        <v>0</v>
      </c>
      <c r="AY937" s="19">
        <f t="shared" si="673"/>
        <v>0</v>
      </c>
      <c r="AZ937" s="19">
        <f t="shared" si="673"/>
        <v>0</v>
      </c>
      <c r="BA937" s="19">
        <f t="shared" si="673"/>
        <v>0</v>
      </c>
      <c r="BB937" s="19">
        <f t="shared" si="673"/>
        <v>0</v>
      </c>
      <c r="BC937" s="19">
        <f t="shared" si="673"/>
        <v>0</v>
      </c>
      <c r="BD937" s="19">
        <f t="shared" si="673"/>
        <v>0</v>
      </c>
    </row>
    <row r="938" spans="1:56" ht="15" customHeight="1">
      <c r="C938" s="21">
        <f t="shared" si="667"/>
        <v>39.191149435763919</v>
      </c>
      <c r="D938" s="11" t="s">
        <v>710</v>
      </c>
      <c r="E938" s="18" t="s">
        <v>289</v>
      </c>
      <c r="G938" s="19">
        <f>G930/G$816</f>
        <v>0</v>
      </c>
      <c r="H938" s="19">
        <f t="shared" ref="G938:AL939" si="674">H930/H$816</f>
        <v>0</v>
      </c>
      <c r="I938" s="19">
        <f t="shared" si="674"/>
        <v>-37.5</v>
      </c>
      <c r="J938" s="19">
        <f t="shared" si="674"/>
        <v>-150</v>
      </c>
      <c r="K938" s="19">
        <f t="shared" si="674"/>
        <v>52.611764705882358</v>
      </c>
      <c r="L938" s="19">
        <f t="shared" si="674"/>
        <v>48.849447045254095</v>
      </c>
      <c r="M938" s="19">
        <f t="shared" si="674"/>
        <v>45.214443739365613</v>
      </c>
      <c r="N938" s="19">
        <f t="shared" si="674"/>
        <v>41.703208557335422</v>
      </c>
      <c r="O938" s="19">
        <f t="shared" si="674"/>
        <v>38.312285387926423</v>
      </c>
      <c r="P938" s="19">
        <f t="shared" si="674"/>
        <v>0</v>
      </c>
      <c r="Q938" s="19">
        <f t="shared" si="674"/>
        <v>0</v>
      </c>
      <c r="R938" s="19">
        <f t="shared" si="674"/>
        <v>0</v>
      </c>
      <c r="S938" s="19">
        <f t="shared" si="674"/>
        <v>0</v>
      </c>
      <c r="T938" s="19">
        <f t="shared" si="674"/>
        <v>0</v>
      </c>
      <c r="U938" s="19">
        <f t="shared" si="674"/>
        <v>0</v>
      </c>
      <c r="V938" s="19">
        <f t="shared" si="674"/>
        <v>0</v>
      </c>
      <c r="W938" s="19">
        <f t="shared" si="674"/>
        <v>0</v>
      </c>
      <c r="X938" s="19">
        <f t="shared" si="674"/>
        <v>0</v>
      </c>
      <c r="Y938" s="19">
        <f t="shared" si="674"/>
        <v>0</v>
      </c>
      <c r="Z938" s="19">
        <f t="shared" si="674"/>
        <v>0</v>
      </c>
      <c r="AA938" s="19">
        <f t="shared" si="674"/>
        <v>0</v>
      </c>
      <c r="AB938" s="19">
        <f t="shared" si="674"/>
        <v>0</v>
      </c>
      <c r="AC938" s="19">
        <f t="shared" si="674"/>
        <v>0</v>
      </c>
      <c r="AD938" s="19">
        <f t="shared" si="674"/>
        <v>0</v>
      </c>
      <c r="AE938" s="19">
        <f t="shared" si="674"/>
        <v>0</v>
      </c>
      <c r="AF938" s="19">
        <f t="shared" si="674"/>
        <v>0</v>
      </c>
      <c r="AG938" s="19">
        <f t="shared" si="674"/>
        <v>0</v>
      </c>
      <c r="AH938" s="19">
        <f t="shared" si="674"/>
        <v>0</v>
      </c>
      <c r="AI938" s="19">
        <f t="shared" si="674"/>
        <v>0</v>
      </c>
      <c r="AJ938" s="19">
        <f t="shared" si="674"/>
        <v>0</v>
      </c>
      <c r="AK938" s="19">
        <f t="shared" si="674"/>
        <v>0</v>
      </c>
      <c r="AL938" s="19">
        <f t="shared" si="674"/>
        <v>0</v>
      </c>
      <c r="AM938" s="19">
        <f t="shared" ref="AM938:BD939" si="675">AM930/AM$816</f>
        <v>0</v>
      </c>
      <c r="AN938" s="19">
        <f t="shared" si="675"/>
        <v>0</v>
      </c>
      <c r="AO938" s="19">
        <f t="shared" si="675"/>
        <v>0</v>
      </c>
      <c r="AP938" s="19">
        <f t="shared" si="675"/>
        <v>0</v>
      </c>
      <c r="AQ938" s="19">
        <f t="shared" si="675"/>
        <v>0</v>
      </c>
      <c r="AR938" s="19">
        <f t="shared" si="675"/>
        <v>0</v>
      </c>
      <c r="AS938" s="19">
        <f t="shared" si="675"/>
        <v>0</v>
      </c>
      <c r="AT938" s="19">
        <f t="shared" si="675"/>
        <v>0</v>
      </c>
      <c r="AU938" s="19">
        <f t="shared" si="675"/>
        <v>0</v>
      </c>
      <c r="AV938" s="19">
        <f t="shared" si="675"/>
        <v>0</v>
      </c>
      <c r="AW938" s="19">
        <f t="shared" si="675"/>
        <v>0</v>
      </c>
      <c r="AX938" s="19">
        <f t="shared" si="675"/>
        <v>0</v>
      </c>
      <c r="AY938" s="19">
        <f t="shared" si="675"/>
        <v>0</v>
      </c>
      <c r="AZ938" s="19">
        <f t="shared" si="675"/>
        <v>0</v>
      </c>
      <c r="BA938" s="19">
        <f t="shared" si="675"/>
        <v>0</v>
      </c>
      <c r="BB938" s="19">
        <f t="shared" si="675"/>
        <v>0</v>
      </c>
      <c r="BC938" s="19">
        <f t="shared" si="675"/>
        <v>0</v>
      </c>
      <c r="BD938" s="19">
        <f t="shared" si="675"/>
        <v>0</v>
      </c>
    </row>
    <row r="939" spans="1:56" ht="15" customHeight="1">
      <c r="C939" s="21">
        <f t="shared" si="667"/>
        <v>517.43884309972077</v>
      </c>
      <c r="D939" s="11" t="s">
        <v>576</v>
      </c>
      <c r="E939" s="18" t="s">
        <v>289</v>
      </c>
      <c r="G939" s="19">
        <f t="shared" si="674"/>
        <v>0</v>
      </c>
      <c r="H939" s="19">
        <f t="shared" si="674"/>
        <v>0</v>
      </c>
      <c r="I939" s="19">
        <f t="shared" si="674"/>
        <v>0</v>
      </c>
      <c r="J939" s="19">
        <f t="shared" si="674"/>
        <v>0</v>
      </c>
      <c r="K939" s="19">
        <f t="shared" si="674"/>
        <v>0</v>
      </c>
      <c r="L939" s="19">
        <f t="shared" si="674"/>
        <v>0</v>
      </c>
      <c r="M939" s="19">
        <f t="shared" si="674"/>
        <v>4.4556994639287035</v>
      </c>
      <c r="N939" s="19">
        <f t="shared" si="674"/>
        <v>21.933442852571041</v>
      </c>
      <c r="O939" s="19">
        <f t="shared" si="674"/>
        <v>22.664430373658821</v>
      </c>
      <c r="P939" s="19">
        <f t="shared" si="674"/>
        <v>25.144647820290935</v>
      </c>
      <c r="Q939" s="19">
        <f t="shared" si="674"/>
        <v>25.144647820290942</v>
      </c>
      <c r="R939" s="19">
        <f t="shared" si="674"/>
        <v>25.144647820290928</v>
      </c>
      <c r="S939" s="19">
        <f t="shared" si="674"/>
        <v>25.144647820290938</v>
      </c>
      <c r="T939" s="19">
        <f t="shared" si="674"/>
        <v>25.144647820290935</v>
      </c>
      <c r="U939" s="19">
        <f t="shared" si="674"/>
        <v>25.144647820290931</v>
      </c>
      <c r="V939" s="19">
        <f t="shared" si="674"/>
        <v>25.144647820290931</v>
      </c>
      <c r="W939" s="19">
        <f t="shared" si="674"/>
        <v>25.144647820290935</v>
      </c>
      <c r="X939" s="19">
        <f t="shared" si="674"/>
        <v>25.144647820290942</v>
      </c>
      <c r="Y939" s="19">
        <f t="shared" si="674"/>
        <v>24.966466002109126</v>
      </c>
      <c r="Z939" s="19">
        <f t="shared" si="674"/>
        <v>24.966051488075454</v>
      </c>
      <c r="AA939" s="19">
        <f t="shared" si="674"/>
        <v>24.965118987802153</v>
      </c>
      <c r="AB939" s="19">
        <f t="shared" si="674"/>
        <v>24.963514977981678</v>
      </c>
      <c r="AC939" s="19">
        <f t="shared" si="674"/>
        <v>24.960998490885583</v>
      </c>
      <c r="AD939" s="19">
        <f t="shared" si="674"/>
        <v>24.682761127958038</v>
      </c>
      <c r="AE939" s="19">
        <f t="shared" si="674"/>
        <v>24.676829494474362</v>
      </c>
      <c r="AF939" s="19">
        <f t="shared" si="674"/>
        <v>24.667057996826014</v>
      </c>
      <c r="AG939" s="19">
        <f t="shared" si="674"/>
        <v>27.739983287482197</v>
      </c>
      <c r="AH939" s="19">
        <f t="shared" si="674"/>
        <v>15.494658173349142</v>
      </c>
      <c r="AI939" s="19">
        <f t="shared" si="674"/>
        <v>0</v>
      </c>
      <c r="AJ939" s="19">
        <f t="shared" si="674"/>
        <v>0</v>
      </c>
      <c r="AK939" s="19">
        <f t="shared" si="674"/>
        <v>0</v>
      </c>
      <c r="AL939" s="19">
        <f t="shared" si="674"/>
        <v>0</v>
      </c>
      <c r="AM939" s="19">
        <f t="shared" si="675"/>
        <v>0</v>
      </c>
      <c r="AN939" s="19">
        <f t="shared" si="675"/>
        <v>0</v>
      </c>
      <c r="AO939" s="19">
        <f t="shared" si="675"/>
        <v>0</v>
      </c>
      <c r="AP939" s="19">
        <f t="shared" si="675"/>
        <v>0</v>
      </c>
      <c r="AQ939" s="19">
        <f t="shared" si="675"/>
        <v>0</v>
      </c>
      <c r="AR939" s="19">
        <f t="shared" si="675"/>
        <v>0</v>
      </c>
      <c r="AS939" s="19">
        <f t="shared" si="675"/>
        <v>0</v>
      </c>
      <c r="AT939" s="19">
        <f t="shared" si="675"/>
        <v>0</v>
      </c>
      <c r="AU939" s="19">
        <f t="shared" si="675"/>
        <v>0</v>
      </c>
      <c r="AV939" s="19">
        <f t="shared" si="675"/>
        <v>0</v>
      </c>
      <c r="AW939" s="19">
        <f t="shared" si="675"/>
        <v>0</v>
      </c>
      <c r="AX939" s="19">
        <f t="shared" si="675"/>
        <v>0</v>
      </c>
      <c r="AY939" s="19">
        <f t="shared" si="675"/>
        <v>0</v>
      </c>
      <c r="AZ939" s="19">
        <f t="shared" si="675"/>
        <v>0</v>
      </c>
      <c r="BA939" s="19">
        <f t="shared" si="675"/>
        <v>0</v>
      </c>
      <c r="BB939" s="19">
        <f t="shared" si="675"/>
        <v>0</v>
      </c>
      <c r="BC939" s="19">
        <f t="shared" si="675"/>
        <v>0</v>
      </c>
      <c r="BD939" s="19">
        <f t="shared" si="675"/>
        <v>0</v>
      </c>
    </row>
    <row r="940" spans="1:56" ht="15" customHeight="1">
      <c r="A940" s="181"/>
      <c r="B940" s="113"/>
      <c r="C940" s="21">
        <f t="shared" si="667"/>
        <v>6290.1499999999987</v>
      </c>
      <c r="D940" s="11" t="s">
        <v>711</v>
      </c>
      <c r="E940" s="18" t="s">
        <v>289</v>
      </c>
      <c r="G940" s="19">
        <f>G932/G$816</f>
        <v>0</v>
      </c>
      <c r="H940" s="19">
        <f t="shared" ref="H940:AL940" si="676">H932/H$816</f>
        <v>0</v>
      </c>
      <c r="I940" s="19">
        <f t="shared" si="676"/>
        <v>0</v>
      </c>
      <c r="J940" s="19">
        <f t="shared" si="676"/>
        <v>0</v>
      </c>
      <c r="K940" s="19">
        <f t="shared" si="676"/>
        <v>134.55000000000004</v>
      </c>
      <c r="L940" s="19">
        <f t="shared" si="676"/>
        <v>273.9500000000001</v>
      </c>
      <c r="M940" s="19">
        <f t="shared" si="676"/>
        <v>273.95000000000005</v>
      </c>
      <c r="N940" s="19">
        <f t="shared" si="676"/>
        <v>273.95</v>
      </c>
      <c r="O940" s="19">
        <f t="shared" si="676"/>
        <v>273.95</v>
      </c>
      <c r="P940" s="19">
        <f t="shared" si="676"/>
        <v>273.95000000000005</v>
      </c>
      <c r="Q940" s="19">
        <f t="shared" si="676"/>
        <v>273.95000000000005</v>
      </c>
      <c r="R940" s="19">
        <f t="shared" si="676"/>
        <v>273.95</v>
      </c>
      <c r="S940" s="19">
        <f t="shared" si="676"/>
        <v>273.95000000000005</v>
      </c>
      <c r="T940" s="19">
        <f t="shared" si="676"/>
        <v>273.95000000000005</v>
      </c>
      <c r="U940" s="19">
        <f t="shared" si="676"/>
        <v>273.95000000000005</v>
      </c>
      <c r="V940" s="19">
        <f t="shared" si="676"/>
        <v>273.95000000000005</v>
      </c>
      <c r="W940" s="19">
        <f t="shared" si="676"/>
        <v>273.95000000000005</v>
      </c>
      <c r="X940" s="19">
        <f t="shared" si="676"/>
        <v>273.95000000000005</v>
      </c>
      <c r="Y940" s="19">
        <f t="shared" si="676"/>
        <v>273.95000000000005</v>
      </c>
      <c r="Z940" s="19">
        <f t="shared" si="676"/>
        <v>273.95000000000005</v>
      </c>
      <c r="AA940" s="19">
        <f t="shared" si="676"/>
        <v>273.95000000000005</v>
      </c>
      <c r="AB940" s="19">
        <f t="shared" si="676"/>
        <v>273.9500000000001</v>
      </c>
      <c r="AC940" s="19">
        <f t="shared" si="676"/>
        <v>273.95000000000005</v>
      </c>
      <c r="AD940" s="19">
        <f t="shared" si="676"/>
        <v>271.5</v>
      </c>
      <c r="AE940" s="19">
        <f t="shared" si="676"/>
        <v>271.49999999999994</v>
      </c>
      <c r="AF940" s="19">
        <f t="shared" si="676"/>
        <v>271.5</v>
      </c>
      <c r="AG940" s="19">
        <f t="shared" si="676"/>
        <v>291.50000000000006</v>
      </c>
      <c r="AH940" s="19">
        <f t="shared" si="676"/>
        <v>133.5</v>
      </c>
      <c r="AI940" s="19">
        <f t="shared" si="676"/>
        <v>-15.000000000000002</v>
      </c>
      <c r="AJ940" s="19">
        <f t="shared" si="676"/>
        <v>0</v>
      </c>
      <c r="AK940" s="19">
        <f t="shared" si="676"/>
        <v>0</v>
      </c>
      <c r="AL940" s="19">
        <f t="shared" si="676"/>
        <v>0</v>
      </c>
      <c r="AM940" s="19">
        <f t="shared" ref="AM940:BD940" si="677">AM932/AM$816</f>
        <v>0</v>
      </c>
      <c r="AN940" s="19">
        <f t="shared" si="677"/>
        <v>0</v>
      </c>
      <c r="AO940" s="19">
        <f t="shared" si="677"/>
        <v>0</v>
      </c>
      <c r="AP940" s="19">
        <f t="shared" si="677"/>
        <v>0</v>
      </c>
      <c r="AQ940" s="19">
        <f t="shared" si="677"/>
        <v>0</v>
      </c>
      <c r="AR940" s="19">
        <f t="shared" si="677"/>
        <v>0</v>
      </c>
      <c r="AS940" s="19">
        <f t="shared" si="677"/>
        <v>0</v>
      </c>
      <c r="AT940" s="19">
        <f t="shared" si="677"/>
        <v>0</v>
      </c>
      <c r="AU940" s="19">
        <f t="shared" si="677"/>
        <v>0</v>
      </c>
      <c r="AV940" s="19">
        <f t="shared" si="677"/>
        <v>0</v>
      </c>
      <c r="AW940" s="19">
        <f t="shared" si="677"/>
        <v>0</v>
      </c>
      <c r="AX940" s="19">
        <f t="shared" si="677"/>
        <v>0</v>
      </c>
      <c r="AY940" s="19">
        <f t="shared" si="677"/>
        <v>0</v>
      </c>
      <c r="AZ940" s="19">
        <f t="shared" si="677"/>
        <v>0</v>
      </c>
      <c r="BA940" s="19">
        <f t="shared" si="677"/>
        <v>0</v>
      </c>
      <c r="BB940" s="19">
        <f t="shared" si="677"/>
        <v>0</v>
      </c>
      <c r="BC940" s="19">
        <f t="shared" si="677"/>
        <v>0</v>
      </c>
      <c r="BD940" s="19">
        <f t="shared" si="677"/>
        <v>0</v>
      </c>
    </row>
    <row r="941" spans="1:56" ht="15" customHeight="1">
      <c r="B941" s="5"/>
      <c r="C941" s="20"/>
      <c r="E941" s="18"/>
      <c r="G941" s="19"/>
      <c r="H941" s="19"/>
      <c r="I941" s="19"/>
      <c r="J941" s="19"/>
      <c r="K941" s="19"/>
      <c r="L941" s="19"/>
      <c r="M941" s="19"/>
      <c r="N941" s="19"/>
      <c r="O941" s="19"/>
      <c r="P941" s="19"/>
      <c r="Q941" s="19"/>
      <c r="R941" s="19"/>
      <c r="S941" s="19"/>
      <c r="T941" s="19"/>
      <c r="U941" s="19"/>
      <c r="V941" s="19"/>
      <c r="W941" s="19"/>
      <c r="X941" s="19"/>
      <c r="Y941" s="19"/>
      <c r="Z941" s="19"/>
      <c r="AA941" s="19"/>
      <c r="AB941" s="19"/>
      <c r="AC941" s="19"/>
      <c r="AD941" s="19"/>
      <c r="AE941" s="19"/>
      <c r="AF941" s="19"/>
      <c r="AG941" s="19"/>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row>
    <row r="942" spans="1:56" ht="15" customHeight="1">
      <c r="C942" s="21">
        <f>SUM(G942:BD942)</f>
        <v>2469.3629273475858</v>
      </c>
      <c r="D942" s="11" t="s">
        <v>713</v>
      </c>
      <c r="E942" s="18" t="s">
        <v>289</v>
      </c>
      <c r="G942" s="19">
        <f>G937+G938</f>
        <v>-20</v>
      </c>
      <c r="H942" s="19">
        <f>H937+H938</f>
        <v>-20</v>
      </c>
      <c r="I942" s="19">
        <f t="shared" ref="I942:AL942" si="678">I937+I938</f>
        <v>-77.8125</v>
      </c>
      <c r="J942" s="19">
        <f t="shared" si="678"/>
        <v>-311.25</v>
      </c>
      <c r="K942" s="19">
        <f t="shared" si="678"/>
        <v>34.925095155709357</v>
      </c>
      <c r="L942" s="19">
        <f t="shared" si="678"/>
        <v>189.13095609211805</v>
      </c>
      <c r="M942" s="19">
        <f t="shared" si="678"/>
        <v>170.80264612243872</v>
      </c>
      <c r="N942" s="19">
        <f t="shared" si="678"/>
        <v>145.33872603573354</v>
      </c>
      <c r="O942" s="19">
        <f t="shared" si="678"/>
        <v>145.40171890346426</v>
      </c>
      <c r="P942" s="19">
        <f t="shared" si="678"/>
        <v>118.80846095087466</v>
      </c>
      <c r="Q942" s="19">
        <f t="shared" si="678"/>
        <v>118.80846095087473</v>
      </c>
      <c r="R942" s="19">
        <f t="shared" si="678"/>
        <v>118.80846095087468</v>
      </c>
      <c r="S942" s="19">
        <f t="shared" si="678"/>
        <v>118.80846095087465</v>
      </c>
      <c r="T942" s="19">
        <f t="shared" si="678"/>
        <v>118.80846095087469</v>
      </c>
      <c r="U942" s="19">
        <f t="shared" si="678"/>
        <v>118.80846095087465</v>
      </c>
      <c r="V942" s="19">
        <f t="shared" si="678"/>
        <v>118.80846095087463</v>
      </c>
      <c r="W942" s="19">
        <f t="shared" si="678"/>
        <v>118.80846095087468</v>
      </c>
      <c r="X942" s="19">
        <f t="shared" si="678"/>
        <v>118.80846095087469</v>
      </c>
      <c r="Y942" s="19">
        <f t="shared" si="678"/>
        <v>117.96655185996555</v>
      </c>
      <c r="Z942" s="19">
        <f t="shared" si="678"/>
        <v>117.96459328115648</v>
      </c>
      <c r="AA942" s="19">
        <f t="shared" si="678"/>
        <v>117.96018721736519</v>
      </c>
      <c r="AB942" s="19">
        <f t="shared" si="678"/>
        <v>117.95260827096342</v>
      </c>
      <c r="AC942" s="19">
        <f t="shared" si="678"/>
        <v>117.94071786943424</v>
      </c>
      <c r="AD942" s="19">
        <f t="shared" si="678"/>
        <v>116.62604632960173</v>
      </c>
      <c r="AE942" s="19">
        <f t="shared" si="678"/>
        <v>116.59801936139137</v>
      </c>
      <c r="AF942" s="19">
        <f t="shared" si="678"/>
        <v>116.55184903500296</v>
      </c>
      <c r="AG942" s="19">
        <f t="shared" si="678"/>
        <v>131.07142103335337</v>
      </c>
      <c r="AH942" s="19">
        <f t="shared" si="678"/>
        <v>73.2122598690747</v>
      </c>
      <c r="AI942" s="19">
        <f t="shared" si="678"/>
        <v>-0.29411764705882637</v>
      </c>
      <c r="AJ942" s="19">
        <f t="shared" si="678"/>
        <v>0</v>
      </c>
      <c r="AK942" s="19">
        <f t="shared" si="678"/>
        <v>0</v>
      </c>
      <c r="AL942" s="19">
        <f t="shared" si="678"/>
        <v>0</v>
      </c>
      <c r="AM942" s="19">
        <f t="shared" ref="AM942:BD942" si="679">AM937+AM938</f>
        <v>0</v>
      </c>
      <c r="AN942" s="19">
        <f t="shared" si="679"/>
        <v>0</v>
      </c>
      <c r="AO942" s="19">
        <f t="shared" si="679"/>
        <v>0</v>
      </c>
      <c r="AP942" s="19">
        <f t="shared" si="679"/>
        <v>0</v>
      </c>
      <c r="AQ942" s="19">
        <f t="shared" si="679"/>
        <v>0</v>
      </c>
      <c r="AR942" s="19">
        <f t="shared" si="679"/>
        <v>0</v>
      </c>
      <c r="AS942" s="19">
        <f t="shared" si="679"/>
        <v>0</v>
      </c>
      <c r="AT942" s="19">
        <f t="shared" si="679"/>
        <v>0</v>
      </c>
      <c r="AU942" s="19">
        <f t="shared" si="679"/>
        <v>0</v>
      </c>
      <c r="AV942" s="19">
        <f t="shared" si="679"/>
        <v>0</v>
      </c>
      <c r="AW942" s="19">
        <f t="shared" si="679"/>
        <v>0</v>
      </c>
      <c r="AX942" s="19">
        <f t="shared" si="679"/>
        <v>0</v>
      </c>
      <c r="AY942" s="19">
        <f t="shared" si="679"/>
        <v>0</v>
      </c>
      <c r="AZ942" s="19">
        <f t="shared" si="679"/>
        <v>0</v>
      </c>
      <c r="BA942" s="19">
        <f t="shared" si="679"/>
        <v>0</v>
      </c>
      <c r="BB942" s="19">
        <f t="shared" si="679"/>
        <v>0</v>
      </c>
      <c r="BC942" s="19">
        <f t="shared" si="679"/>
        <v>0</v>
      </c>
      <c r="BD942" s="19">
        <f t="shared" si="679"/>
        <v>0</v>
      </c>
    </row>
    <row r="943" spans="1:56" ht="15" customHeight="1">
      <c r="C943" s="7">
        <f>IFERROR(IRR(G942:BD942),0)</f>
        <v>0.2583148759556424</v>
      </c>
      <c r="D943" s="9" t="s">
        <v>714</v>
      </c>
      <c r="E943" s="18"/>
      <c r="G943" s="19"/>
      <c r="H943" s="19"/>
      <c r="I943" s="19"/>
      <c r="J943" s="19"/>
      <c r="K943" s="19"/>
      <c r="L943" s="19"/>
      <c r="M943" s="19"/>
      <c r="N943" s="19"/>
      <c r="O943" s="19"/>
      <c r="P943" s="19"/>
      <c r="Q943" s="19"/>
      <c r="R943" s="19"/>
      <c r="S943" s="19"/>
      <c r="T943" s="19"/>
      <c r="U943" s="19"/>
    </row>
    <row r="944" spans="1:56" ht="15" customHeight="1">
      <c r="C944" s="7">
        <f>IFERROR(IRR(G937:BD937),0)</f>
        <v>0.30436580155902648</v>
      </c>
      <c r="D944" s="9" t="s">
        <v>715</v>
      </c>
      <c r="E944" s="18"/>
      <c r="G944" s="19"/>
      <c r="H944" s="19"/>
      <c r="I944" s="19"/>
      <c r="J944" s="19"/>
      <c r="K944" s="19"/>
      <c r="L944" s="19"/>
      <c r="M944" s="19"/>
      <c r="N944" s="19"/>
      <c r="O944" s="19"/>
      <c r="P944" s="19"/>
      <c r="Q944" s="19"/>
      <c r="R944" s="19"/>
      <c r="S944" s="19"/>
      <c r="T944" s="19"/>
      <c r="U944" s="19"/>
    </row>
    <row r="945" spans="1:42" s="50" customFormat="1" ht="15" customHeight="1">
      <c r="A945" s="49"/>
      <c r="C945" s="51"/>
      <c r="E945" s="52"/>
      <c r="G945" s="53"/>
      <c r="V945" s="53"/>
      <c r="W945" s="19"/>
      <c r="X945" s="19"/>
      <c r="Y945" s="19"/>
      <c r="Z945" s="19"/>
      <c r="AA945" s="19"/>
      <c r="AB945" s="19"/>
      <c r="AC945" s="19"/>
      <c r="AD945" s="19"/>
      <c r="AE945" s="19"/>
      <c r="AF945" s="19"/>
      <c r="AG945" s="19"/>
      <c r="AH945" s="53"/>
      <c r="AI945" s="53"/>
      <c r="AJ945" s="53"/>
      <c r="AK945" s="53"/>
      <c r="AL945" s="53"/>
      <c r="AM945" s="53"/>
      <c r="AN945" s="53"/>
      <c r="AO945" s="53"/>
      <c r="AP945" s="53"/>
    </row>
    <row r="946" spans="1:42" s="50" customFormat="1" ht="15" customHeight="1">
      <c r="A946" s="49"/>
      <c r="B946" s="11"/>
      <c r="C946" s="51"/>
      <c r="D946" s="54" t="s">
        <v>716</v>
      </c>
      <c r="E946" s="152"/>
      <c r="F946" s="153"/>
      <c r="G946" s="154">
        <v>0</v>
      </c>
      <c r="H946" s="154">
        <f>G946+0.05</f>
        <v>0.05</v>
      </c>
      <c r="I946" s="154">
        <f>H946+0.05</f>
        <v>0.1</v>
      </c>
      <c r="J946" s="154">
        <f>I946+0.05</f>
        <v>0.15000000000000002</v>
      </c>
      <c r="K946" s="421">
        <f>J946+0.05</f>
        <v>0.2</v>
      </c>
      <c r="V946" s="53"/>
      <c r="W946" s="19"/>
      <c r="X946" s="19"/>
      <c r="Y946" s="19"/>
      <c r="Z946" s="19"/>
      <c r="AA946" s="19"/>
      <c r="AB946" s="19"/>
      <c r="AC946" s="19"/>
      <c r="AD946" s="19"/>
      <c r="AE946" s="19"/>
      <c r="AF946" s="19"/>
      <c r="AG946" s="19"/>
      <c r="AH946" s="53"/>
      <c r="AI946" s="53"/>
      <c r="AJ946" s="53"/>
      <c r="AK946" s="53"/>
      <c r="AL946" s="53"/>
      <c r="AM946" s="53"/>
      <c r="AN946" s="53"/>
      <c r="AO946" s="53"/>
      <c r="AP946" s="53"/>
    </row>
    <row r="947" spans="1:42" s="50" customFormat="1" ht="15" customHeight="1">
      <c r="A947" s="49"/>
      <c r="C947" s="51"/>
      <c r="D947" s="300" t="s">
        <v>717</v>
      </c>
      <c r="E947" s="3" t="s">
        <v>289</v>
      </c>
      <c r="G947" s="141">
        <f>NPV(G$946,$H$935:$BD$935)+$G$935</f>
        <v>5800.1499999999987</v>
      </c>
      <c r="H947" s="141">
        <f>NPV(H$946,$H$935:$BD$935)+$G$935</f>
        <v>2684.0210085324516</v>
      </c>
      <c r="I947" s="141">
        <f>NPV(I$946,$H$935:$BD$935)+$G$935</f>
        <v>1366.2370814574044</v>
      </c>
      <c r="J947" s="141">
        <f>NPV(J$946,$H$935:$BD$935)+$G$935</f>
        <v>741.63177439823312</v>
      </c>
      <c r="K947" s="155">
        <f>NPV(K$946,$H$935:$BD$935)+$G$935</f>
        <v>415.89843216113587</v>
      </c>
      <c r="V947" s="53"/>
      <c r="W947" s="19"/>
      <c r="X947" s="19"/>
      <c r="Y947" s="19"/>
      <c r="Z947" s="19"/>
      <c r="AA947" s="19"/>
      <c r="AB947" s="19"/>
      <c r="AC947" s="19"/>
      <c r="AD947" s="19"/>
      <c r="AE947" s="19"/>
      <c r="AF947" s="19"/>
      <c r="AG947" s="19"/>
      <c r="AH947" s="53"/>
      <c r="AI947" s="53"/>
      <c r="AJ947" s="53"/>
      <c r="AK947" s="53"/>
      <c r="AL947" s="53"/>
      <c r="AM947" s="53"/>
      <c r="AN947" s="53"/>
      <c r="AO947" s="53"/>
      <c r="AP947" s="53"/>
    </row>
    <row r="948" spans="1:42" s="50" customFormat="1" ht="15" customHeight="1">
      <c r="A948" s="49"/>
      <c r="C948" s="51"/>
      <c r="D948" s="300" t="s">
        <v>709</v>
      </c>
      <c r="E948" s="3" t="s">
        <v>289</v>
      </c>
      <c r="G948" s="192">
        <f>NPV(G$946,$H$936:$BD$936)+$G$936</f>
        <v>2811.6810925783343</v>
      </c>
      <c r="H948" s="141">
        <f>NPV(H$946,$H$936:$BD$936)+$G$936</f>
        <v>1358.0499755790979</v>
      </c>
      <c r="I948" s="141">
        <f>NPV(I$946,$H$936:$BD$936)+$G$936</f>
        <v>739.97843951251195</v>
      </c>
      <c r="J948" s="141">
        <f>NPV(J$946,$H$936:$BD$936)+$G$936</f>
        <v>444.25728456646118</v>
      </c>
      <c r="K948" s="155">
        <f>NPV(K$946,$H$936:$BD$936)+$G$936</f>
        <v>287.55137687857734</v>
      </c>
      <c r="V948" s="53"/>
      <c r="W948" s="19"/>
      <c r="X948" s="19"/>
      <c r="Y948" s="19"/>
      <c r="Z948" s="19"/>
      <c r="AA948" s="19"/>
      <c r="AB948" s="19"/>
      <c r="AC948" s="19"/>
      <c r="AD948" s="19"/>
      <c r="AE948" s="19"/>
      <c r="AF948" s="19"/>
      <c r="AG948" s="19"/>
      <c r="AH948" s="53"/>
      <c r="AI948" s="53"/>
      <c r="AJ948" s="53"/>
      <c r="AK948" s="53"/>
      <c r="AL948" s="53"/>
      <c r="AM948" s="53"/>
      <c r="AN948" s="53"/>
      <c r="AO948" s="53"/>
      <c r="AP948" s="53"/>
    </row>
    <row r="949" spans="1:42" s="50" customFormat="1" ht="15" customHeight="1">
      <c r="A949" s="49"/>
      <c r="C949" s="51"/>
      <c r="D949" s="300" t="s">
        <v>675</v>
      </c>
      <c r="E949" s="3" t="s">
        <v>289</v>
      </c>
      <c r="G949" s="192">
        <f>NPV(G$946,$H$937:$BD$937)+$G$937</f>
        <v>2430.1717779118221</v>
      </c>
      <c r="H949" s="141">
        <f>NPV(H$946,$H$937:$BD$937)+$G$937</f>
        <v>1079.6305827767039</v>
      </c>
      <c r="I949" s="141">
        <f>NPV(I$946,$H$937:$BD$937)+$G$937</f>
        <v>516.24907730697998</v>
      </c>
      <c r="J949" s="141">
        <f>NPV(J$946,$H$937:$BD$937)+$G$937</f>
        <v>253.5016277457745</v>
      </c>
      <c r="K949" s="155">
        <f>NPV(K$946,$H$937:$BD$937)+$G$937</f>
        <v>119.16210022454354</v>
      </c>
      <c r="V949" s="53"/>
      <c r="W949" s="19"/>
      <c r="X949" s="19"/>
      <c r="Y949" s="19"/>
      <c r="Z949" s="19"/>
      <c r="AA949" s="19"/>
      <c r="AB949" s="19"/>
      <c r="AC949" s="19"/>
      <c r="AD949" s="19"/>
      <c r="AE949" s="19"/>
      <c r="AF949" s="19"/>
      <c r="AG949" s="19"/>
      <c r="AH949" s="53"/>
      <c r="AI949" s="53"/>
      <c r="AJ949" s="53"/>
      <c r="AK949" s="53"/>
      <c r="AL949" s="53"/>
      <c r="AM949" s="53"/>
      <c r="AN949" s="53"/>
      <c r="AO949" s="53"/>
      <c r="AP949" s="53"/>
    </row>
    <row r="950" spans="1:42" s="50" customFormat="1" ht="15" customHeight="1">
      <c r="A950" s="49"/>
      <c r="C950" s="51"/>
      <c r="D950" s="300" t="s">
        <v>710</v>
      </c>
      <c r="E950" s="3" t="s">
        <v>289</v>
      </c>
      <c r="G950" s="192">
        <f>NPV(G$946,$H$938:$BD$938)+$G$938</f>
        <v>39.191149435763919</v>
      </c>
      <c r="H950" s="192">
        <f>NPV(H$946,$H$938:$BD$938)+$G$938</f>
        <v>7.2780723789925243</v>
      </c>
      <c r="I950" s="192">
        <f>NPV(I$946,$H$938:$BD$938)+$G$938</f>
        <v>-12.6270705113714</v>
      </c>
      <c r="J950" s="192">
        <f>NPV(J$946,$H$938:$BD$938)+$G$938</f>
        <v>-24.865479962304292</v>
      </c>
      <c r="K950" s="253">
        <f>NPV(K$946,$H$938:$BD$938)+$G$938</f>
        <v>-32.152500177651248</v>
      </c>
      <c r="V950" s="53"/>
      <c r="W950" s="19"/>
      <c r="X950" s="19"/>
      <c r="Y950" s="19"/>
      <c r="Z950" s="19"/>
      <c r="AA950" s="19"/>
      <c r="AB950" s="19"/>
      <c r="AC950" s="19"/>
      <c r="AD950" s="19"/>
      <c r="AE950" s="19"/>
      <c r="AF950" s="19"/>
      <c r="AG950" s="19"/>
      <c r="AH950" s="53"/>
      <c r="AI950" s="53"/>
      <c r="AJ950" s="53"/>
      <c r="AK950" s="53"/>
      <c r="AL950" s="53"/>
      <c r="AM950" s="53"/>
      <c r="AN950" s="53"/>
      <c r="AO950" s="53"/>
      <c r="AP950" s="53"/>
    </row>
    <row r="951" spans="1:42" s="50" customFormat="1" ht="15" customHeight="1">
      <c r="A951" s="49"/>
      <c r="C951" s="51"/>
      <c r="D951" s="300" t="s">
        <v>576</v>
      </c>
      <c r="E951" s="3" t="s">
        <v>289</v>
      </c>
      <c r="G951" s="192">
        <f>NPV(G$946,$H$939:$BD$939)+$G$939</f>
        <v>517.43884309972077</v>
      </c>
      <c r="H951" s="192">
        <f>NPV(H$946,$H$939:$BD$939)+$G$939</f>
        <v>237.30003355840674</v>
      </c>
      <c r="I951" s="192">
        <f>NPV(I$946,$H$939:$BD$939)+$G$939</f>
        <v>121.66901081339149</v>
      </c>
      <c r="J951" s="192">
        <f>NPV(J$946,$H$939:$BD$939)+$G$939</f>
        <v>68.270830455848099</v>
      </c>
      <c r="K951" s="253">
        <f>NPV(K$946,$H$939:$BD$939)+$G$939</f>
        <v>41.118773802361765</v>
      </c>
      <c r="V951" s="53"/>
      <c r="W951" s="19"/>
      <c r="X951" s="19"/>
      <c r="Y951" s="19"/>
      <c r="Z951" s="19"/>
      <c r="AA951" s="19"/>
      <c r="AB951" s="19"/>
      <c r="AC951" s="19"/>
      <c r="AD951" s="19"/>
      <c r="AE951" s="19"/>
      <c r="AF951" s="19"/>
      <c r="AG951" s="19"/>
      <c r="AH951" s="53"/>
      <c r="AI951" s="53"/>
      <c r="AJ951" s="53"/>
      <c r="AK951" s="53"/>
      <c r="AL951" s="53"/>
      <c r="AM951" s="53"/>
      <c r="AN951" s="53"/>
      <c r="AO951" s="53"/>
      <c r="AP951" s="53"/>
    </row>
    <row r="952" spans="1:42" s="50" customFormat="1" ht="15" customHeight="1">
      <c r="A952" s="49"/>
      <c r="C952" s="51"/>
      <c r="D952" s="395" t="s">
        <v>679</v>
      </c>
      <c r="E952" s="3" t="s">
        <v>289</v>
      </c>
      <c r="G952" s="51">
        <f>NPV(G$946,$H$834:$BD$834)+$G$834</f>
        <v>1.6671369743599627</v>
      </c>
      <c r="H952" s="51">
        <f>NPV(H$946,$H$834:$BD$834)+$G$834</f>
        <v>1.7623442392501116</v>
      </c>
      <c r="I952" s="51">
        <f>NPV(I$946,$H$834:$BD$834)+$G$834</f>
        <v>0.96762433589192354</v>
      </c>
      <c r="J952" s="51">
        <f>NPV(J$946,$H$834:$BD$834)+$G$834</f>
        <v>0.46751159245352913</v>
      </c>
      <c r="K952" s="56">
        <f>NPV(K$946,$H$834:$BD$834)+$G$834</f>
        <v>0.21868143330465786</v>
      </c>
      <c r="W952" s="55"/>
      <c r="X952" s="55"/>
      <c r="Y952" s="55"/>
      <c r="Z952" s="55"/>
      <c r="AA952" s="55"/>
      <c r="AB952" s="55"/>
      <c r="AC952" s="55"/>
      <c r="AD952" s="55"/>
      <c r="AE952" s="55"/>
      <c r="AF952" s="55"/>
      <c r="AG952" s="55"/>
    </row>
    <row r="953" spans="1:42" s="50" customFormat="1" ht="15" customHeight="1">
      <c r="A953" s="49"/>
      <c r="C953" s="51"/>
      <c r="D953" s="300" t="s">
        <v>718</v>
      </c>
      <c r="E953" s="52" t="s">
        <v>719</v>
      </c>
      <c r="G953" s="398">
        <f>(G948 + G951)/G947</f>
        <v>0.57397135171987901</v>
      </c>
      <c r="H953" s="398">
        <f>(H948 + H951)/H947</f>
        <v>0.59438804840421045</v>
      </c>
      <c r="I953" s="398">
        <f>(I948 + I951)/I947</f>
        <v>0.63067198366974442</v>
      </c>
      <c r="J953" s="398">
        <f>(J948 + J951)/J947</f>
        <v>0.69108165630872453</v>
      </c>
      <c r="K953" s="399">
        <f>(K948 + K951)/K947</f>
        <v>0.79026542363496821</v>
      </c>
      <c r="W953" s="55"/>
      <c r="X953" s="55"/>
      <c r="Y953" s="55"/>
      <c r="Z953" s="55"/>
      <c r="AA953" s="55"/>
      <c r="AB953" s="55"/>
      <c r="AC953" s="55"/>
      <c r="AD953" s="55"/>
      <c r="AE953" s="55"/>
      <c r="AF953" s="55"/>
      <c r="AG953" s="55"/>
    </row>
    <row r="954" spans="1:42" s="50" customFormat="1" ht="15" customHeight="1">
      <c r="A954" s="49"/>
      <c r="C954" s="51"/>
      <c r="D954" s="300" t="s">
        <v>711</v>
      </c>
      <c r="E954" s="3" t="s">
        <v>289</v>
      </c>
      <c r="G954" s="141">
        <f>NPV(G$946,$H$940:$BD$940)+$G$940</f>
        <v>6290.1499999999987</v>
      </c>
      <c r="H954" s="141">
        <f>NPV(H$946,$H$940:$BD$940)+$G$940</f>
        <v>3111.9498036332584</v>
      </c>
      <c r="I954" s="141">
        <f>NPV(I$946,$H$940:$BD$940)+$G$940</f>
        <v>1743.0228201364559</v>
      </c>
      <c r="J954" s="141">
        <f>NPV(J$946,$B$940:$BD$940)+$G$940</f>
        <v>6283.2081035481215</v>
      </c>
      <c r="K954" s="155">
        <f>NPV(K$946,$B$940:$BD$940)+$G$940</f>
        <v>5737.9225866345341</v>
      </c>
      <c r="W954" s="55"/>
      <c r="X954" s="55"/>
      <c r="Y954" s="55"/>
      <c r="Z954" s="55"/>
      <c r="AA954" s="55"/>
      <c r="AB954" s="55"/>
      <c r="AC954" s="55"/>
      <c r="AD954" s="55"/>
      <c r="AE954" s="55"/>
      <c r="AF954" s="55"/>
      <c r="AG954" s="55"/>
    </row>
    <row r="955" spans="1:42" s="50" customFormat="1" ht="15" customHeight="1">
      <c r="A955" s="49"/>
      <c r="C955" s="51"/>
      <c r="D955" s="300" t="s">
        <v>720</v>
      </c>
      <c r="E955" s="52" t="s">
        <v>719</v>
      </c>
      <c r="G955" s="8">
        <f>(G948+G951)/G954</f>
        <v>0.52925922842508621</v>
      </c>
      <c r="H955" s="8">
        <f>(H948+H951)/H954</f>
        <v>0.51265287353764655</v>
      </c>
      <c r="I955" s="8">
        <f>(I948+I951)/I954</f>
        <v>0.4943408889267713</v>
      </c>
      <c r="J955" s="8">
        <f>(J948+J951)/J954</f>
        <v>8.1571087026846234E-2</v>
      </c>
      <c r="K955" s="254">
        <f>(K948+K951)/K954</f>
        <v>5.7280338958653351E-2</v>
      </c>
      <c r="W955" s="55"/>
      <c r="X955" s="55"/>
      <c r="Y955" s="55"/>
      <c r="Z955" s="55"/>
      <c r="AA955" s="55"/>
      <c r="AB955" s="55"/>
      <c r="AC955" s="55"/>
      <c r="AD955" s="55"/>
      <c r="AE955" s="55"/>
      <c r="AF955" s="55"/>
      <c r="AG955" s="55"/>
    </row>
    <row r="956" spans="1:42" s="50" customFormat="1" ht="15" customHeight="1">
      <c r="A956" s="49"/>
      <c r="C956" s="51"/>
      <c r="D956" s="57" t="s">
        <v>721</v>
      </c>
      <c r="E956" s="58"/>
      <c r="F956" s="59"/>
      <c r="G956" s="60" t="b">
        <f>ROUND(G947-SUM(G948:G951,G952),5)=0</f>
        <v>1</v>
      </c>
      <c r="H956" s="60" t="b">
        <f>ROUND(H947-SUM(H948:H951,H952),5)=0</f>
        <v>1</v>
      </c>
      <c r="I956" s="60" t="b">
        <f>ROUND(I947-SUM(I948:I951,I952),5)=0</f>
        <v>1</v>
      </c>
      <c r="J956" s="60" t="b">
        <f>ROUND(J947-SUM(J948:J951,J952),5)=0</f>
        <v>1</v>
      </c>
      <c r="K956" s="255" t="b">
        <f>ROUND(K947-SUM(K948:K951,K952),5)=0</f>
        <v>1</v>
      </c>
      <c r="W956" s="55"/>
      <c r="X956" s="55"/>
      <c r="Y956" s="55"/>
      <c r="Z956" s="55"/>
      <c r="AA956" s="55"/>
      <c r="AB956" s="55"/>
      <c r="AC956" s="55"/>
      <c r="AD956" s="55"/>
      <c r="AE956" s="55"/>
      <c r="AF956" s="55"/>
      <c r="AG956" s="55"/>
    </row>
    <row r="957" spans="1:42" ht="15" customHeight="1">
      <c r="C957" s="7"/>
      <c r="D957" s="9"/>
    </row>
    <row r="958" spans="1:42" ht="15" customHeight="1">
      <c r="C958" s="7"/>
      <c r="D958" s="9"/>
    </row>
    <row r="959" spans="1:42" ht="15" customHeight="1">
      <c r="C959" s="7"/>
      <c r="D959" s="189" t="s">
        <v>722</v>
      </c>
      <c r="E959" s="166"/>
      <c r="F959" s="166"/>
      <c r="G959" s="190">
        <v>0</v>
      </c>
      <c r="H959" s="190">
        <f>G959+0.05</f>
        <v>0.05</v>
      </c>
      <c r="I959" s="190">
        <f>H959+0.05</f>
        <v>0.1</v>
      </c>
      <c r="J959" s="190">
        <f>I959+0.05</f>
        <v>0.15000000000000002</v>
      </c>
      <c r="K959" s="191">
        <f>J959+0.05</f>
        <v>0.2</v>
      </c>
    </row>
    <row r="960" spans="1:42" ht="15" customHeight="1">
      <c r="C960" s="230"/>
      <c r="D960" s="177" t="s">
        <v>727</v>
      </c>
      <c r="E960" s="166"/>
      <c r="F960" s="483"/>
      <c r="G960" s="484">
        <f>1-SUM(G961:G964)</f>
        <v>7.8164612445547066E-2</v>
      </c>
      <c r="H960" s="484">
        <f t="shared" ref="H960:K960" si="680">1-SUM(H961:H964)</f>
        <v>0.1380777861000152</v>
      </c>
      <c r="I960" s="484">
        <f t="shared" si="680"/>
        <v>0.21672313101751062</v>
      </c>
      <c r="J960" s="484">
        <f t="shared" si="680"/>
        <v>0.88204047190682022</v>
      </c>
      <c r="K960" s="485">
        <f t="shared" si="680"/>
        <v>0.92755570601526016</v>
      </c>
    </row>
    <row r="961" spans="1:56" ht="15" customHeight="1">
      <c r="C961" s="230"/>
      <c r="D961" s="260" t="s">
        <v>725</v>
      </c>
      <c r="F961" s="132"/>
      <c r="G961" s="63">
        <f>G950/G$954</f>
        <v>6.2305587999910853E-3</v>
      </c>
      <c r="H961" s="63">
        <f>H950/H$954</f>
        <v>2.33874992793754E-3</v>
      </c>
      <c r="I961" s="63">
        <f>I950/I$954</f>
        <v>-7.2443518039441764E-3</v>
      </c>
      <c r="J961" s="63">
        <f>J950/J$954</f>
        <v>-3.9574496901133641E-3</v>
      </c>
      <c r="K961" s="479">
        <f>K950/K$954</f>
        <v>-5.6035088818634036E-3</v>
      </c>
    </row>
    <row r="962" spans="1:56" ht="15" customHeight="1">
      <c r="C962" s="230"/>
      <c r="D962" s="260" t="s">
        <v>724</v>
      </c>
      <c r="F962" s="132"/>
      <c r="G962" s="63">
        <f>G949/G$954</f>
        <v>0.3863456003293757</v>
      </c>
      <c r="H962" s="63">
        <f>H949/H$954</f>
        <v>0.34693059043440078</v>
      </c>
      <c r="I962" s="63">
        <f>I949/I$954</f>
        <v>0.2961803318596623</v>
      </c>
      <c r="J962" s="63">
        <f>J949/J$954</f>
        <v>4.0345890756446914E-2</v>
      </c>
      <c r="K962" s="479">
        <f>K949/K$954</f>
        <v>2.0767463907949955E-2</v>
      </c>
    </row>
    <row r="963" spans="1:56" ht="15" customHeight="1">
      <c r="C963" s="230"/>
      <c r="D963" s="260" t="s">
        <v>726</v>
      </c>
      <c r="F963" s="132"/>
      <c r="G963" s="63">
        <f>G951/G$954</f>
        <v>8.2261765315568128E-2</v>
      </c>
      <c r="H963" s="63">
        <f>H951/H$954</f>
        <v>7.6254454130768631E-2</v>
      </c>
      <c r="I963" s="63">
        <f>I951/I$954</f>
        <v>6.9803452604175545E-2</v>
      </c>
      <c r="J963" s="63">
        <f>J951/J$954</f>
        <v>1.0865600713956239E-2</v>
      </c>
      <c r="K963" s="479">
        <f>K951/K$954</f>
        <v>7.166143004114521E-3</v>
      </c>
    </row>
    <row r="964" spans="1:56" ht="15" customHeight="1">
      <c r="C964" s="230"/>
      <c r="D964" s="15" t="s">
        <v>723</v>
      </c>
      <c r="E964" s="14"/>
      <c r="F964" s="482"/>
      <c r="G964" s="480">
        <f>G948/G$954</f>
        <v>0.44699746310951805</v>
      </c>
      <c r="H964" s="480">
        <f>H948/H$954</f>
        <v>0.43639841940687785</v>
      </c>
      <c r="I964" s="480">
        <f>I948/I$954</f>
        <v>0.42453743632259577</v>
      </c>
      <c r="J964" s="480">
        <f>J948/J$954</f>
        <v>7.070548631288999E-2</v>
      </c>
      <c r="K964" s="481">
        <f>K948/K$954</f>
        <v>5.011419595453883E-2</v>
      </c>
    </row>
    <row r="965" spans="1:56" ht="15" customHeight="1">
      <c r="C965" s="7"/>
      <c r="G965" s="105"/>
    </row>
    <row r="966" spans="1:56" ht="23" customHeight="1">
      <c r="A966" s="547"/>
      <c r="B966" s="547" t="s">
        <v>3</v>
      </c>
      <c r="C966" s="555"/>
      <c r="D966" s="555"/>
      <c r="E966" s="463"/>
      <c r="F966" s="556"/>
      <c r="G966" s="544"/>
      <c r="H966" s="544"/>
      <c r="I966" s="544"/>
      <c r="J966" s="544"/>
      <c r="K966" s="544"/>
      <c r="L966" s="544"/>
      <c r="M966" s="544"/>
      <c r="N966" s="544"/>
      <c r="O966" s="544"/>
      <c r="P966" s="544"/>
      <c r="Q966" s="544"/>
      <c r="R966" s="544"/>
      <c r="S966" s="544"/>
      <c r="T966" s="544"/>
      <c r="U966" s="544"/>
      <c r="V966" s="544"/>
      <c r="W966" s="544"/>
      <c r="X966" s="544"/>
      <c r="Y966" s="544"/>
      <c r="Z966" s="544"/>
      <c r="AA966" s="544"/>
      <c r="AB966" s="544"/>
      <c r="AC966" s="544"/>
      <c r="AD966" s="544"/>
      <c r="AE966" s="544"/>
      <c r="AF966" s="544"/>
      <c r="AG966" s="544"/>
      <c r="AH966" s="544"/>
      <c r="AI966" s="544"/>
      <c r="AJ966" s="544"/>
      <c r="AK966" s="544"/>
      <c r="AL966" s="544"/>
      <c r="AM966" s="544"/>
      <c r="AN966" s="544"/>
      <c r="AO966" s="544"/>
      <c r="AP966" s="544"/>
      <c r="AQ966" s="544"/>
      <c r="AR966" s="544"/>
      <c r="AS966" s="544"/>
      <c r="AT966" s="544"/>
      <c r="AU966" s="544"/>
      <c r="AV966" s="544"/>
      <c r="AW966" s="544"/>
      <c r="AX966" s="544"/>
      <c r="AY966" s="544"/>
      <c r="AZ966" s="544"/>
      <c r="BA966" s="544"/>
      <c r="BB966" s="544"/>
      <c r="BC966" s="544"/>
      <c r="BD966" s="544"/>
    </row>
    <row r="967" spans="1:56" s="50" customFormat="1" ht="15" customHeight="1">
      <c r="A967" s="49"/>
      <c r="B967" s="64"/>
      <c r="C967" s="51"/>
      <c r="E967" s="52"/>
      <c r="W967" s="55"/>
      <c r="X967" s="55"/>
      <c r="Y967" s="55"/>
      <c r="Z967" s="55"/>
      <c r="AA967" s="55"/>
      <c r="AB967" s="55"/>
      <c r="AC967" s="55"/>
      <c r="AD967" s="55"/>
      <c r="AE967" s="55"/>
      <c r="AF967" s="55"/>
      <c r="AG967" s="55"/>
    </row>
    <row r="968" spans="1:56" ht="15" customHeight="1">
      <c r="C968" s="4" t="s">
        <v>284</v>
      </c>
      <c r="D968" s="463" t="str">
        <f>"Annual government revenue by tax mechanism - selected regime: "&amp;Inputs!E15</f>
        <v>Annual government revenue by tax mechanism - selected regime: Tanzania w/o sharing</v>
      </c>
      <c r="E968" s="463"/>
      <c r="F968" s="556"/>
      <c r="G968" s="544">
        <f t="shared" ref="G968:AL968" si="681">G$6</f>
        <v>1</v>
      </c>
      <c r="H968" s="544">
        <f t="shared" si="681"/>
        <v>2</v>
      </c>
      <c r="I968" s="544">
        <f t="shared" si="681"/>
        <v>3</v>
      </c>
      <c r="J968" s="544">
        <f t="shared" si="681"/>
        <v>4</v>
      </c>
      <c r="K968" s="544">
        <f t="shared" si="681"/>
        <v>5</v>
      </c>
      <c r="L968" s="544">
        <f t="shared" si="681"/>
        <v>6</v>
      </c>
      <c r="M968" s="544">
        <f t="shared" si="681"/>
        <v>7</v>
      </c>
      <c r="N968" s="544">
        <f t="shared" si="681"/>
        <v>8</v>
      </c>
      <c r="O968" s="544">
        <f t="shared" si="681"/>
        <v>9</v>
      </c>
      <c r="P968" s="544">
        <f t="shared" si="681"/>
        <v>10</v>
      </c>
      <c r="Q968" s="544">
        <f t="shared" si="681"/>
        <v>11</v>
      </c>
      <c r="R968" s="544">
        <f t="shared" si="681"/>
        <v>12</v>
      </c>
      <c r="S968" s="544">
        <f t="shared" si="681"/>
        <v>13</v>
      </c>
      <c r="T968" s="544">
        <f t="shared" si="681"/>
        <v>14</v>
      </c>
      <c r="U968" s="544">
        <f t="shared" si="681"/>
        <v>15</v>
      </c>
      <c r="V968" s="544">
        <f t="shared" si="681"/>
        <v>16</v>
      </c>
      <c r="W968" s="544">
        <f t="shared" si="681"/>
        <v>17</v>
      </c>
      <c r="X968" s="544">
        <f t="shared" si="681"/>
        <v>18</v>
      </c>
      <c r="Y968" s="544">
        <f t="shared" si="681"/>
        <v>19</v>
      </c>
      <c r="Z968" s="544">
        <f t="shared" si="681"/>
        <v>20</v>
      </c>
      <c r="AA968" s="544">
        <f t="shared" si="681"/>
        <v>21</v>
      </c>
      <c r="AB968" s="544">
        <f t="shared" si="681"/>
        <v>22</v>
      </c>
      <c r="AC968" s="544">
        <f t="shared" si="681"/>
        <v>23</v>
      </c>
      <c r="AD968" s="544">
        <f t="shared" si="681"/>
        <v>24</v>
      </c>
      <c r="AE968" s="544">
        <f t="shared" si="681"/>
        <v>25</v>
      </c>
      <c r="AF968" s="544">
        <f t="shared" si="681"/>
        <v>26</v>
      </c>
      <c r="AG968" s="544">
        <f t="shared" si="681"/>
        <v>27</v>
      </c>
      <c r="AH968" s="544">
        <f t="shared" si="681"/>
        <v>28</v>
      </c>
      <c r="AI968" s="544">
        <f t="shared" si="681"/>
        <v>29</v>
      </c>
      <c r="AJ968" s="544">
        <f t="shared" si="681"/>
        <v>30</v>
      </c>
      <c r="AK968" s="544">
        <f t="shared" si="681"/>
        <v>31</v>
      </c>
      <c r="AL968" s="544">
        <f t="shared" si="681"/>
        <v>32</v>
      </c>
      <c r="AM968" s="544">
        <f t="shared" ref="AM968:BD968" si="682">AM$6</f>
        <v>33</v>
      </c>
      <c r="AN968" s="544">
        <f t="shared" si="682"/>
        <v>34</v>
      </c>
      <c r="AO968" s="544">
        <f t="shared" si="682"/>
        <v>35</v>
      </c>
      <c r="AP968" s="544">
        <f t="shared" si="682"/>
        <v>36</v>
      </c>
      <c r="AQ968" s="544">
        <f t="shared" si="682"/>
        <v>37</v>
      </c>
      <c r="AR968" s="544">
        <f t="shared" si="682"/>
        <v>38</v>
      </c>
      <c r="AS968" s="544">
        <f t="shared" si="682"/>
        <v>39</v>
      </c>
      <c r="AT968" s="544">
        <f t="shared" si="682"/>
        <v>40</v>
      </c>
      <c r="AU968" s="544">
        <f t="shared" si="682"/>
        <v>41</v>
      </c>
      <c r="AV968" s="544">
        <f t="shared" si="682"/>
        <v>42</v>
      </c>
      <c r="AW968" s="544">
        <f t="shared" si="682"/>
        <v>43</v>
      </c>
      <c r="AX968" s="544">
        <f t="shared" si="682"/>
        <v>44</v>
      </c>
      <c r="AY968" s="544">
        <f t="shared" si="682"/>
        <v>45</v>
      </c>
      <c r="AZ968" s="544">
        <f t="shared" si="682"/>
        <v>46</v>
      </c>
      <c r="BA968" s="544">
        <f t="shared" si="682"/>
        <v>47</v>
      </c>
      <c r="BB968" s="544">
        <f t="shared" si="682"/>
        <v>48</v>
      </c>
      <c r="BC968" s="544">
        <f t="shared" si="682"/>
        <v>49</v>
      </c>
      <c r="BD968" s="544">
        <f t="shared" si="682"/>
        <v>50</v>
      </c>
    </row>
    <row r="969" spans="1:56" s="50" customFormat="1" ht="15" customHeight="1">
      <c r="A969" s="49"/>
      <c r="B969" s="64"/>
      <c r="C969" s="21">
        <f t="shared" ref="C969:C988" si="683">SUM(G969:BD969)</f>
        <v>189.125</v>
      </c>
      <c r="D969" s="11" t="str">
        <f t="shared" ref="D969:D986" si="684">D847</f>
        <v>Import duties</v>
      </c>
      <c r="E969" s="52" t="s">
        <v>289</v>
      </c>
      <c r="G969" s="50">
        <f t="shared" ref="G969:AL969" si="685">G870</f>
        <v>0</v>
      </c>
      <c r="H969" s="50">
        <f t="shared" si="685"/>
        <v>0</v>
      </c>
      <c r="I969" s="50">
        <f t="shared" si="685"/>
        <v>2.8125000000000004</v>
      </c>
      <c r="J969" s="50">
        <f t="shared" si="685"/>
        <v>11.25</v>
      </c>
      <c r="K969" s="50">
        <f t="shared" si="685"/>
        <v>5.4375000000000009</v>
      </c>
      <c r="L969" s="50">
        <f t="shared" si="685"/>
        <v>7.6250000000000009</v>
      </c>
      <c r="M969" s="50">
        <f t="shared" si="685"/>
        <v>7.625</v>
      </c>
      <c r="N969" s="50">
        <f t="shared" si="685"/>
        <v>7.625</v>
      </c>
      <c r="O969" s="50">
        <f t="shared" si="685"/>
        <v>7.625</v>
      </c>
      <c r="P969" s="50">
        <f t="shared" si="685"/>
        <v>7.6249999999999991</v>
      </c>
      <c r="Q969" s="50">
        <f t="shared" si="685"/>
        <v>7.625</v>
      </c>
      <c r="R969" s="50">
        <f t="shared" si="685"/>
        <v>7.6249999999999991</v>
      </c>
      <c r="S969" s="50">
        <f t="shared" si="685"/>
        <v>7.6250000000000009</v>
      </c>
      <c r="T969" s="50">
        <f t="shared" si="685"/>
        <v>7.6250000000000009</v>
      </c>
      <c r="U969" s="50">
        <f t="shared" si="685"/>
        <v>7.6250000000000018</v>
      </c>
      <c r="V969" s="50">
        <f t="shared" si="685"/>
        <v>7.625</v>
      </c>
      <c r="W969" s="50">
        <f t="shared" si="685"/>
        <v>7.6250000000000018</v>
      </c>
      <c r="X969" s="50">
        <f t="shared" si="685"/>
        <v>7.6250000000000009</v>
      </c>
      <c r="Y969" s="50">
        <f t="shared" si="685"/>
        <v>7.6250000000000009</v>
      </c>
      <c r="Z969" s="50">
        <f t="shared" si="685"/>
        <v>7.625</v>
      </c>
      <c r="AA969" s="50">
        <f t="shared" si="685"/>
        <v>7.6250000000000009</v>
      </c>
      <c r="AB969" s="50">
        <f t="shared" si="685"/>
        <v>7.625</v>
      </c>
      <c r="AC969" s="50">
        <f t="shared" si="685"/>
        <v>7.6250000000000018</v>
      </c>
      <c r="AD969" s="50">
        <f t="shared" si="685"/>
        <v>7.625</v>
      </c>
      <c r="AE969" s="50">
        <f t="shared" si="685"/>
        <v>7.6250000000000009</v>
      </c>
      <c r="AF969" s="50">
        <f t="shared" si="685"/>
        <v>7.6250000000000009</v>
      </c>
      <c r="AG969" s="50">
        <f t="shared" si="685"/>
        <v>6.875</v>
      </c>
      <c r="AH969" s="50">
        <f t="shared" si="685"/>
        <v>2.625</v>
      </c>
      <c r="AI969" s="50">
        <f t="shared" si="685"/>
        <v>0</v>
      </c>
      <c r="AJ969" s="50">
        <f t="shared" si="685"/>
        <v>0</v>
      </c>
      <c r="AK969" s="50">
        <f t="shared" si="685"/>
        <v>0</v>
      </c>
      <c r="AL969" s="50">
        <f t="shared" si="685"/>
        <v>0</v>
      </c>
      <c r="AM969" s="50">
        <f t="shared" ref="AM969:BD969" si="686">AM870</f>
        <v>0</v>
      </c>
      <c r="AN969" s="50">
        <f t="shared" si="686"/>
        <v>0</v>
      </c>
      <c r="AO969" s="50">
        <f t="shared" si="686"/>
        <v>0</v>
      </c>
      <c r="AP969" s="50">
        <f t="shared" si="686"/>
        <v>0</v>
      </c>
      <c r="AQ969" s="50">
        <f t="shared" si="686"/>
        <v>0</v>
      </c>
      <c r="AR969" s="50">
        <f t="shared" si="686"/>
        <v>0</v>
      </c>
      <c r="AS969" s="50">
        <f t="shared" si="686"/>
        <v>0</v>
      </c>
      <c r="AT969" s="50">
        <f t="shared" si="686"/>
        <v>0</v>
      </c>
      <c r="AU969" s="50">
        <f t="shared" si="686"/>
        <v>0</v>
      </c>
      <c r="AV969" s="50">
        <f t="shared" si="686"/>
        <v>0</v>
      </c>
      <c r="AW969" s="50">
        <f t="shared" si="686"/>
        <v>0</v>
      </c>
      <c r="AX969" s="50">
        <f t="shared" si="686"/>
        <v>0</v>
      </c>
      <c r="AY969" s="50">
        <f t="shared" si="686"/>
        <v>0</v>
      </c>
      <c r="AZ969" s="50">
        <f t="shared" si="686"/>
        <v>0</v>
      </c>
      <c r="BA969" s="50">
        <f t="shared" si="686"/>
        <v>0</v>
      </c>
      <c r="BB969" s="50">
        <f t="shared" si="686"/>
        <v>0</v>
      </c>
      <c r="BC969" s="50">
        <f t="shared" si="686"/>
        <v>0</v>
      </c>
      <c r="BD969" s="50">
        <f t="shared" si="686"/>
        <v>0</v>
      </c>
    </row>
    <row r="970" spans="1:56" s="50" customFormat="1" ht="15" customHeight="1">
      <c r="A970" s="49"/>
      <c r="B970" s="64"/>
      <c r="C970" s="21">
        <f t="shared" si="683"/>
        <v>0</v>
      </c>
      <c r="D970" s="11" t="str">
        <f t="shared" si="684"/>
        <v>VAT</v>
      </c>
      <c r="E970" s="52" t="s">
        <v>289</v>
      </c>
      <c r="G970" s="50">
        <f t="shared" ref="G970:AL970" si="687">G871</f>
        <v>0</v>
      </c>
      <c r="H970" s="50">
        <f t="shared" si="687"/>
        <v>0</v>
      </c>
      <c r="I970" s="50">
        <f t="shared" si="687"/>
        <v>0</v>
      </c>
      <c r="J970" s="50">
        <f t="shared" si="687"/>
        <v>0</v>
      </c>
      <c r="K970" s="50">
        <f t="shared" si="687"/>
        <v>0</v>
      </c>
      <c r="L970" s="50">
        <f t="shared" si="687"/>
        <v>0</v>
      </c>
      <c r="M970" s="50">
        <f t="shared" si="687"/>
        <v>0</v>
      </c>
      <c r="N970" s="50">
        <f t="shared" si="687"/>
        <v>0</v>
      </c>
      <c r="O970" s="50">
        <f t="shared" si="687"/>
        <v>0</v>
      </c>
      <c r="P970" s="50">
        <f t="shared" si="687"/>
        <v>0</v>
      </c>
      <c r="Q970" s="50">
        <f t="shared" si="687"/>
        <v>0</v>
      </c>
      <c r="R970" s="50">
        <f t="shared" si="687"/>
        <v>0</v>
      </c>
      <c r="S970" s="50">
        <f t="shared" si="687"/>
        <v>0</v>
      </c>
      <c r="T970" s="50">
        <f t="shared" si="687"/>
        <v>0</v>
      </c>
      <c r="U970" s="50">
        <f t="shared" si="687"/>
        <v>0</v>
      </c>
      <c r="V970" s="50">
        <f t="shared" si="687"/>
        <v>0</v>
      </c>
      <c r="W970" s="50">
        <f t="shared" si="687"/>
        <v>0</v>
      </c>
      <c r="X970" s="50">
        <f t="shared" si="687"/>
        <v>0</v>
      </c>
      <c r="Y970" s="50">
        <f t="shared" si="687"/>
        <v>0</v>
      </c>
      <c r="Z970" s="50">
        <f t="shared" si="687"/>
        <v>0</v>
      </c>
      <c r="AA970" s="50">
        <f t="shared" si="687"/>
        <v>0</v>
      </c>
      <c r="AB970" s="50">
        <f t="shared" si="687"/>
        <v>0</v>
      </c>
      <c r="AC970" s="50">
        <f t="shared" si="687"/>
        <v>0</v>
      </c>
      <c r="AD970" s="50">
        <f t="shared" si="687"/>
        <v>0</v>
      </c>
      <c r="AE970" s="50">
        <f t="shared" si="687"/>
        <v>0</v>
      </c>
      <c r="AF970" s="50">
        <f t="shared" si="687"/>
        <v>0</v>
      </c>
      <c r="AG970" s="50">
        <f t="shared" si="687"/>
        <v>0</v>
      </c>
      <c r="AH970" s="50">
        <f t="shared" si="687"/>
        <v>0</v>
      </c>
      <c r="AI970" s="50">
        <f t="shared" si="687"/>
        <v>0</v>
      </c>
      <c r="AJ970" s="50">
        <f t="shared" si="687"/>
        <v>0</v>
      </c>
      <c r="AK970" s="50">
        <f t="shared" si="687"/>
        <v>0</v>
      </c>
      <c r="AL970" s="50">
        <f t="shared" si="687"/>
        <v>0</v>
      </c>
      <c r="AM970" s="50">
        <f t="shared" ref="AM970:BD970" si="688">AM871</f>
        <v>0</v>
      </c>
      <c r="AN970" s="50">
        <f t="shared" si="688"/>
        <v>0</v>
      </c>
      <c r="AO970" s="50">
        <f t="shared" si="688"/>
        <v>0</v>
      </c>
      <c r="AP970" s="50">
        <f t="shared" si="688"/>
        <v>0</v>
      </c>
      <c r="AQ970" s="50">
        <f t="shared" si="688"/>
        <v>0</v>
      </c>
      <c r="AR970" s="50">
        <f t="shared" si="688"/>
        <v>0</v>
      </c>
      <c r="AS970" s="50">
        <f t="shared" si="688"/>
        <v>0</v>
      </c>
      <c r="AT970" s="50">
        <f t="shared" si="688"/>
        <v>0</v>
      </c>
      <c r="AU970" s="50">
        <f t="shared" si="688"/>
        <v>0</v>
      </c>
      <c r="AV970" s="50">
        <f t="shared" si="688"/>
        <v>0</v>
      </c>
      <c r="AW970" s="50">
        <f t="shared" si="688"/>
        <v>0</v>
      </c>
      <c r="AX970" s="50">
        <f t="shared" si="688"/>
        <v>0</v>
      </c>
      <c r="AY970" s="50">
        <f t="shared" si="688"/>
        <v>0</v>
      </c>
      <c r="AZ970" s="50">
        <f t="shared" si="688"/>
        <v>0</v>
      </c>
      <c r="BA970" s="50">
        <f t="shared" si="688"/>
        <v>0</v>
      </c>
      <c r="BB970" s="50">
        <f t="shared" si="688"/>
        <v>0</v>
      </c>
      <c r="BC970" s="50">
        <f t="shared" si="688"/>
        <v>0</v>
      </c>
      <c r="BD970" s="50">
        <f t="shared" si="688"/>
        <v>0</v>
      </c>
    </row>
    <row r="971" spans="1:56" s="50" customFormat="1" ht="15" customHeight="1">
      <c r="A971" s="49"/>
      <c r="B971" s="64"/>
      <c r="C971" s="21">
        <f>SUM(G971:BD971)</f>
        <v>44.800000000000018</v>
      </c>
      <c r="D971" s="11" t="str">
        <f t="shared" si="684"/>
        <v>Skills development levy</v>
      </c>
      <c r="E971" s="52" t="s">
        <v>289</v>
      </c>
      <c r="G971" s="50">
        <f t="shared" ref="G971:AL971" si="689">G872</f>
        <v>0</v>
      </c>
      <c r="H971" s="50">
        <f t="shared" si="689"/>
        <v>0</v>
      </c>
      <c r="I971" s="50">
        <f t="shared" si="689"/>
        <v>0</v>
      </c>
      <c r="J971" s="50">
        <f t="shared" si="689"/>
        <v>0</v>
      </c>
      <c r="K971" s="50">
        <f t="shared" si="689"/>
        <v>0.84000000000000008</v>
      </c>
      <c r="L971" s="50">
        <f t="shared" si="689"/>
        <v>1.9600000000000004</v>
      </c>
      <c r="M971" s="50">
        <f t="shared" si="689"/>
        <v>1.96</v>
      </c>
      <c r="N971" s="50">
        <f t="shared" si="689"/>
        <v>1.9600000000000002</v>
      </c>
      <c r="O971" s="50">
        <f t="shared" si="689"/>
        <v>1.96</v>
      </c>
      <c r="P971" s="50">
        <f t="shared" si="689"/>
        <v>1.96</v>
      </c>
      <c r="Q971" s="50">
        <f t="shared" si="689"/>
        <v>1.9600000000000004</v>
      </c>
      <c r="R971" s="50">
        <f t="shared" si="689"/>
        <v>1.96</v>
      </c>
      <c r="S971" s="50">
        <f t="shared" si="689"/>
        <v>1.9600000000000004</v>
      </c>
      <c r="T971" s="50">
        <f t="shared" si="689"/>
        <v>1.9600000000000002</v>
      </c>
      <c r="U971" s="50">
        <f t="shared" si="689"/>
        <v>1.9600000000000002</v>
      </c>
      <c r="V971" s="50">
        <f t="shared" si="689"/>
        <v>1.96</v>
      </c>
      <c r="W971" s="50">
        <f t="shared" si="689"/>
        <v>1.9600000000000002</v>
      </c>
      <c r="X971" s="50">
        <f t="shared" si="689"/>
        <v>1.9600000000000002</v>
      </c>
      <c r="Y971" s="50">
        <f t="shared" si="689"/>
        <v>1.96</v>
      </c>
      <c r="Z971" s="50">
        <f t="shared" si="689"/>
        <v>1.9600000000000002</v>
      </c>
      <c r="AA971" s="50">
        <f t="shared" si="689"/>
        <v>1.9600000000000002</v>
      </c>
      <c r="AB971" s="50">
        <f t="shared" si="689"/>
        <v>1.9600000000000004</v>
      </c>
      <c r="AC971" s="50">
        <f t="shared" si="689"/>
        <v>1.9600000000000002</v>
      </c>
      <c r="AD971" s="50">
        <f t="shared" si="689"/>
        <v>1.9600000000000002</v>
      </c>
      <c r="AE971" s="50">
        <f t="shared" si="689"/>
        <v>1.9600000000000002</v>
      </c>
      <c r="AF971" s="50">
        <f t="shared" si="689"/>
        <v>1.9600000000000004</v>
      </c>
      <c r="AG971" s="50">
        <f t="shared" si="689"/>
        <v>1.9600000000000002</v>
      </c>
      <c r="AH971" s="50">
        <f t="shared" si="689"/>
        <v>0.84000000000000008</v>
      </c>
      <c r="AI971" s="50">
        <f t="shared" si="689"/>
        <v>0</v>
      </c>
      <c r="AJ971" s="50">
        <f t="shared" si="689"/>
        <v>0</v>
      </c>
      <c r="AK971" s="50">
        <f t="shared" si="689"/>
        <v>0</v>
      </c>
      <c r="AL971" s="50">
        <f t="shared" si="689"/>
        <v>0</v>
      </c>
      <c r="AM971" s="50">
        <f t="shared" ref="AM971:BD971" si="690">AM872</f>
        <v>0</v>
      </c>
      <c r="AN971" s="50">
        <f t="shared" si="690"/>
        <v>0</v>
      </c>
      <c r="AO971" s="50">
        <f t="shared" si="690"/>
        <v>0</v>
      </c>
      <c r="AP971" s="50">
        <f t="shared" si="690"/>
        <v>0</v>
      </c>
      <c r="AQ971" s="50">
        <f t="shared" si="690"/>
        <v>0</v>
      </c>
      <c r="AR971" s="50">
        <f t="shared" si="690"/>
        <v>0</v>
      </c>
      <c r="AS971" s="50">
        <f t="shared" si="690"/>
        <v>0</v>
      </c>
      <c r="AT971" s="50">
        <f t="shared" si="690"/>
        <v>0</v>
      </c>
      <c r="AU971" s="50">
        <f t="shared" si="690"/>
        <v>0</v>
      </c>
      <c r="AV971" s="50">
        <f t="shared" si="690"/>
        <v>0</v>
      </c>
      <c r="AW971" s="50">
        <f t="shared" si="690"/>
        <v>0</v>
      </c>
      <c r="AX971" s="50">
        <f t="shared" si="690"/>
        <v>0</v>
      </c>
      <c r="AY971" s="50">
        <f t="shared" si="690"/>
        <v>0</v>
      </c>
      <c r="AZ971" s="50">
        <f t="shared" si="690"/>
        <v>0</v>
      </c>
      <c r="BA971" s="50">
        <f t="shared" si="690"/>
        <v>0</v>
      </c>
      <c r="BB971" s="50">
        <f t="shared" si="690"/>
        <v>0</v>
      </c>
      <c r="BC971" s="50">
        <f t="shared" si="690"/>
        <v>0</v>
      </c>
      <c r="BD971" s="50">
        <f t="shared" si="690"/>
        <v>0</v>
      </c>
    </row>
    <row r="972" spans="1:56" s="50" customFormat="1" ht="15" customHeight="1">
      <c r="A972" s="49"/>
      <c r="B972" s="64"/>
      <c r="C972" s="21">
        <f t="shared" si="683"/>
        <v>896.00000000000023</v>
      </c>
      <c r="D972" s="11" t="str">
        <f t="shared" si="684"/>
        <v>Royalty</v>
      </c>
      <c r="E972" s="52" t="s">
        <v>289</v>
      </c>
      <c r="G972" s="50">
        <f t="shared" ref="G972:AL972" si="691">G873</f>
        <v>0</v>
      </c>
      <c r="H972" s="50">
        <f t="shared" si="691"/>
        <v>0</v>
      </c>
      <c r="I972" s="50">
        <f t="shared" si="691"/>
        <v>0</v>
      </c>
      <c r="J972" s="50">
        <f t="shared" si="691"/>
        <v>0</v>
      </c>
      <c r="K972" s="50">
        <f t="shared" si="691"/>
        <v>16.8</v>
      </c>
      <c r="L972" s="50">
        <f t="shared" si="691"/>
        <v>39.199999999999996</v>
      </c>
      <c r="M972" s="50">
        <f t="shared" si="691"/>
        <v>39.199999999999996</v>
      </c>
      <c r="N972" s="50">
        <f t="shared" si="691"/>
        <v>39.199999999999996</v>
      </c>
      <c r="O972" s="50">
        <f t="shared" si="691"/>
        <v>39.199999999999989</v>
      </c>
      <c r="P972" s="50">
        <f t="shared" si="691"/>
        <v>39.199999999999996</v>
      </c>
      <c r="Q972" s="50">
        <f t="shared" si="691"/>
        <v>39.199999999999996</v>
      </c>
      <c r="R972" s="50">
        <f t="shared" si="691"/>
        <v>39.199999999999996</v>
      </c>
      <c r="S972" s="50">
        <f t="shared" si="691"/>
        <v>39.200000000000003</v>
      </c>
      <c r="T972" s="50">
        <f t="shared" si="691"/>
        <v>39.199999999999996</v>
      </c>
      <c r="U972" s="50">
        <f t="shared" si="691"/>
        <v>39.199999999999996</v>
      </c>
      <c r="V972" s="50">
        <f t="shared" si="691"/>
        <v>39.199999999999996</v>
      </c>
      <c r="W972" s="50">
        <f t="shared" si="691"/>
        <v>39.199999999999996</v>
      </c>
      <c r="X972" s="50">
        <f t="shared" si="691"/>
        <v>39.199999999999996</v>
      </c>
      <c r="Y972" s="50">
        <f t="shared" si="691"/>
        <v>39.199999999999996</v>
      </c>
      <c r="Z972" s="50">
        <f t="shared" si="691"/>
        <v>39.199999999999996</v>
      </c>
      <c r="AA972" s="50">
        <f t="shared" si="691"/>
        <v>39.199999999999996</v>
      </c>
      <c r="AB972" s="50">
        <f t="shared" si="691"/>
        <v>39.199999999999996</v>
      </c>
      <c r="AC972" s="50">
        <f t="shared" si="691"/>
        <v>39.200000000000003</v>
      </c>
      <c r="AD972" s="50">
        <f t="shared" si="691"/>
        <v>39.199999999999996</v>
      </c>
      <c r="AE972" s="50">
        <f t="shared" si="691"/>
        <v>39.199999999999996</v>
      </c>
      <c r="AF972" s="50">
        <f t="shared" si="691"/>
        <v>39.199999999999996</v>
      </c>
      <c r="AG972" s="50">
        <f t="shared" si="691"/>
        <v>39.199999999999989</v>
      </c>
      <c r="AH972" s="50">
        <f t="shared" si="691"/>
        <v>16.799999999999997</v>
      </c>
      <c r="AI972" s="50">
        <f t="shared" si="691"/>
        <v>0</v>
      </c>
      <c r="AJ972" s="50">
        <f t="shared" si="691"/>
        <v>0</v>
      </c>
      <c r="AK972" s="50">
        <f t="shared" si="691"/>
        <v>0</v>
      </c>
      <c r="AL972" s="50">
        <f t="shared" si="691"/>
        <v>0</v>
      </c>
      <c r="AM972" s="50">
        <f t="shared" ref="AM972:BD972" si="692">AM873</f>
        <v>0</v>
      </c>
      <c r="AN972" s="50">
        <f t="shared" si="692"/>
        <v>0</v>
      </c>
      <c r="AO972" s="50">
        <f t="shared" si="692"/>
        <v>0</v>
      </c>
      <c r="AP972" s="50">
        <f t="shared" si="692"/>
        <v>0</v>
      </c>
      <c r="AQ972" s="50">
        <f t="shared" si="692"/>
        <v>0</v>
      </c>
      <c r="AR972" s="50">
        <f t="shared" si="692"/>
        <v>0</v>
      </c>
      <c r="AS972" s="50">
        <f t="shared" si="692"/>
        <v>0</v>
      </c>
      <c r="AT972" s="50">
        <f t="shared" si="692"/>
        <v>0</v>
      </c>
      <c r="AU972" s="50">
        <f t="shared" si="692"/>
        <v>0</v>
      </c>
      <c r="AV972" s="50">
        <f t="shared" si="692"/>
        <v>0</v>
      </c>
      <c r="AW972" s="50">
        <f t="shared" si="692"/>
        <v>0</v>
      </c>
      <c r="AX972" s="50">
        <f t="shared" si="692"/>
        <v>0</v>
      </c>
      <c r="AY972" s="50">
        <f t="shared" si="692"/>
        <v>0</v>
      </c>
      <c r="AZ972" s="50">
        <f t="shared" si="692"/>
        <v>0</v>
      </c>
      <c r="BA972" s="50">
        <f t="shared" si="692"/>
        <v>0</v>
      </c>
      <c r="BB972" s="50">
        <f t="shared" si="692"/>
        <v>0</v>
      </c>
      <c r="BC972" s="50">
        <f t="shared" si="692"/>
        <v>0</v>
      </c>
      <c r="BD972" s="50">
        <f t="shared" si="692"/>
        <v>0</v>
      </c>
    </row>
    <row r="973" spans="1:56" s="50" customFormat="1" ht="15" customHeight="1">
      <c r="A973" s="49"/>
      <c r="B973" s="64"/>
      <c r="C973" s="21">
        <f t="shared" si="683"/>
        <v>0</v>
      </c>
      <c r="D973" s="11" t="str">
        <f t="shared" si="684"/>
        <v>Variable rate royalty</v>
      </c>
      <c r="E973" s="52" t="s">
        <v>289</v>
      </c>
      <c r="G973" s="50">
        <f t="shared" ref="G973:AL973" si="693">G874</f>
        <v>0</v>
      </c>
      <c r="H973" s="50">
        <f t="shared" si="693"/>
        <v>0</v>
      </c>
      <c r="I973" s="50">
        <f t="shared" si="693"/>
        <v>0</v>
      </c>
      <c r="J973" s="50">
        <f t="shared" si="693"/>
        <v>0</v>
      </c>
      <c r="K973" s="50">
        <f t="shared" si="693"/>
        <v>0</v>
      </c>
      <c r="L973" s="50">
        <f t="shared" si="693"/>
        <v>0</v>
      </c>
      <c r="M973" s="50">
        <f t="shared" si="693"/>
        <v>0</v>
      </c>
      <c r="N973" s="50">
        <f t="shared" si="693"/>
        <v>0</v>
      </c>
      <c r="O973" s="50">
        <f t="shared" si="693"/>
        <v>0</v>
      </c>
      <c r="P973" s="50">
        <f t="shared" si="693"/>
        <v>0</v>
      </c>
      <c r="Q973" s="50">
        <f t="shared" si="693"/>
        <v>0</v>
      </c>
      <c r="R973" s="50">
        <f t="shared" si="693"/>
        <v>0</v>
      </c>
      <c r="S973" s="50">
        <f t="shared" si="693"/>
        <v>0</v>
      </c>
      <c r="T973" s="50">
        <f t="shared" si="693"/>
        <v>0</v>
      </c>
      <c r="U973" s="50">
        <f t="shared" si="693"/>
        <v>0</v>
      </c>
      <c r="V973" s="50">
        <f t="shared" si="693"/>
        <v>0</v>
      </c>
      <c r="W973" s="50">
        <f t="shared" si="693"/>
        <v>0</v>
      </c>
      <c r="X973" s="50">
        <f t="shared" si="693"/>
        <v>0</v>
      </c>
      <c r="Y973" s="50">
        <f t="shared" si="693"/>
        <v>0</v>
      </c>
      <c r="Z973" s="50">
        <f t="shared" si="693"/>
        <v>0</v>
      </c>
      <c r="AA973" s="50">
        <f t="shared" si="693"/>
        <v>0</v>
      </c>
      <c r="AB973" s="50">
        <f t="shared" si="693"/>
        <v>0</v>
      </c>
      <c r="AC973" s="50">
        <f t="shared" si="693"/>
        <v>0</v>
      </c>
      <c r="AD973" s="50">
        <f t="shared" si="693"/>
        <v>0</v>
      </c>
      <c r="AE973" s="50">
        <f t="shared" si="693"/>
        <v>0</v>
      </c>
      <c r="AF973" s="50">
        <f t="shared" si="693"/>
        <v>0</v>
      </c>
      <c r="AG973" s="50">
        <f t="shared" si="693"/>
        <v>0</v>
      </c>
      <c r="AH973" s="50">
        <f t="shared" si="693"/>
        <v>0</v>
      </c>
      <c r="AI973" s="50">
        <f t="shared" si="693"/>
        <v>0</v>
      </c>
      <c r="AJ973" s="50">
        <f t="shared" si="693"/>
        <v>0</v>
      </c>
      <c r="AK973" s="50">
        <f t="shared" si="693"/>
        <v>0</v>
      </c>
      <c r="AL973" s="50">
        <f t="shared" si="693"/>
        <v>0</v>
      </c>
      <c r="AM973" s="50">
        <f t="shared" ref="AM973:BD973" si="694">AM874</f>
        <v>0</v>
      </c>
      <c r="AN973" s="50">
        <f t="shared" si="694"/>
        <v>0</v>
      </c>
      <c r="AO973" s="50">
        <f t="shared" si="694"/>
        <v>0</v>
      </c>
      <c r="AP973" s="50">
        <f t="shared" si="694"/>
        <v>0</v>
      </c>
      <c r="AQ973" s="50">
        <f t="shared" si="694"/>
        <v>0</v>
      </c>
      <c r="AR973" s="50">
        <f t="shared" si="694"/>
        <v>0</v>
      </c>
      <c r="AS973" s="50">
        <f t="shared" si="694"/>
        <v>0</v>
      </c>
      <c r="AT973" s="50">
        <f t="shared" si="694"/>
        <v>0</v>
      </c>
      <c r="AU973" s="50">
        <f t="shared" si="694"/>
        <v>0</v>
      </c>
      <c r="AV973" s="50">
        <f t="shared" si="694"/>
        <v>0</v>
      </c>
      <c r="AW973" s="50">
        <f t="shared" si="694"/>
        <v>0</v>
      </c>
      <c r="AX973" s="50">
        <f t="shared" si="694"/>
        <v>0</v>
      </c>
      <c r="AY973" s="50">
        <f t="shared" si="694"/>
        <v>0</v>
      </c>
      <c r="AZ973" s="50">
        <f t="shared" si="694"/>
        <v>0</v>
      </c>
      <c r="BA973" s="50">
        <f t="shared" si="694"/>
        <v>0</v>
      </c>
      <c r="BB973" s="50">
        <f t="shared" si="694"/>
        <v>0</v>
      </c>
      <c r="BC973" s="50">
        <f t="shared" si="694"/>
        <v>0</v>
      </c>
      <c r="BD973" s="50">
        <f t="shared" si="694"/>
        <v>0</v>
      </c>
    </row>
    <row r="974" spans="1:56" s="50" customFormat="1" ht="15" customHeight="1">
      <c r="A974" s="49"/>
      <c r="B974" s="64"/>
      <c r="C974" s="21">
        <f>SUM(G974:BD974)</f>
        <v>0</v>
      </c>
      <c r="D974" s="11" t="str">
        <f t="shared" si="684"/>
        <v>South Africa variable royalty</v>
      </c>
      <c r="E974" s="52" t="s">
        <v>289</v>
      </c>
      <c r="G974" s="50">
        <f t="shared" ref="G974:AL974" si="695">G875</f>
        <v>0</v>
      </c>
      <c r="H974" s="50">
        <f t="shared" si="695"/>
        <v>0</v>
      </c>
      <c r="I974" s="50">
        <f t="shared" si="695"/>
        <v>0</v>
      </c>
      <c r="J974" s="50">
        <f t="shared" si="695"/>
        <v>0</v>
      </c>
      <c r="K974" s="50">
        <f t="shared" si="695"/>
        <v>0</v>
      </c>
      <c r="L974" s="50">
        <f t="shared" si="695"/>
        <v>0</v>
      </c>
      <c r="M974" s="50">
        <f t="shared" si="695"/>
        <v>0</v>
      </c>
      <c r="N974" s="50">
        <f t="shared" si="695"/>
        <v>0</v>
      </c>
      <c r="O974" s="50">
        <f t="shared" si="695"/>
        <v>0</v>
      </c>
      <c r="P974" s="50">
        <f t="shared" si="695"/>
        <v>0</v>
      </c>
      <c r="Q974" s="50">
        <f t="shared" si="695"/>
        <v>0</v>
      </c>
      <c r="R974" s="50">
        <f t="shared" si="695"/>
        <v>0</v>
      </c>
      <c r="S974" s="50">
        <f t="shared" si="695"/>
        <v>0</v>
      </c>
      <c r="T974" s="50">
        <f t="shared" si="695"/>
        <v>0</v>
      </c>
      <c r="U974" s="50">
        <f t="shared" si="695"/>
        <v>0</v>
      </c>
      <c r="V974" s="50">
        <f t="shared" si="695"/>
        <v>0</v>
      </c>
      <c r="W974" s="50">
        <f t="shared" si="695"/>
        <v>0</v>
      </c>
      <c r="X974" s="50">
        <f t="shared" si="695"/>
        <v>0</v>
      </c>
      <c r="Y974" s="50">
        <f t="shared" si="695"/>
        <v>0</v>
      </c>
      <c r="Z974" s="50">
        <f t="shared" si="695"/>
        <v>0</v>
      </c>
      <c r="AA974" s="50">
        <f t="shared" si="695"/>
        <v>0</v>
      </c>
      <c r="AB974" s="50">
        <f t="shared" si="695"/>
        <v>0</v>
      </c>
      <c r="AC974" s="50">
        <f t="shared" si="695"/>
        <v>0</v>
      </c>
      <c r="AD974" s="50">
        <f t="shared" si="695"/>
        <v>0</v>
      </c>
      <c r="AE974" s="50">
        <f t="shared" si="695"/>
        <v>0</v>
      </c>
      <c r="AF974" s="50">
        <f t="shared" si="695"/>
        <v>0</v>
      </c>
      <c r="AG974" s="50">
        <f t="shared" si="695"/>
        <v>0</v>
      </c>
      <c r="AH974" s="50">
        <f t="shared" si="695"/>
        <v>0</v>
      </c>
      <c r="AI974" s="50">
        <f t="shared" si="695"/>
        <v>0</v>
      </c>
      <c r="AJ974" s="50">
        <f t="shared" si="695"/>
        <v>0</v>
      </c>
      <c r="AK974" s="50">
        <f t="shared" si="695"/>
        <v>0</v>
      </c>
      <c r="AL974" s="50">
        <f t="shared" si="695"/>
        <v>0</v>
      </c>
      <c r="AM974" s="50">
        <f t="shared" ref="AM974:BD974" si="696">AM875</f>
        <v>0</v>
      </c>
      <c r="AN974" s="50">
        <f t="shared" si="696"/>
        <v>0</v>
      </c>
      <c r="AO974" s="50">
        <f t="shared" si="696"/>
        <v>0</v>
      </c>
      <c r="AP974" s="50">
        <f t="shared" si="696"/>
        <v>0</v>
      </c>
      <c r="AQ974" s="50">
        <f t="shared" si="696"/>
        <v>0</v>
      </c>
      <c r="AR974" s="50">
        <f t="shared" si="696"/>
        <v>0</v>
      </c>
      <c r="AS974" s="50">
        <f t="shared" si="696"/>
        <v>0</v>
      </c>
      <c r="AT974" s="50">
        <f t="shared" si="696"/>
        <v>0</v>
      </c>
      <c r="AU974" s="50">
        <f t="shared" si="696"/>
        <v>0</v>
      </c>
      <c r="AV974" s="50">
        <f t="shared" si="696"/>
        <v>0</v>
      </c>
      <c r="AW974" s="50">
        <f t="shared" si="696"/>
        <v>0</v>
      </c>
      <c r="AX974" s="50">
        <f t="shared" si="696"/>
        <v>0</v>
      </c>
      <c r="AY974" s="50">
        <f t="shared" si="696"/>
        <v>0</v>
      </c>
      <c r="AZ974" s="50">
        <f t="shared" si="696"/>
        <v>0</v>
      </c>
      <c r="BA974" s="50">
        <f t="shared" si="696"/>
        <v>0</v>
      </c>
      <c r="BB974" s="50">
        <f t="shared" si="696"/>
        <v>0</v>
      </c>
      <c r="BC974" s="50">
        <f t="shared" si="696"/>
        <v>0</v>
      </c>
      <c r="BD974" s="50">
        <f t="shared" si="696"/>
        <v>0</v>
      </c>
    </row>
    <row r="975" spans="1:56" s="50" customFormat="1" ht="15" customHeight="1">
      <c r="A975" s="49"/>
      <c r="B975" s="64"/>
      <c r="C975" s="21">
        <f t="shared" si="683"/>
        <v>0</v>
      </c>
      <c r="D975" s="11" t="str">
        <f t="shared" si="684"/>
        <v>Operating profit tax</v>
      </c>
      <c r="E975" s="52" t="s">
        <v>289</v>
      </c>
      <c r="G975" s="50">
        <f t="shared" ref="G975:AL975" si="697">G876</f>
        <v>0</v>
      </c>
      <c r="H975" s="50">
        <f t="shared" si="697"/>
        <v>0</v>
      </c>
      <c r="I975" s="50">
        <f t="shared" si="697"/>
        <v>0</v>
      </c>
      <c r="J975" s="50">
        <f t="shared" si="697"/>
        <v>0</v>
      </c>
      <c r="K975" s="50">
        <f t="shared" si="697"/>
        <v>0</v>
      </c>
      <c r="L975" s="50">
        <f t="shared" si="697"/>
        <v>0</v>
      </c>
      <c r="M975" s="50">
        <f t="shared" si="697"/>
        <v>0</v>
      </c>
      <c r="N975" s="50">
        <f t="shared" si="697"/>
        <v>0</v>
      </c>
      <c r="O975" s="50">
        <f t="shared" si="697"/>
        <v>0</v>
      </c>
      <c r="P975" s="50">
        <f t="shared" si="697"/>
        <v>0</v>
      </c>
      <c r="Q975" s="50">
        <f t="shared" si="697"/>
        <v>0</v>
      </c>
      <c r="R975" s="50">
        <f t="shared" si="697"/>
        <v>0</v>
      </c>
      <c r="S975" s="50">
        <f t="shared" si="697"/>
        <v>0</v>
      </c>
      <c r="T975" s="50">
        <f t="shared" si="697"/>
        <v>0</v>
      </c>
      <c r="U975" s="50">
        <f t="shared" si="697"/>
        <v>0</v>
      </c>
      <c r="V975" s="50">
        <f t="shared" si="697"/>
        <v>0</v>
      </c>
      <c r="W975" s="50">
        <f t="shared" si="697"/>
        <v>0</v>
      </c>
      <c r="X975" s="50">
        <f t="shared" si="697"/>
        <v>0</v>
      </c>
      <c r="Y975" s="50">
        <f t="shared" si="697"/>
        <v>0</v>
      </c>
      <c r="Z975" s="50">
        <f t="shared" si="697"/>
        <v>0</v>
      </c>
      <c r="AA975" s="50">
        <f t="shared" si="697"/>
        <v>0</v>
      </c>
      <c r="AB975" s="50">
        <f t="shared" si="697"/>
        <v>0</v>
      </c>
      <c r="AC975" s="50">
        <f t="shared" si="697"/>
        <v>0</v>
      </c>
      <c r="AD975" s="50">
        <f t="shared" si="697"/>
        <v>0</v>
      </c>
      <c r="AE975" s="50">
        <f t="shared" si="697"/>
        <v>0</v>
      </c>
      <c r="AF975" s="50">
        <f t="shared" si="697"/>
        <v>0</v>
      </c>
      <c r="AG975" s="50">
        <f t="shared" si="697"/>
        <v>0</v>
      </c>
      <c r="AH975" s="50">
        <f t="shared" si="697"/>
        <v>0</v>
      </c>
      <c r="AI975" s="50">
        <f t="shared" si="697"/>
        <v>0</v>
      </c>
      <c r="AJ975" s="50">
        <f t="shared" si="697"/>
        <v>0</v>
      </c>
      <c r="AK975" s="50">
        <f t="shared" si="697"/>
        <v>0</v>
      </c>
      <c r="AL975" s="50">
        <f t="shared" si="697"/>
        <v>0</v>
      </c>
      <c r="AM975" s="50">
        <f t="shared" ref="AM975:BD975" si="698">AM876</f>
        <v>0</v>
      </c>
      <c r="AN975" s="50">
        <f t="shared" si="698"/>
        <v>0</v>
      </c>
      <c r="AO975" s="50">
        <f t="shared" si="698"/>
        <v>0</v>
      </c>
      <c r="AP975" s="50">
        <f t="shared" si="698"/>
        <v>0</v>
      </c>
      <c r="AQ975" s="50">
        <f t="shared" si="698"/>
        <v>0</v>
      </c>
      <c r="AR975" s="50">
        <f t="shared" si="698"/>
        <v>0</v>
      </c>
      <c r="AS975" s="50">
        <f t="shared" si="698"/>
        <v>0</v>
      </c>
      <c r="AT975" s="50">
        <f t="shared" si="698"/>
        <v>0</v>
      </c>
      <c r="AU975" s="50">
        <f t="shared" si="698"/>
        <v>0</v>
      </c>
      <c r="AV975" s="50">
        <f t="shared" si="698"/>
        <v>0</v>
      </c>
      <c r="AW975" s="50">
        <f t="shared" si="698"/>
        <v>0</v>
      </c>
      <c r="AX975" s="50">
        <f t="shared" si="698"/>
        <v>0</v>
      </c>
      <c r="AY975" s="50">
        <f t="shared" si="698"/>
        <v>0</v>
      </c>
      <c r="AZ975" s="50">
        <f t="shared" si="698"/>
        <v>0</v>
      </c>
      <c r="BA975" s="50">
        <f t="shared" si="698"/>
        <v>0</v>
      </c>
      <c r="BB975" s="50">
        <f t="shared" si="698"/>
        <v>0</v>
      </c>
      <c r="BC975" s="50">
        <f t="shared" si="698"/>
        <v>0</v>
      </c>
      <c r="BD975" s="50">
        <f t="shared" si="698"/>
        <v>0</v>
      </c>
    </row>
    <row r="976" spans="1:56" s="50" customFormat="1" ht="15" customHeight="1">
      <c r="A976" s="49"/>
      <c r="B976" s="64"/>
      <c r="C976" s="21">
        <f>SUM(G976:BD976)</f>
        <v>0</v>
      </c>
      <c r="D976" s="11" t="str">
        <f t="shared" si="684"/>
        <v>DRC excess profits tax</v>
      </c>
      <c r="E976" s="52" t="s">
        <v>289</v>
      </c>
      <c r="G976" s="50">
        <f t="shared" ref="G976:AL976" si="699">G877</f>
        <v>0</v>
      </c>
      <c r="H976" s="50">
        <f t="shared" si="699"/>
        <v>0</v>
      </c>
      <c r="I976" s="50">
        <f t="shared" si="699"/>
        <v>0</v>
      </c>
      <c r="J976" s="50">
        <f t="shared" si="699"/>
        <v>0</v>
      </c>
      <c r="K976" s="50">
        <f t="shared" si="699"/>
        <v>0</v>
      </c>
      <c r="L976" s="50">
        <f t="shared" si="699"/>
        <v>0</v>
      </c>
      <c r="M976" s="50">
        <f t="shared" si="699"/>
        <v>0</v>
      </c>
      <c r="N976" s="50">
        <f t="shared" si="699"/>
        <v>0</v>
      </c>
      <c r="O976" s="50">
        <f t="shared" si="699"/>
        <v>0</v>
      </c>
      <c r="P976" s="50">
        <f t="shared" si="699"/>
        <v>0</v>
      </c>
      <c r="Q976" s="50">
        <f t="shared" si="699"/>
        <v>0</v>
      </c>
      <c r="R976" s="50">
        <f t="shared" si="699"/>
        <v>0</v>
      </c>
      <c r="S976" s="50">
        <f t="shared" si="699"/>
        <v>0</v>
      </c>
      <c r="T976" s="50">
        <f t="shared" si="699"/>
        <v>0</v>
      </c>
      <c r="U976" s="50">
        <f t="shared" si="699"/>
        <v>0</v>
      </c>
      <c r="V976" s="50">
        <f t="shared" si="699"/>
        <v>0</v>
      </c>
      <c r="W976" s="50">
        <f t="shared" si="699"/>
        <v>0</v>
      </c>
      <c r="X976" s="50">
        <f t="shared" si="699"/>
        <v>0</v>
      </c>
      <c r="Y976" s="50">
        <f t="shared" si="699"/>
        <v>0</v>
      </c>
      <c r="Z976" s="50">
        <f t="shared" si="699"/>
        <v>0</v>
      </c>
      <c r="AA976" s="50">
        <f t="shared" si="699"/>
        <v>0</v>
      </c>
      <c r="AB976" s="50">
        <f t="shared" si="699"/>
        <v>0</v>
      </c>
      <c r="AC976" s="50">
        <f t="shared" si="699"/>
        <v>0</v>
      </c>
      <c r="AD976" s="50">
        <f t="shared" si="699"/>
        <v>0</v>
      </c>
      <c r="AE976" s="50">
        <f t="shared" si="699"/>
        <v>0</v>
      </c>
      <c r="AF976" s="50">
        <f t="shared" si="699"/>
        <v>0</v>
      </c>
      <c r="AG976" s="50">
        <f t="shared" si="699"/>
        <v>0</v>
      </c>
      <c r="AH976" s="50">
        <f t="shared" si="699"/>
        <v>0</v>
      </c>
      <c r="AI976" s="50">
        <f t="shared" si="699"/>
        <v>0</v>
      </c>
      <c r="AJ976" s="50">
        <f t="shared" si="699"/>
        <v>0</v>
      </c>
      <c r="AK976" s="50">
        <f t="shared" si="699"/>
        <v>0</v>
      </c>
      <c r="AL976" s="50">
        <f t="shared" si="699"/>
        <v>0</v>
      </c>
      <c r="AM976" s="50">
        <f t="shared" ref="AM976:BD976" si="700">AM877</f>
        <v>0</v>
      </c>
      <c r="AN976" s="50">
        <f t="shared" si="700"/>
        <v>0</v>
      </c>
      <c r="AO976" s="50">
        <f t="shared" si="700"/>
        <v>0</v>
      </c>
      <c r="AP976" s="50">
        <f t="shared" si="700"/>
        <v>0</v>
      </c>
      <c r="AQ976" s="50">
        <f t="shared" si="700"/>
        <v>0</v>
      </c>
      <c r="AR976" s="50">
        <f t="shared" si="700"/>
        <v>0</v>
      </c>
      <c r="AS976" s="50">
        <f t="shared" si="700"/>
        <v>0</v>
      </c>
      <c r="AT976" s="50">
        <f t="shared" si="700"/>
        <v>0</v>
      </c>
      <c r="AU976" s="50">
        <f t="shared" si="700"/>
        <v>0</v>
      </c>
      <c r="AV976" s="50">
        <f t="shared" si="700"/>
        <v>0</v>
      </c>
      <c r="AW976" s="50">
        <f t="shared" si="700"/>
        <v>0</v>
      </c>
      <c r="AX976" s="50">
        <f t="shared" si="700"/>
        <v>0</v>
      </c>
      <c r="AY976" s="50">
        <f t="shared" si="700"/>
        <v>0</v>
      </c>
      <c r="AZ976" s="50">
        <f t="shared" si="700"/>
        <v>0</v>
      </c>
      <c r="BA976" s="50">
        <f t="shared" si="700"/>
        <v>0</v>
      </c>
      <c r="BB976" s="50">
        <f t="shared" si="700"/>
        <v>0</v>
      </c>
      <c r="BC976" s="50">
        <f t="shared" si="700"/>
        <v>0</v>
      </c>
      <c r="BD976" s="50">
        <f t="shared" si="700"/>
        <v>0</v>
      </c>
    </row>
    <row r="977" spans="1:56" s="50" customFormat="1" ht="15" customHeight="1">
      <c r="A977" s="49"/>
      <c r="B977" s="64"/>
      <c r="C977" s="21">
        <f>SUM(G977:BD977)</f>
        <v>0</v>
      </c>
      <c r="D977" s="11" t="str">
        <f t="shared" si="684"/>
        <v>Ecuador profit share for workers</v>
      </c>
      <c r="E977" s="52" t="s">
        <v>289</v>
      </c>
      <c r="G977" s="50">
        <f t="shared" ref="G977:AL977" si="701">G878</f>
        <v>0</v>
      </c>
      <c r="H977" s="50">
        <f t="shared" si="701"/>
        <v>0</v>
      </c>
      <c r="I977" s="50">
        <f t="shared" si="701"/>
        <v>0</v>
      </c>
      <c r="J977" s="50">
        <f t="shared" si="701"/>
        <v>0</v>
      </c>
      <c r="K977" s="50">
        <f t="shared" si="701"/>
        <v>0</v>
      </c>
      <c r="L977" s="50">
        <f t="shared" si="701"/>
        <v>0</v>
      </c>
      <c r="M977" s="50">
        <f t="shared" si="701"/>
        <v>0</v>
      </c>
      <c r="N977" s="50">
        <f t="shared" si="701"/>
        <v>0</v>
      </c>
      <c r="O977" s="50">
        <f t="shared" si="701"/>
        <v>0</v>
      </c>
      <c r="P977" s="50">
        <f t="shared" si="701"/>
        <v>0</v>
      </c>
      <c r="Q977" s="50">
        <f t="shared" si="701"/>
        <v>0</v>
      </c>
      <c r="R977" s="50">
        <f t="shared" si="701"/>
        <v>0</v>
      </c>
      <c r="S977" s="50">
        <f t="shared" si="701"/>
        <v>0</v>
      </c>
      <c r="T977" s="50">
        <f t="shared" si="701"/>
        <v>0</v>
      </c>
      <c r="U977" s="50">
        <f t="shared" si="701"/>
        <v>0</v>
      </c>
      <c r="V977" s="50">
        <f t="shared" si="701"/>
        <v>0</v>
      </c>
      <c r="W977" s="50">
        <f t="shared" si="701"/>
        <v>0</v>
      </c>
      <c r="X977" s="50">
        <f t="shared" si="701"/>
        <v>0</v>
      </c>
      <c r="Y977" s="50">
        <f t="shared" si="701"/>
        <v>0</v>
      </c>
      <c r="Z977" s="50">
        <f t="shared" si="701"/>
        <v>0</v>
      </c>
      <c r="AA977" s="50">
        <f t="shared" si="701"/>
        <v>0</v>
      </c>
      <c r="AB977" s="50">
        <f t="shared" si="701"/>
        <v>0</v>
      </c>
      <c r="AC977" s="50">
        <f t="shared" si="701"/>
        <v>0</v>
      </c>
      <c r="AD977" s="50">
        <f t="shared" si="701"/>
        <v>0</v>
      </c>
      <c r="AE977" s="50">
        <f t="shared" si="701"/>
        <v>0</v>
      </c>
      <c r="AF977" s="50">
        <f t="shared" si="701"/>
        <v>0</v>
      </c>
      <c r="AG977" s="50">
        <f t="shared" si="701"/>
        <v>0</v>
      </c>
      <c r="AH977" s="50">
        <f t="shared" si="701"/>
        <v>0</v>
      </c>
      <c r="AI977" s="50">
        <f t="shared" si="701"/>
        <v>0</v>
      </c>
      <c r="AJ977" s="50">
        <f t="shared" si="701"/>
        <v>0</v>
      </c>
      <c r="AK977" s="50">
        <f t="shared" si="701"/>
        <v>0</v>
      </c>
      <c r="AL977" s="50">
        <f t="shared" si="701"/>
        <v>0</v>
      </c>
      <c r="AM977" s="50">
        <f t="shared" ref="AM977:BD977" si="702">AM878</f>
        <v>0</v>
      </c>
      <c r="AN977" s="50">
        <f t="shared" si="702"/>
        <v>0</v>
      </c>
      <c r="AO977" s="50">
        <f t="shared" si="702"/>
        <v>0</v>
      </c>
      <c r="AP977" s="50">
        <f t="shared" si="702"/>
        <v>0</v>
      </c>
      <c r="AQ977" s="50">
        <f t="shared" si="702"/>
        <v>0</v>
      </c>
      <c r="AR977" s="50">
        <f t="shared" si="702"/>
        <v>0</v>
      </c>
      <c r="AS977" s="50">
        <f t="shared" si="702"/>
        <v>0</v>
      </c>
      <c r="AT977" s="50">
        <f t="shared" si="702"/>
        <v>0</v>
      </c>
      <c r="AU977" s="50">
        <f t="shared" si="702"/>
        <v>0</v>
      </c>
      <c r="AV977" s="50">
        <f t="shared" si="702"/>
        <v>0</v>
      </c>
      <c r="AW977" s="50">
        <f t="shared" si="702"/>
        <v>0</v>
      </c>
      <c r="AX977" s="50">
        <f t="shared" si="702"/>
        <v>0</v>
      </c>
      <c r="AY977" s="50">
        <f t="shared" si="702"/>
        <v>0</v>
      </c>
      <c r="AZ977" s="50">
        <f t="shared" si="702"/>
        <v>0</v>
      </c>
      <c r="BA977" s="50">
        <f t="shared" si="702"/>
        <v>0</v>
      </c>
      <c r="BB977" s="50">
        <f t="shared" si="702"/>
        <v>0</v>
      </c>
      <c r="BC977" s="50">
        <f t="shared" si="702"/>
        <v>0</v>
      </c>
      <c r="BD977" s="50">
        <f t="shared" si="702"/>
        <v>0</v>
      </c>
    </row>
    <row r="978" spans="1:56" s="50" customFormat="1" ht="15" customHeight="1">
      <c r="A978" s="49"/>
      <c r="B978" s="64"/>
      <c r="C978" s="21">
        <f t="shared" si="683"/>
        <v>1405.5780796757949</v>
      </c>
      <c r="D978" s="11" t="str">
        <f t="shared" si="684"/>
        <v>Corporate income tax</v>
      </c>
      <c r="E978" s="52" t="s">
        <v>289</v>
      </c>
      <c r="G978" s="50">
        <f t="shared" ref="G978:AL978" si="703">G879</f>
        <v>0</v>
      </c>
      <c r="H978" s="50">
        <f t="shared" si="703"/>
        <v>0</v>
      </c>
      <c r="I978" s="50">
        <f t="shared" si="703"/>
        <v>0</v>
      </c>
      <c r="J978" s="50">
        <f t="shared" si="703"/>
        <v>0</v>
      </c>
      <c r="K978" s="50">
        <f t="shared" si="703"/>
        <v>0</v>
      </c>
      <c r="L978" s="50">
        <f t="shared" si="703"/>
        <v>34.820393049614836</v>
      </c>
      <c r="M978" s="50">
        <f t="shared" si="703"/>
        <v>46.675021858108884</v>
      </c>
      <c r="N978" s="50">
        <f t="shared" si="703"/>
        <v>45.794511955951009</v>
      </c>
      <c r="O978" s="50">
        <f t="shared" si="703"/>
        <v>44.914112199184174</v>
      </c>
      <c r="P978" s="50">
        <f t="shared" si="703"/>
        <v>68.010951123181727</v>
      </c>
      <c r="Q978" s="50">
        <f t="shared" si="703"/>
        <v>68.010951123181712</v>
      </c>
      <c r="R978" s="50">
        <f t="shared" si="703"/>
        <v>68.010951123181698</v>
      </c>
      <c r="S978" s="50">
        <f t="shared" si="703"/>
        <v>68.010951123181712</v>
      </c>
      <c r="T978" s="50">
        <f t="shared" si="703"/>
        <v>68.010951123181727</v>
      </c>
      <c r="U978" s="50">
        <f t="shared" si="703"/>
        <v>68.010951123181712</v>
      </c>
      <c r="V978" s="50">
        <f t="shared" si="703"/>
        <v>68.010951123181712</v>
      </c>
      <c r="W978" s="50">
        <f t="shared" si="703"/>
        <v>68.010951123181727</v>
      </c>
      <c r="X978" s="50">
        <f t="shared" si="703"/>
        <v>68.010951123181727</v>
      </c>
      <c r="Y978" s="50">
        <f t="shared" si="703"/>
        <v>67.533678395908993</v>
      </c>
      <c r="Z978" s="50">
        <f t="shared" si="703"/>
        <v>67.532568090461695</v>
      </c>
      <c r="AA978" s="50">
        <f t="shared" si="703"/>
        <v>67.5300703218725</v>
      </c>
      <c r="AB978" s="50">
        <f t="shared" si="703"/>
        <v>67.525773866996218</v>
      </c>
      <c r="AC978" s="50">
        <f t="shared" si="703"/>
        <v>67.519033276560208</v>
      </c>
      <c r="AD978" s="50">
        <f t="shared" si="703"/>
        <v>66.773754625861415</v>
      </c>
      <c r="AE978" s="50">
        <f t="shared" si="703"/>
        <v>66.757866321887349</v>
      </c>
      <c r="AF978" s="50">
        <f t="shared" si="703"/>
        <v>66.731692667472117</v>
      </c>
      <c r="AG978" s="50">
        <f t="shared" si="703"/>
        <v>68.105599696015446</v>
      </c>
      <c r="AH978" s="50">
        <f t="shared" si="703"/>
        <v>15.265443241264967</v>
      </c>
      <c r="AI978" s="50">
        <f t="shared" si="703"/>
        <v>0</v>
      </c>
      <c r="AJ978" s="50">
        <f t="shared" si="703"/>
        <v>0</v>
      </c>
      <c r="AK978" s="50">
        <f t="shared" si="703"/>
        <v>0</v>
      </c>
      <c r="AL978" s="50">
        <f t="shared" si="703"/>
        <v>0</v>
      </c>
      <c r="AM978" s="50">
        <f t="shared" ref="AM978:BD978" si="704">AM879</f>
        <v>0</v>
      </c>
      <c r="AN978" s="50">
        <f t="shared" si="704"/>
        <v>0</v>
      </c>
      <c r="AO978" s="50">
        <f t="shared" si="704"/>
        <v>0</v>
      </c>
      <c r="AP978" s="50">
        <f t="shared" si="704"/>
        <v>0</v>
      </c>
      <c r="AQ978" s="50">
        <f t="shared" si="704"/>
        <v>0</v>
      </c>
      <c r="AR978" s="50">
        <f t="shared" si="704"/>
        <v>0</v>
      </c>
      <c r="AS978" s="50">
        <f t="shared" si="704"/>
        <v>0</v>
      </c>
      <c r="AT978" s="50">
        <f t="shared" si="704"/>
        <v>0</v>
      </c>
      <c r="AU978" s="50">
        <f t="shared" si="704"/>
        <v>0</v>
      </c>
      <c r="AV978" s="50">
        <f t="shared" si="704"/>
        <v>0</v>
      </c>
      <c r="AW978" s="50">
        <f t="shared" si="704"/>
        <v>0</v>
      </c>
      <c r="AX978" s="50">
        <f t="shared" si="704"/>
        <v>0</v>
      </c>
      <c r="AY978" s="50">
        <f t="shared" si="704"/>
        <v>0</v>
      </c>
      <c r="AZ978" s="50">
        <f t="shared" si="704"/>
        <v>0</v>
      </c>
      <c r="BA978" s="50">
        <f t="shared" si="704"/>
        <v>0</v>
      </c>
      <c r="BB978" s="50">
        <f t="shared" si="704"/>
        <v>0</v>
      </c>
      <c r="BC978" s="50">
        <f t="shared" si="704"/>
        <v>0</v>
      </c>
      <c r="BD978" s="50">
        <f t="shared" si="704"/>
        <v>0</v>
      </c>
    </row>
    <row r="979" spans="1:56" s="50" customFormat="1" ht="15" customHeight="1">
      <c r="A979" s="49"/>
      <c r="B979" s="64"/>
      <c r="C979" s="21">
        <f t="shared" si="683"/>
        <v>0</v>
      </c>
      <c r="D979" s="11" t="str">
        <f t="shared" si="684"/>
        <v>Resource rent tax</v>
      </c>
      <c r="E979" s="52" t="s">
        <v>289</v>
      </c>
      <c r="G979" s="50">
        <f t="shared" ref="G979:AL979" si="705">G880</f>
        <v>0</v>
      </c>
      <c r="H979" s="50">
        <f t="shared" si="705"/>
        <v>0</v>
      </c>
      <c r="I979" s="50">
        <f t="shared" si="705"/>
        <v>0</v>
      </c>
      <c r="J979" s="50">
        <f t="shared" si="705"/>
        <v>0</v>
      </c>
      <c r="K979" s="50">
        <f t="shared" si="705"/>
        <v>0</v>
      </c>
      <c r="L979" s="50">
        <f t="shared" si="705"/>
        <v>0</v>
      </c>
      <c r="M979" s="50">
        <f t="shared" si="705"/>
        <v>0</v>
      </c>
      <c r="N979" s="50">
        <f t="shared" si="705"/>
        <v>0</v>
      </c>
      <c r="O979" s="50">
        <f t="shared" si="705"/>
        <v>0</v>
      </c>
      <c r="P979" s="50">
        <f t="shared" si="705"/>
        <v>0</v>
      </c>
      <c r="Q979" s="50">
        <f t="shared" si="705"/>
        <v>0</v>
      </c>
      <c r="R979" s="50">
        <f t="shared" si="705"/>
        <v>0</v>
      </c>
      <c r="S979" s="50">
        <f t="shared" si="705"/>
        <v>0</v>
      </c>
      <c r="T979" s="50">
        <f t="shared" si="705"/>
        <v>0</v>
      </c>
      <c r="U979" s="50">
        <f t="shared" si="705"/>
        <v>0</v>
      </c>
      <c r="V979" s="50">
        <f t="shared" si="705"/>
        <v>0</v>
      </c>
      <c r="W979" s="50">
        <f t="shared" si="705"/>
        <v>0</v>
      </c>
      <c r="X979" s="50">
        <f t="shared" si="705"/>
        <v>0</v>
      </c>
      <c r="Y979" s="50">
        <f t="shared" si="705"/>
        <v>0</v>
      </c>
      <c r="Z979" s="50">
        <f t="shared" si="705"/>
        <v>0</v>
      </c>
      <c r="AA979" s="50">
        <f t="shared" si="705"/>
        <v>0</v>
      </c>
      <c r="AB979" s="50">
        <f t="shared" si="705"/>
        <v>0</v>
      </c>
      <c r="AC979" s="50">
        <f t="shared" si="705"/>
        <v>0</v>
      </c>
      <c r="AD979" s="50">
        <f t="shared" si="705"/>
        <v>0</v>
      </c>
      <c r="AE979" s="50">
        <f t="shared" si="705"/>
        <v>0</v>
      </c>
      <c r="AF979" s="50">
        <f t="shared" si="705"/>
        <v>0</v>
      </c>
      <c r="AG979" s="50">
        <f t="shared" si="705"/>
        <v>0</v>
      </c>
      <c r="AH979" s="50">
        <f t="shared" si="705"/>
        <v>0</v>
      </c>
      <c r="AI979" s="50">
        <f t="shared" si="705"/>
        <v>0</v>
      </c>
      <c r="AJ979" s="50">
        <f t="shared" si="705"/>
        <v>0</v>
      </c>
      <c r="AK979" s="50">
        <f t="shared" si="705"/>
        <v>0</v>
      </c>
      <c r="AL979" s="50">
        <f t="shared" si="705"/>
        <v>0</v>
      </c>
      <c r="AM979" s="50">
        <f t="shared" ref="AM979:BD979" si="706">AM880</f>
        <v>0</v>
      </c>
      <c r="AN979" s="50">
        <f t="shared" si="706"/>
        <v>0</v>
      </c>
      <c r="AO979" s="50">
        <f t="shared" si="706"/>
        <v>0</v>
      </c>
      <c r="AP979" s="50">
        <f t="shared" si="706"/>
        <v>0</v>
      </c>
      <c r="AQ979" s="50">
        <f t="shared" si="706"/>
        <v>0</v>
      </c>
      <c r="AR979" s="50">
        <f t="shared" si="706"/>
        <v>0</v>
      </c>
      <c r="AS979" s="50">
        <f t="shared" si="706"/>
        <v>0</v>
      </c>
      <c r="AT979" s="50">
        <f t="shared" si="706"/>
        <v>0</v>
      </c>
      <c r="AU979" s="50">
        <f t="shared" si="706"/>
        <v>0</v>
      </c>
      <c r="AV979" s="50">
        <f t="shared" si="706"/>
        <v>0</v>
      </c>
      <c r="AW979" s="50">
        <f t="shared" si="706"/>
        <v>0</v>
      </c>
      <c r="AX979" s="50">
        <f t="shared" si="706"/>
        <v>0</v>
      </c>
      <c r="AY979" s="50">
        <f t="shared" si="706"/>
        <v>0</v>
      </c>
      <c r="AZ979" s="50">
        <f t="shared" si="706"/>
        <v>0</v>
      </c>
      <c r="BA979" s="50">
        <f t="shared" si="706"/>
        <v>0</v>
      </c>
      <c r="BB979" s="50">
        <f t="shared" si="706"/>
        <v>0</v>
      </c>
      <c r="BC979" s="50">
        <f t="shared" si="706"/>
        <v>0</v>
      </c>
      <c r="BD979" s="50">
        <f t="shared" si="706"/>
        <v>0</v>
      </c>
    </row>
    <row r="980" spans="1:56" s="50" customFormat="1" ht="15" customHeight="1">
      <c r="A980" s="49"/>
      <c r="B980" s="64"/>
      <c r="C980" s="21">
        <f t="shared" si="683"/>
        <v>0</v>
      </c>
      <c r="D980" s="11" t="str">
        <f t="shared" si="684"/>
        <v>South Africa gold profit tax</v>
      </c>
      <c r="E980" s="52" t="s">
        <v>289</v>
      </c>
      <c r="G980" s="50">
        <f t="shared" ref="G980:AL980" si="707">G881</f>
        <v>0</v>
      </c>
      <c r="H980" s="50">
        <f t="shared" si="707"/>
        <v>0</v>
      </c>
      <c r="I980" s="50">
        <f t="shared" si="707"/>
        <v>0</v>
      </c>
      <c r="J980" s="50">
        <f t="shared" si="707"/>
        <v>0</v>
      </c>
      <c r="K980" s="50">
        <f t="shared" si="707"/>
        <v>0</v>
      </c>
      <c r="L980" s="50">
        <f t="shared" si="707"/>
        <v>0</v>
      </c>
      <c r="M980" s="50">
        <f t="shared" si="707"/>
        <v>0</v>
      </c>
      <c r="N980" s="50">
        <f t="shared" si="707"/>
        <v>0</v>
      </c>
      <c r="O980" s="50">
        <f t="shared" si="707"/>
        <v>0</v>
      </c>
      <c r="P980" s="50">
        <f t="shared" si="707"/>
        <v>0</v>
      </c>
      <c r="Q980" s="50">
        <f t="shared" si="707"/>
        <v>0</v>
      </c>
      <c r="R980" s="50">
        <f t="shared" si="707"/>
        <v>0</v>
      </c>
      <c r="S980" s="50">
        <f t="shared" si="707"/>
        <v>0</v>
      </c>
      <c r="T980" s="50">
        <f t="shared" si="707"/>
        <v>0</v>
      </c>
      <c r="U980" s="50">
        <f t="shared" si="707"/>
        <v>0</v>
      </c>
      <c r="V980" s="50">
        <f t="shared" si="707"/>
        <v>0</v>
      </c>
      <c r="W980" s="50">
        <f t="shared" si="707"/>
        <v>0</v>
      </c>
      <c r="X980" s="50">
        <f t="shared" si="707"/>
        <v>0</v>
      </c>
      <c r="Y980" s="50">
        <f t="shared" si="707"/>
        <v>0</v>
      </c>
      <c r="Z980" s="50">
        <f t="shared" si="707"/>
        <v>0</v>
      </c>
      <c r="AA980" s="50">
        <f t="shared" si="707"/>
        <v>0</v>
      </c>
      <c r="AB980" s="50">
        <f t="shared" si="707"/>
        <v>0</v>
      </c>
      <c r="AC980" s="50">
        <f t="shared" si="707"/>
        <v>0</v>
      </c>
      <c r="AD980" s="50">
        <f t="shared" si="707"/>
        <v>0</v>
      </c>
      <c r="AE980" s="50">
        <f t="shared" si="707"/>
        <v>0</v>
      </c>
      <c r="AF980" s="50">
        <f t="shared" si="707"/>
        <v>0</v>
      </c>
      <c r="AG980" s="50">
        <f t="shared" si="707"/>
        <v>0</v>
      </c>
      <c r="AH980" s="50">
        <f t="shared" si="707"/>
        <v>0</v>
      </c>
      <c r="AI980" s="50">
        <f t="shared" si="707"/>
        <v>0</v>
      </c>
      <c r="AJ980" s="50">
        <f t="shared" si="707"/>
        <v>0</v>
      </c>
      <c r="AK980" s="50">
        <f t="shared" si="707"/>
        <v>0</v>
      </c>
      <c r="AL980" s="50">
        <f t="shared" si="707"/>
        <v>0</v>
      </c>
      <c r="AM980" s="50">
        <f t="shared" ref="AM980:BD980" si="708">AM881</f>
        <v>0</v>
      </c>
      <c r="AN980" s="50">
        <f t="shared" si="708"/>
        <v>0</v>
      </c>
      <c r="AO980" s="50">
        <f t="shared" si="708"/>
        <v>0</v>
      </c>
      <c r="AP980" s="50">
        <f t="shared" si="708"/>
        <v>0</v>
      </c>
      <c r="AQ980" s="50">
        <f t="shared" si="708"/>
        <v>0</v>
      </c>
      <c r="AR980" s="50">
        <f t="shared" si="708"/>
        <v>0</v>
      </c>
      <c r="AS980" s="50">
        <f t="shared" si="708"/>
        <v>0</v>
      </c>
      <c r="AT980" s="50">
        <f t="shared" si="708"/>
        <v>0</v>
      </c>
      <c r="AU980" s="50">
        <f t="shared" si="708"/>
        <v>0</v>
      </c>
      <c r="AV980" s="50">
        <f t="shared" si="708"/>
        <v>0</v>
      </c>
      <c r="AW980" s="50">
        <f t="shared" si="708"/>
        <v>0</v>
      </c>
      <c r="AX980" s="50">
        <f t="shared" si="708"/>
        <v>0</v>
      </c>
      <c r="AY980" s="50">
        <f t="shared" si="708"/>
        <v>0</v>
      </c>
      <c r="AZ980" s="50">
        <f t="shared" si="708"/>
        <v>0</v>
      </c>
      <c r="BA980" s="50">
        <f t="shared" si="708"/>
        <v>0</v>
      </c>
      <c r="BB980" s="50">
        <f t="shared" si="708"/>
        <v>0</v>
      </c>
      <c r="BC980" s="50">
        <f t="shared" si="708"/>
        <v>0</v>
      </c>
      <c r="BD980" s="50">
        <f t="shared" si="708"/>
        <v>0</v>
      </c>
    </row>
    <row r="981" spans="1:56" s="50" customFormat="1" ht="15" customHeight="1">
      <c r="A981" s="49"/>
      <c r="B981" s="64"/>
      <c r="C981" s="21">
        <f>SUM(G981:BD981)</f>
        <v>0</v>
      </c>
      <c r="D981" s="11" t="str">
        <f t="shared" si="684"/>
        <v>Zimbabwe additional profits tax</v>
      </c>
      <c r="E981" s="52" t="s">
        <v>289</v>
      </c>
      <c r="G981" s="50">
        <f t="shared" ref="G981:AL981" si="709">G882</f>
        <v>0</v>
      </c>
      <c r="H981" s="50">
        <f t="shared" si="709"/>
        <v>0</v>
      </c>
      <c r="I981" s="50">
        <f t="shared" si="709"/>
        <v>0</v>
      </c>
      <c r="J981" s="50">
        <f t="shared" si="709"/>
        <v>0</v>
      </c>
      <c r="K981" s="50">
        <f t="shared" si="709"/>
        <v>0</v>
      </c>
      <c r="L981" s="50">
        <f t="shared" si="709"/>
        <v>0</v>
      </c>
      <c r="M981" s="50">
        <f t="shared" si="709"/>
        <v>0</v>
      </c>
      <c r="N981" s="50">
        <f t="shared" si="709"/>
        <v>0</v>
      </c>
      <c r="O981" s="50">
        <f t="shared" si="709"/>
        <v>0</v>
      </c>
      <c r="P981" s="50">
        <f t="shared" si="709"/>
        <v>0</v>
      </c>
      <c r="Q981" s="50">
        <f t="shared" si="709"/>
        <v>0</v>
      </c>
      <c r="R981" s="50">
        <f t="shared" si="709"/>
        <v>0</v>
      </c>
      <c r="S981" s="50">
        <f t="shared" si="709"/>
        <v>0</v>
      </c>
      <c r="T981" s="50">
        <f t="shared" si="709"/>
        <v>0</v>
      </c>
      <c r="U981" s="50">
        <f t="shared" si="709"/>
        <v>0</v>
      </c>
      <c r="V981" s="50">
        <f t="shared" si="709"/>
        <v>0</v>
      </c>
      <c r="W981" s="50">
        <f t="shared" si="709"/>
        <v>0</v>
      </c>
      <c r="X981" s="50">
        <f t="shared" si="709"/>
        <v>0</v>
      </c>
      <c r="Y981" s="50">
        <f t="shared" si="709"/>
        <v>0</v>
      </c>
      <c r="Z981" s="50">
        <f t="shared" si="709"/>
        <v>0</v>
      </c>
      <c r="AA981" s="50">
        <f t="shared" si="709"/>
        <v>0</v>
      </c>
      <c r="AB981" s="50">
        <f t="shared" si="709"/>
        <v>0</v>
      </c>
      <c r="AC981" s="50">
        <f t="shared" si="709"/>
        <v>0</v>
      </c>
      <c r="AD981" s="50">
        <f t="shared" si="709"/>
        <v>0</v>
      </c>
      <c r="AE981" s="50">
        <f t="shared" si="709"/>
        <v>0</v>
      </c>
      <c r="AF981" s="50">
        <f t="shared" si="709"/>
        <v>0</v>
      </c>
      <c r="AG981" s="50">
        <f t="shared" si="709"/>
        <v>0</v>
      </c>
      <c r="AH981" s="50">
        <f t="shared" si="709"/>
        <v>0</v>
      </c>
      <c r="AI981" s="50">
        <f t="shared" si="709"/>
        <v>0</v>
      </c>
      <c r="AJ981" s="50">
        <f t="shared" si="709"/>
        <v>0</v>
      </c>
      <c r="AK981" s="50">
        <f t="shared" si="709"/>
        <v>0</v>
      </c>
      <c r="AL981" s="50">
        <f t="shared" si="709"/>
        <v>0</v>
      </c>
      <c r="AM981" s="50">
        <f t="shared" ref="AM981:BD981" si="710">AM882</f>
        <v>0</v>
      </c>
      <c r="AN981" s="50">
        <f t="shared" si="710"/>
        <v>0</v>
      </c>
      <c r="AO981" s="50">
        <f t="shared" si="710"/>
        <v>0</v>
      </c>
      <c r="AP981" s="50">
        <f t="shared" si="710"/>
        <v>0</v>
      </c>
      <c r="AQ981" s="50">
        <f t="shared" si="710"/>
        <v>0</v>
      </c>
      <c r="AR981" s="50">
        <f t="shared" si="710"/>
        <v>0</v>
      </c>
      <c r="AS981" s="50">
        <f t="shared" si="710"/>
        <v>0</v>
      </c>
      <c r="AT981" s="50">
        <f t="shared" si="710"/>
        <v>0</v>
      </c>
      <c r="AU981" s="50">
        <f t="shared" si="710"/>
        <v>0</v>
      </c>
      <c r="AV981" s="50">
        <f t="shared" si="710"/>
        <v>0</v>
      </c>
      <c r="AW981" s="50">
        <f t="shared" si="710"/>
        <v>0</v>
      </c>
      <c r="AX981" s="50">
        <f t="shared" si="710"/>
        <v>0</v>
      </c>
      <c r="AY981" s="50">
        <f t="shared" si="710"/>
        <v>0</v>
      </c>
      <c r="AZ981" s="50">
        <f t="shared" si="710"/>
        <v>0</v>
      </c>
      <c r="BA981" s="50">
        <f t="shared" si="710"/>
        <v>0</v>
      </c>
      <c r="BB981" s="50">
        <f t="shared" si="710"/>
        <v>0</v>
      </c>
      <c r="BC981" s="50">
        <f t="shared" si="710"/>
        <v>0</v>
      </c>
      <c r="BD981" s="50">
        <f t="shared" si="710"/>
        <v>0</v>
      </c>
    </row>
    <row r="982" spans="1:56" s="50" customFormat="1" ht="15" customHeight="1">
      <c r="A982" s="49"/>
      <c r="B982" s="64"/>
      <c r="C982" s="21">
        <f>SUM(G982:BD982)</f>
        <v>0</v>
      </c>
      <c r="D982" s="11" t="str">
        <f t="shared" si="684"/>
        <v>Govt share of repaid loans</v>
      </c>
      <c r="E982" s="52" t="s">
        <v>289</v>
      </c>
      <c r="G982" s="50">
        <f t="shared" ref="G982:AL982" si="711">G883</f>
        <v>0</v>
      </c>
      <c r="H982" s="50">
        <f t="shared" si="711"/>
        <v>0</v>
      </c>
      <c r="I982" s="50">
        <f t="shared" si="711"/>
        <v>0</v>
      </c>
      <c r="J982" s="50">
        <f t="shared" si="711"/>
        <v>0</v>
      </c>
      <c r="K982" s="50">
        <f t="shared" si="711"/>
        <v>0</v>
      </c>
      <c r="L982" s="50">
        <f t="shared" si="711"/>
        <v>0</v>
      </c>
      <c r="M982" s="50">
        <f t="shared" si="711"/>
        <v>0</v>
      </c>
      <c r="N982" s="50">
        <f t="shared" si="711"/>
        <v>0</v>
      </c>
      <c r="O982" s="50">
        <f t="shared" si="711"/>
        <v>0</v>
      </c>
      <c r="P982" s="50">
        <f t="shared" si="711"/>
        <v>0</v>
      </c>
      <c r="Q982" s="50">
        <f t="shared" si="711"/>
        <v>0</v>
      </c>
      <c r="R982" s="50">
        <f t="shared" si="711"/>
        <v>0</v>
      </c>
      <c r="S982" s="50">
        <f t="shared" si="711"/>
        <v>0</v>
      </c>
      <c r="T982" s="50">
        <f t="shared" si="711"/>
        <v>0</v>
      </c>
      <c r="U982" s="50">
        <f t="shared" si="711"/>
        <v>0</v>
      </c>
      <c r="V982" s="50">
        <f t="shared" si="711"/>
        <v>0</v>
      </c>
      <c r="W982" s="50">
        <f t="shared" si="711"/>
        <v>0</v>
      </c>
      <c r="X982" s="50">
        <f t="shared" si="711"/>
        <v>0</v>
      </c>
      <c r="Y982" s="50">
        <f t="shared" si="711"/>
        <v>0</v>
      </c>
      <c r="Z982" s="50">
        <f t="shared" si="711"/>
        <v>0</v>
      </c>
      <c r="AA982" s="50">
        <f t="shared" si="711"/>
        <v>0</v>
      </c>
      <c r="AB982" s="50">
        <f t="shared" si="711"/>
        <v>0</v>
      </c>
      <c r="AC982" s="50">
        <f t="shared" si="711"/>
        <v>0</v>
      </c>
      <c r="AD982" s="50">
        <f t="shared" si="711"/>
        <v>0</v>
      </c>
      <c r="AE982" s="50">
        <f t="shared" si="711"/>
        <v>0</v>
      </c>
      <c r="AF982" s="50">
        <f t="shared" si="711"/>
        <v>0</v>
      </c>
      <c r="AG982" s="50">
        <f t="shared" si="711"/>
        <v>0</v>
      </c>
      <c r="AH982" s="50">
        <f t="shared" si="711"/>
        <v>0</v>
      </c>
      <c r="AI982" s="50">
        <f t="shared" si="711"/>
        <v>0</v>
      </c>
      <c r="AJ982" s="50">
        <f t="shared" si="711"/>
        <v>0</v>
      </c>
      <c r="AK982" s="50">
        <f t="shared" si="711"/>
        <v>0</v>
      </c>
      <c r="AL982" s="50">
        <f t="shared" si="711"/>
        <v>0</v>
      </c>
      <c r="AM982" s="50">
        <f t="shared" ref="AM982:BD982" si="712">AM883</f>
        <v>0</v>
      </c>
      <c r="AN982" s="50">
        <f t="shared" si="712"/>
        <v>0</v>
      </c>
      <c r="AO982" s="50">
        <f t="shared" si="712"/>
        <v>0</v>
      </c>
      <c r="AP982" s="50">
        <f t="shared" si="712"/>
        <v>0</v>
      </c>
      <c r="AQ982" s="50">
        <f t="shared" si="712"/>
        <v>0</v>
      </c>
      <c r="AR982" s="50">
        <f t="shared" si="712"/>
        <v>0</v>
      </c>
      <c r="AS982" s="50">
        <f t="shared" si="712"/>
        <v>0</v>
      </c>
      <c r="AT982" s="50">
        <f t="shared" si="712"/>
        <v>0</v>
      </c>
      <c r="AU982" s="50">
        <f t="shared" si="712"/>
        <v>0</v>
      </c>
      <c r="AV982" s="50">
        <f t="shared" si="712"/>
        <v>0</v>
      </c>
      <c r="AW982" s="50">
        <f t="shared" si="712"/>
        <v>0</v>
      </c>
      <c r="AX982" s="50">
        <f t="shared" si="712"/>
        <v>0</v>
      </c>
      <c r="AY982" s="50">
        <f t="shared" si="712"/>
        <v>0</v>
      </c>
      <c r="AZ982" s="50">
        <f t="shared" si="712"/>
        <v>0</v>
      </c>
      <c r="BA982" s="50">
        <f t="shared" si="712"/>
        <v>0</v>
      </c>
      <c r="BB982" s="50">
        <f t="shared" si="712"/>
        <v>0</v>
      </c>
      <c r="BC982" s="50">
        <f t="shared" si="712"/>
        <v>0</v>
      </c>
      <c r="BD982" s="50">
        <f t="shared" si="712"/>
        <v>0</v>
      </c>
    </row>
    <row r="983" spans="1:56" s="50" customFormat="1" ht="15" customHeight="1">
      <c r="A983" s="49"/>
      <c r="B983" s="64"/>
      <c r="C983" s="21">
        <f t="shared" si="683"/>
        <v>517.43884309972077</v>
      </c>
      <c r="D983" s="11" t="str">
        <f t="shared" si="684"/>
        <v>State dividends</v>
      </c>
      <c r="E983" s="52" t="s">
        <v>289</v>
      </c>
      <c r="G983" s="50">
        <f t="shared" ref="G983:AL983" si="713">G884</f>
        <v>0</v>
      </c>
      <c r="H983" s="50">
        <f t="shared" si="713"/>
        <v>0</v>
      </c>
      <c r="I983" s="50">
        <f t="shared" si="713"/>
        <v>0</v>
      </c>
      <c r="J983" s="50">
        <f t="shared" si="713"/>
        <v>0</v>
      </c>
      <c r="K983" s="50">
        <f t="shared" si="713"/>
        <v>0</v>
      </c>
      <c r="L983" s="50">
        <f t="shared" si="713"/>
        <v>0</v>
      </c>
      <c r="M983" s="50">
        <f t="shared" si="713"/>
        <v>4.4556994639287035</v>
      </c>
      <c r="N983" s="50">
        <f t="shared" si="713"/>
        <v>21.933442852571041</v>
      </c>
      <c r="O983" s="50">
        <f t="shared" si="713"/>
        <v>22.664430373658821</v>
      </c>
      <c r="P983" s="50">
        <f t="shared" si="713"/>
        <v>25.144647820290935</v>
      </c>
      <c r="Q983" s="50">
        <f t="shared" si="713"/>
        <v>25.144647820290942</v>
      </c>
      <c r="R983" s="50">
        <f t="shared" si="713"/>
        <v>25.144647820290928</v>
      </c>
      <c r="S983" s="50">
        <f t="shared" si="713"/>
        <v>25.144647820290938</v>
      </c>
      <c r="T983" s="50">
        <f t="shared" si="713"/>
        <v>25.144647820290935</v>
      </c>
      <c r="U983" s="50">
        <f t="shared" si="713"/>
        <v>25.144647820290931</v>
      </c>
      <c r="V983" s="50">
        <f t="shared" si="713"/>
        <v>25.144647820290931</v>
      </c>
      <c r="W983" s="50">
        <f t="shared" si="713"/>
        <v>25.144647820290935</v>
      </c>
      <c r="X983" s="50">
        <f t="shared" si="713"/>
        <v>25.144647820290942</v>
      </c>
      <c r="Y983" s="50">
        <f t="shared" si="713"/>
        <v>24.966466002109126</v>
      </c>
      <c r="Z983" s="50">
        <f t="shared" si="713"/>
        <v>24.966051488075454</v>
      </c>
      <c r="AA983" s="50">
        <f t="shared" si="713"/>
        <v>24.965118987802153</v>
      </c>
      <c r="AB983" s="50">
        <f t="shared" si="713"/>
        <v>24.963514977981678</v>
      </c>
      <c r="AC983" s="50">
        <f t="shared" si="713"/>
        <v>24.960998490885583</v>
      </c>
      <c r="AD983" s="50">
        <f t="shared" si="713"/>
        <v>24.682761127958038</v>
      </c>
      <c r="AE983" s="50">
        <f t="shared" si="713"/>
        <v>24.676829494474362</v>
      </c>
      <c r="AF983" s="50">
        <f t="shared" si="713"/>
        <v>24.667057996826014</v>
      </c>
      <c r="AG983" s="50">
        <f t="shared" si="713"/>
        <v>27.739983287482197</v>
      </c>
      <c r="AH983" s="50">
        <f t="shared" si="713"/>
        <v>15.494658173349142</v>
      </c>
      <c r="AI983" s="50">
        <f t="shared" si="713"/>
        <v>0</v>
      </c>
      <c r="AJ983" s="50">
        <f t="shared" si="713"/>
        <v>0</v>
      </c>
      <c r="AK983" s="50">
        <f t="shared" si="713"/>
        <v>0</v>
      </c>
      <c r="AL983" s="50">
        <f t="shared" si="713"/>
        <v>0</v>
      </c>
      <c r="AM983" s="50">
        <f t="shared" ref="AM983:BD983" si="714">AM884</f>
        <v>0</v>
      </c>
      <c r="AN983" s="50">
        <f t="shared" si="714"/>
        <v>0</v>
      </c>
      <c r="AO983" s="50">
        <f t="shared" si="714"/>
        <v>0</v>
      </c>
      <c r="AP983" s="50">
        <f t="shared" si="714"/>
        <v>0</v>
      </c>
      <c r="AQ983" s="50">
        <f t="shared" si="714"/>
        <v>0</v>
      </c>
      <c r="AR983" s="50">
        <f t="shared" si="714"/>
        <v>0</v>
      </c>
      <c r="AS983" s="50">
        <f t="shared" si="714"/>
        <v>0</v>
      </c>
      <c r="AT983" s="50">
        <f t="shared" si="714"/>
        <v>0</v>
      </c>
      <c r="AU983" s="50">
        <f t="shared" si="714"/>
        <v>0</v>
      </c>
      <c r="AV983" s="50">
        <f t="shared" si="714"/>
        <v>0</v>
      </c>
      <c r="AW983" s="50">
        <f t="shared" si="714"/>
        <v>0</v>
      </c>
      <c r="AX983" s="50">
        <f t="shared" si="714"/>
        <v>0</v>
      </c>
      <c r="AY983" s="50">
        <f t="shared" si="714"/>
        <v>0</v>
      </c>
      <c r="AZ983" s="50">
        <f t="shared" si="714"/>
        <v>0</v>
      </c>
      <c r="BA983" s="50">
        <f t="shared" si="714"/>
        <v>0</v>
      </c>
      <c r="BB983" s="50">
        <f t="shared" si="714"/>
        <v>0</v>
      </c>
      <c r="BC983" s="50">
        <f t="shared" si="714"/>
        <v>0</v>
      </c>
      <c r="BD983" s="50">
        <f t="shared" si="714"/>
        <v>0</v>
      </c>
    </row>
    <row r="984" spans="1:56" s="50" customFormat="1" ht="15" customHeight="1">
      <c r="A984" s="49"/>
      <c r="B984" s="64"/>
      <c r="C984" s="21">
        <f t="shared" si="683"/>
        <v>271.65539262735336</v>
      </c>
      <c r="D984" s="11" t="str">
        <f t="shared" si="684"/>
        <v>Dividend withholding tax</v>
      </c>
      <c r="E984" s="52" t="s">
        <v>289</v>
      </c>
      <c r="G984" s="50">
        <f t="shared" ref="G984:AL984" si="715">G885</f>
        <v>0</v>
      </c>
      <c r="H984" s="50">
        <f t="shared" si="715"/>
        <v>0</v>
      </c>
      <c r="I984" s="50">
        <f t="shared" si="715"/>
        <v>0</v>
      </c>
      <c r="J984" s="50">
        <f t="shared" si="715"/>
        <v>0</v>
      </c>
      <c r="K984" s="50">
        <f t="shared" si="715"/>
        <v>0</v>
      </c>
      <c r="L984" s="50">
        <f t="shared" si="715"/>
        <v>0</v>
      </c>
      <c r="M984" s="50">
        <f t="shared" si="715"/>
        <v>2.3392422185625694</v>
      </c>
      <c r="N984" s="50">
        <f t="shared" si="715"/>
        <v>11.515057497599797</v>
      </c>
      <c r="O984" s="50">
        <f t="shared" si="715"/>
        <v>11.898825946170883</v>
      </c>
      <c r="P984" s="50">
        <f t="shared" si="715"/>
        <v>13.200940105652743</v>
      </c>
      <c r="Q984" s="50">
        <f t="shared" si="715"/>
        <v>13.200940105652744</v>
      </c>
      <c r="R984" s="50">
        <f t="shared" si="715"/>
        <v>13.200940105652734</v>
      </c>
      <c r="S984" s="50">
        <f t="shared" si="715"/>
        <v>13.200940105652741</v>
      </c>
      <c r="T984" s="50">
        <f t="shared" si="715"/>
        <v>13.200940105652741</v>
      </c>
      <c r="U984" s="50">
        <f t="shared" si="715"/>
        <v>13.200940105652741</v>
      </c>
      <c r="V984" s="50">
        <f t="shared" si="715"/>
        <v>13.200940105652737</v>
      </c>
      <c r="W984" s="50">
        <f t="shared" si="715"/>
        <v>13.200940105652743</v>
      </c>
      <c r="X984" s="50">
        <f t="shared" si="715"/>
        <v>13.200940105652744</v>
      </c>
      <c r="Y984" s="50">
        <f t="shared" si="715"/>
        <v>13.10739465110729</v>
      </c>
      <c r="Z984" s="50">
        <f t="shared" si="715"/>
        <v>13.107177031239615</v>
      </c>
      <c r="AA984" s="50">
        <f t="shared" si="715"/>
        <v>13.106687468596132</v>
      </c>
      <c r="AB984" s="50">
        <f t="shared" si="715"/>
        <v>13.105845363440379</v>
      </c>
      <c r="AC984" s="50">
        <f t="shared" si="715"/>
        <v>13.104524207714931</v>
      </c>
      <c r="AD984" s="50">
        <f t="shared" si="715"/>
        <v>12.958449592177971</v>
      </c>
      <c r="AE984" s="50">
        <f t="shared" si="715"/>
        <v>12.95533548459904</v>
      </c>
      <c r="AF984" s="50">
        <f t="shared" si="715"/>
        <v>12.950205448333659</v>
      </c>
      <c r="AG984" s="50">
        <f t="shared" si="715"/>
        <v>14.563491225928157</v>
      </c>
      <c r="AH984" s="50">
        <f t="shared" si="715"/>
        <v>8.1346955410083002</v>
      </c>
      <c r="AI984" s="50">
        <f t="shared" si="715"/>
        <v>0</v>
      </c>
      <c r="AJ984" s="50">
        <f t="shared" si="715"/>
        <v>0</v>
      </c>
      <c r="AK984" s="50">
        <f t="shared" si="715"/>
        <v>0</v>
      </c>
      <c r="AL984" s="50">
        <f t="shared" si="715"/>
        <v>0</v>
      </c>
      <c r="AM984" s="50">
        <f t="shared" ref="AM984:BD984" si="716">AM885</f>
        <v>0</v>
      </c>
      <c r="AN984" s="50">
        <f t="shared" si="716"/>
        <v>0</v>
      </c>
      <c r="AO984" s="50">
        <f t="shared" si="716"/>
        <v>0</v>
      </c>
      <c r="AP984" s="50">
        <f t="shared" si="716"/>
        <v>0</v>
      </c>
      <c r="AQ984" s="50">
        <f t="shared" si="716"/>
        <v>0</v>
      </c>
      <c r="AR984" s="50">
        <f t="shared" si="716"/>
        <v>0</v>
      </c>
      <c r="AS984" s="50">
        <f t="shared" si="716"/>
        <v>0</v>
      </c>
      <c r="AT984" s="50">
        <f t="shared" si="716"/>
        <v>0</v>
      </c>
      <c r="AU984" s="50">
        <f t="shared" si="716"/>
        <v>0</v>
      </c>
      <c r="AV984" s="50">
        <f t="shared" si="716"/>
        <v>0</v>
      </c>
      <c r="AW984" s="50">
        <f t="shared" si="716"/>
        <v>0</v>
      </c>
      <c r="AX984" s="50">
        <f t="shared" si="716"/>
        <v>0</v>
      </c>
      <c r="AY984" s="50">
        <f t="shared" si="716"/>
        <v>0</v>
      </c>
      <c r="AZ984" s="50">
        <f t="shared" si="716"/>
        <v>0</v>
      </c>
      <c r="BA984" s="50">
        <f t="shared" si="716"/>
        <v>0</v>
      </c>
      <c r="BB984" s="50">
        <f t="shared" si="716"/>
        <v>0</v>
      </c>
      <c r="BC984" s="50">
        <f t="shared" si="716"/>
        <v>0</v>
      </c>
      <c r="BD984" s="50">
        <f t="shared" si="716"/>
        <v>0</v>
      </c>
    </row>
    <row r="985" spans="1:56" s="50" customFormat="1" ht="15" customHeight="1">
      <c r="A985" s="49"/>
      <c r="B985" s="64"/>
      <c r="C985" s="21">
        <f>SUM(G985:BD985)</f>
        <v>4.5226202751853943</v>
      </c>
      <c r="D985" s="11" t="str">
        <f t="shared" si="684"/>
        <v>Interest withholding tax</v>
      </c>
      <c r="E985" s="52" t="s">
        <v>289</v>
      </c>
      <c r="G985" s="50">
        <f t="shared" ref="G985:AL985" si="717">G886</f>
        <v>0</v>
      </c>
      <c r="H985" s="50">
        <f t="shared" si="717"/>
        <v>0</v>
      </c>
      <c r="I985" s="50">
        <f t="shared" si="717"/>
        <v>0</v>
      </c>
      <c r="J985" s="50">
        <f t="shared" si="717"/>
        <v>0</v>
      </c>
      <c r="K985" s="50">
        <f t="shared" si="717"/>
        <v>1.5474048442906576</v>
      </c>
      <c r="L985" s="50">
        <f t="shared" si="717"/>
        <v>1.2136508582671823</v>
      </c>
      <c r="M985" s="50">
        <f t="shared" si="717"/>
        <v>0.89239033696116365</v>
      </c>
      <c r="N985" s="50">
        <f t="shared" si="717"/>
        <v>0.58326165814455144</v>
      </c>
      <c r="O985" s="50">
        <f t="shared" si="717"/>
        <v>0.28591257752183896</v>
      </c>
      <c r="P985" s="50">
        <f t="shared" si="717"/>
        <v>0</v>
      </c>
      <c r="Q985" s="50">
        <f t="shared" si="717"/>
        <v>0</v>
      </c>
      <c r="R985" s="50">
        <f t="shared" si="717"/>
        <v>0</v>
      </c>
      <c r="S985" s="50">
        <f t="shared" si="717"/>
        <v>0</v>
      </c>
      <c r="T985" s="50">
        <f t="shared" si="717"/>
        <v>0</v>
      </c>
      <c r="U985" s="50">
        <f t="shared" si="717"/>
        <v>0</v>
      </c>
      <c r="V985" s="50">
        <f t="shared" si="717"/>
        <v>0</v>
      </c>
      <c r="W985" s="50">
        <f t="shared" si="717"/>
        <v>0</v>
      </c>
      <c r="X985" s="50">
        <f t="shared" si="717"/>
        <v>0</v>
      </c>
      <c r="Y985" s="50">
        <f t="shared" si="717"/>
        <v>0</v>
      </c>
      <c r="Z985" s="50">
        <f t="shared" si="717"/>
        <v>0</v>
      </c>
      <c r="AA985" s="50">
        <f t="shared" si="717"/>
        <v>0</v>
      </c>
      <c r="AB985" s="50">
        <f t="shared" si="717"/>
        <v>0</v>
      </c>
      <c r="AC985" s="50">
        <f t="shared" si="717"/>
        <v>0</v>
      </c>
      <c r="AD985" s="50">
        <f t="shared" si="717"/>
        <v>0</v>
      </c>
      <c r="AE985" s="50">
        <f t="shared" si="717"/>
        <v>0</v>
      </c>
      <c r="AF985" s="50">
        <f t="shared" si="717"/>
        <v>0</v>
      </c>
      <c r="AG985" s="50">
        <f t="shared" si="717"/>
        <v>0</v>
      </c>
      <c r="AH985" s="50">
        <f t="shared" si="717"/>
        <v>0</v>
      </c>
      <c r="AI985" s="50">
        <f t="shared" si="717"/>
        <v>0</v>
      </c>
      <c r="AJ985" s="50">
        <f t="shared" si="717"/>
        <v>0</v>
      </c>
      <c r="AK985" s="50">
        <f t="shared" si="717"/>
        <v>0</v>
      </c>
      <c r="AL985" s="50">
        <f t="shared" si="717"/>
        <v>0</v>
      </c>
      <c r="AM985" s="50">
        <f t="shared" ref="AM985:BD985" si="718">AM886</f>
        <v>0</v>
      </c>
      <c r="AN985" s="50">
        <f t="shared" si="718"/>
        <v>0</v>
      </c>
      <c r="AO985" s="50">
        <f t="shared" si="718"/>
        <v>0</v>
      </c>
      <c r="AP985" s="50">
        <f t="shared" si="718"/>
        <v>0</v>
      </c>
      <c r="AQ985" s="50">
        <f t="shared" si="718"/>
        <v>0</v>
      </c>
      <c r="AR985" s="50">
        <f t="shared" si="718"/>
        <v>0</v>
      </c>
      <c r="AS985" s="50">
        <f t="shared" si="718"/>
        <v>0</v>
      </c>
      <c r="AT985" s="50">
        <f t="shared" si="718"/>
        <v>0</v>
      </c>
      <c r="AU985" s="50">
        <f t="shared" si="718"/>
        <v>0</v>
      </c>
      <c r="AV985" s="50">
        <f t="shared" si="718"/>
        <v>0</v>
      </c>
      <c r="AW985" s="50">
        <f t="shared" si="718"/>
        <v>0</v>
      </c>
      <c r="AX985" s="50">
        <f t="shared" si="718"/>
        <v>0</v>
      </c>
      <c r="AY985" s="50">
        <f t="shared" si="718"/>
        <v>0</v>
      </c>
      <c r="AZ985" s="50">
        <f t="shared" si="718"/>
        <v>0</v>
      </c>
      <c r="BA985" s="50">
        <f t="shared" si="718"/>
        <v>0</v>
      </c>
      <c r="BB985" s="50">
        <f t="shared" si="718"/>
        <v>0</v>
      </c>
      <c r="BC985" s="50">
        <f t="shared" si="718"/>
        <v>0</v>
      </c>
      <c r="BD985" s="50">
        <f t="shared" si="718"/>
        <v>0</v>
      </c>
    </row>
    <row r="986" spans="1:56" s="50" customFormat="1" ht="15" customHeight="1">
      <c r="A986" s="49"/>
      <c r="B986" s="64"/>
      <c r="C986" s="21">
        <f>SUM(G986:BD986)</f>
        <v>0</v>
      </c>
      <c r="D986" s="11" t="str">
        <f t="shared" si="684"/>
        <v>Adjustment to govt benefit share</v>
      </c>
      <c r="E986" s="52" t="s">
        <v>289</v>
      </c>
      <c r="G986" s="50">
        <f t="shared" ref="G986:AL986" si="719">G887</f>
        <v>0</v>
      </c>
      <c r="H986" s="50">
        <f t="shared" si="719"/>
        <v>0</v>
      </c>
      <c r="I986" s="50">
        <f t="shared" si="719"/>
        <v>0</v>
      </c>
      <c r="J986" s="50">
        <f t="shared" si="719"/>
        <v>0</v>
      </c>
      <c r="K986" s="50">
        <f t="shared" si="719"/>
        <v>0</v>
      </c>
      <c r="L986" s="50">
        <f t="shared" si="719"/>
        <v>0</v>
      </c>
      <c r="M986" s="50">
        <f t="shared" si="719"/>
        <v>0</v>
      </c>
      <c r="N986" s="50">
        <f t="shared" si="719"/>
        <v>0</v>
      </c>
      <c r="O986" s="50">
        <f t="shared" si="719"/>
        <v>0</v>
      </c>
      <c r="P986" s="50">
        <f t="shared" si="719"/>
        <v>0</v>
      </c>
      <c r="Q986" s="50">
        <f t="shared" si="719"/>
        <v>0</v>
      </c>
      <c r="R986" s="50">
        <f t="shared" si="719"/>
        <v>0</v>
      </c>
      <c r="S986" s="50">
        <f t="shared" si="719"/>
        <v>0</v>
      </c>
      <c r="T986" s="50">
        <f t="shared" si="719"/>
        <v>0</v>
      </c>
      <c r="U986" s="50">
        <f t="shared" si="719"/>
        <v>0</v>
      </c>
      <c r="V986" s="50">
        <f t="shared" si="719"/>
        <v>0</v>
      </c>
      <c r="W986" s="50">
        <f t="shared" si="719"/>
        <v>0</v>
      </c>
      <c r="X986" s="50">
        <f t="shared" si="719"/>
        <v>0</v>
      </c>
      <c r="Y986" s="50">
        <f t="shared" si="719"/>
        <v>0</v>
      </c>
      <c r="Z986" s="50">
        <f t="shared" si="719"/>
        <v>0</v>
      </c>
      <c r="AA986" s="50">
        <f t="shared" si="719"/>
        <v>0</v>
      </c>
      <c r="AB986" s="50">
        <f t="shared" si="719"/>
        <v>0</v>
      </c>
      <c r="AC986" s="50">
        <f t="shared" si="719"/>
        <v>0</v>
      </c>
      <c r="AD986" s="50">
        <f t="shared" si="719"/>
        <v>0</v>
      </c>
      <c r="AE986" s="50">
        <f t="shared" si="719"/>
        <v>0</v>
      </c>
      <c r="AF986" s="50">
        <f t="shared" si="719"/>
        <v>0</v>
      </c>
      <c r="AG986" s="50">
        <f t="shared" si="719"/>
        <v>0</v>
      </c>
      <c r="AH986" s="50">
        <f t="shared" si="719"/>
        <v>0</v>
      </c>
      <c r="AI986" s="50">
        <f t="shared" si="719"/>
        <v>0</v>
      </c>
      <c r="AJ986" s="50">
        <f t="shared" si="719"/>
        <v>0</v>
      </c>
      <c r="AK986" s="50">
        <f t="shared" si="719"/>
        <v>0</v>
      </c>
      <c r="AL986" s="50">
        <f t="shared" si="719"/>
        <v>0</v>
      </c>
      <c r="AM986" s="50">
        <f t="shared" ref="AM986:BD986" si="720">AM887</f>
        <v>0</v>
      </c>
      <c r="AN986" s="50">
        <f t="shared" si="720"/>
        <v>0</v>
      </c>
      <c r="AO986" s="50">
        <f t="shared" si="720"/>
        <v>0</v>
      </c>
      <c r="AP986" s="50">
        <f t="shared" si="720"/>
        <v>0</v>
      </c>
      <c r="AQ986" s="50">
        <f t="shared" si="720"/>
        <v>0</v>
      </c>
      <c r="AR986" s="50">
        <f t="shared" si="720"/>
        <v>0</v>
      </c>
      <c r="AS986" s="50">
        <f t="shared" si="720"/>
        <v>0</v>
      </c>
      <c r="AT986" s="50">
        <f t="shared" si="720"/>
        <v>0</v>
      </c>
      <c r="AU986" s="50">
        <f t="shared" si="720"/>
        <v>0</v>
      </c>
      <c r="AV986" s="50">
        <f t="shared" si="720"/>
        <v>0</v>
      </c>
      <c r="AW986" s="50">
        <f t="shared" si="720"/>
        <v>0</v>
      </c>
      <c r="AX986" s="50">
        <f t="shared" si="720"/>
        <v>0</v>
      </c>
      <c r="AY986" s="50">
        <f t="shared" si="720"/>
        <v>0</v>
      </c>
      <c r="AZ986" s="50">
        <f t="shared" si="720"/>
        <v>0</v>
      </c>
      <c r="BA986" s="50">
        <f t="shared" si="720"/>
        <v>0</v>
      </c>
      <c r="BB986" s="50">
        <f t="shared" si="720"/>
        <v>0</v>
      </c>
      <c r="BC986" s="50">
        <f t="shared" si="720"/>
        <v>0</v>
      </c>
      <c r="BD986" s="50">
        <f t="shared" si="720"/>
        <v>0</v>
      </c>
    </row>
    <row r="987" spans="1:56" s="50" customFormat="1" ht="15" customHeight="1">
      <c r="A987" s="49"/>
      <c r="B987" s="435"/>
      <c r="C987" s="21"/>
      <c r="D987" s="132"/>
      <c r="E987" s="52"/>
    </row>
    <row r="988" spans="1:56" s="72" customFormat="1" ht="15" customHeight="1">
      <c r="B988" s="391"/>
      <c r="C988" s="115">
        <f t="shared" si="683"/>
        <v>3329.1199356780553</v>
      </c>
      <c r="D988" s="69" t="s">
        <v>728</v>
      </c>
      <c r="E988" s="69" t="s">
        <v>289</v>
      </c>
      <c r="F988" s="70"/>
      <c r="G988" s="73">
        <f>SUM(G969:G986)</f>
        <v>0</v>
      </c>
      <c r="H988" s="73">
        <f t="shared" ref="H988:BD988" si="721">SUM(H969:H986)</f>
        <v>0</v>
      </c>
      <c r="I988" s="73">
        <f t="shared" si="721"/>
        <v>2.8125000000000004</v>
      </c>
      <c r="J988" s="73">
        <f t="shared" si="721"/>
        <v>11.25</v>
      </c>
      <c r="K988" s="73">
        <f t="shared" si="721"/>
        <v>24.624904844290658</v>
      </c>
      <c r="L988" s="73">
        <f t="shared" si="721"/>
        <v>84.819043907882019</v>
      </c>
      <c r="M988" s="73">
        <f t="shared" si="721"/>
        <v>103.14735387756133</v>
      </c>
      <c r="N988" s="73">
        <f t="shared" si="721"/>
        <v>128.61127396426639</v>
      </c>
      <c r="O988" s="73">
        <f t="shared" si="721"/>
        <v>128.54828109653567</v>
      </c>
      <c r="P988" s="73">
        <f t="shared" si="721"/>
        <v>155.14153904912538</v>
      </c>
      <c r="Q988" s="73">
        <f t="shared" si="721"/>
        <v>155.14153904912538</v>
      </c>
      <c r="R988" s="73">
        <f t="shared" si="721"/>
        <v>155.14153904912536</v>
      </c>
      <c r="S988" s="73">
        <f t="shared" si="721"/>
        <v>155.14153904912538</v>
      </c>
      <c r="T988" s="73">
        <f t="shared" si="721"/>
        <v>155.14153904912538</v>
      </c>
      <c r="U988" s="73">
        <f t="shared" si="721"/>
        <v>155.14153904912538</v>
      </c>
      <c r="V988" s="73">
        <f t="shared" si="721"/>
        <v>155.14153904912538</v>
      </c>
      <c r="W988" s="73">
        <f t="shared" si="721"/>
        <v>155.14153904912538</v>
      </c>
      <c r="X988" s="73">
        <f t="shared" si="721"/>
        <v>155.14153904912538</v>
      </c>
      <c r="Y988" s="73">
        <f t="shared" si="721"/>
        <v>154.39253904912539</v>
      </c>
      <c r="Z988" s="73">
        <f t="shared" si="721"/>
        <v>154.39079660977677</v>
      </c>
      <c r="AA988" s="73">
        <f t="shared" si="721"/>
        <v>154.38687677827079</v>
      </c>
      <c r="AB988" s="73">
        <f t="shared" si="721"/>
        <v>154.38013420841827</v>
      </c>
      <c r="AC988" s="73">
        <f t="shared" si="721"/>
        <v>154.36955597516072</v>
      </c>
      <c r="AD988" s="73">
        <f t="shared" si="721"/>
        <v>153.19996534599741</v>
      </c>
      <c r="AE988" s="73">
        <f t="shared" si="721"/>
        <v>153.17503130096074</v>
      </c>
      <c r="AF988" s="73">
        <f t="shared" si="721"/>
        <v>153.13395611263178</v>
      </c>
      <c r="AG988" s="73">
        <f t="shared" si="721"/>
        <v>158.44407420942579</v>
      </c>
      <c r="AH988" s="73">
        <f t="shared" si="721"/>
        <v>59.159796955622404</v>
      </c>
      <c r="AI988" s="73">
        <f t="shared" si="721"/>
        <v>0</v>
      </c>
      <c r="AJ988" s="73">
        <f t="shared" si="721"/>
        <v>0</v>
      </c>
      <c r="AK988" s="73">
        <f t="shared" si="721"/>
        <v>0</v>
      </c>
      <c r="AL988" s="73">
        <f t="shared" si="721"/>
        <v>0</v>
      </c>
      <c r="AM988" s="73">
        <f t="shared" si="721"/>
        <v>0</v>
      </c>
      <c r="AN988" s="73">
        <f t="shared" si="721"/>
        <v>0</v>
      </c>
      <c r="AO988" s="73">
        <f t="shared" si="721"/>
        <v>0</v>
      </c>
      <c r="AP988" s="73">
        <f t="shared" si="721"/>
        <v>0</v>
      </c>
      <c r="AQ988" s="73">
        <f t="shared" si="721"/>
        <v>0</v>
      </c>
      <c r="AR988" s="73">
        <f t="shared" si="721"/>
        <v>0</v>
      </c>
      <c r="AS988" s="73">
        <f t="shared" si="721"/>
        <v>0</v>
      </c>
      <c r="AT988" s="73">
        <f t="shared" si="721"/>
        <v>0</v>
      </c>
      <c r="AU988" s="73">
        <f t="shared" si="721"/>
        <v>0</v>
      </c>
      <c r="AV988" s="73">
        <f t="shared" si="721"/>
        <v>0</v>
      </c>
      <c r="AW988" s="73">
        <f t="shared" si="721"/>
        <v>0</v>
      </c>
      <c r="AX988" s="73">
        <f t="shared" si="721"/>
        <v>0</v>
      </c>
      <c r="AY988" s="73">
        <f t="shared" si="721"/>
        <v>0</v>
      </c>
      <c r="AZ988" s="73">
        <f t="shared" si="721"/>
        <v>0</v>
      </c>
      <c r="BA988" s="73">
        <f t="shared" si="721"/>
        <v>0</v>
      </c>
      <c r="BB988" s="73">
        <f t="shared" si="721"/>
        <v>0</v>
      </c>
      <c r="BC988" s="73">
        <f t="shared" si="721"/>
        <v>0</v>
      </c>
      <c r="BD988" s="73">
        <f t="shared" si="721"/>
        <v>0</v>
      </c>
    </row>
    <row r="989" spans="1:56" s="72" customFormat="1" ht="15" customHeight="1">
      <c r="C989" s="78"/>
      <c r="D989" s="74"/>
      <c r="E989" s="74"/>
      <c r="F989" s="75"/>
      <c r="G989" s="76"/>
      <c r="H989" s="76"/>
      <c r="I989" s="76"/>
      <c r="J989" s="76"/>
      <c r="K989" s="76"/>
      <c r="L989" s="76"/>
      <c r="M989" s="76"/>
      <c r="N989" s="76"/>
      <c r="O989" s="76"/>
      <c r="P989" s="76"/>
      <c r="Q989" s="76"/>
      <c r="R989" s="76"/>
      <c r="S989" s="76"/>
      <c r="T989" s="77"/>
      <c r="U989" s="77"/>
    </row>
    <row r="990" spans="1:56" ht="15" customHeight="1">
      <c r="C990" s="20"/>
      <c r="D990" s="463" t="s">
        <v>729</v>
      </c>
      <c r="E990" s="463"/>
      <c r="F990" s="556"/>
      <c r="G990" s="556"/>
      <c r="H990" s="556"/>
      <c r="I990" s="556"/>
      <c r="J990" s="556"/>
      <c r="K990" s="556"/>
      <c r="L990" s="556"/>
      <c r="M990" s="556"/>
      <c r="N990" s="556"/>
      <c r="O990" s="556"/>
      <c r="P990" s="556"/>
      <c r="Q990" s="556"/>
      <c r="R990" s="556"/>
      <c r="S990" s="556"/>
      <c r="T990" s="556"/>
      <c r="U990" s="556"/>
      <c r="V990" s="556"/>
      <c r="W990" s="556"/>
      <c r="X990" s="556"/>
      <c r="Y990" s="556"/>
      <c r="Z990" s="556"/>
      <c r="AA990" s="556"/>
      <c r="AB990" s="556"/>
      <c r="AC990" s="556"/>
      <c r="AD990" s="556"/>
      <c r="AE990" s="556"/>
      <c r="AF990" s="556"/>
      <c r="AG990" s="556"/>
      <c r="AH990" s="556"/>
      <c r="AI990" s="556"/>
      <c r="AJ990" s="556"/>
      <c r="AK990" s="556"/>
      <c r="AL990" s="556"/>
      <c r="AM990" s="556"/>
      <c r="AN990" s="556"/>
      <c r="AO990" s="556"/>
      <c r="AP990" s="556"/>
      <c r="AQ990" s="556"/>
      <c r="AR990" s="556"/>
      <c r="AS990" s="556"/>
      <c r="AT990" s="556"/>
      <c r="AU990" s="556"/>
      <c r="AV990" s="556"/>
      <c r="AW990" s="556"/>
      <c r="AX990" s="556"/>
      <c r="AY990" s="556"/>
      <c r="AZ990" s="556"/>
      <c r="BA990" s="556"/>
      <c r="BB990" s="556"/>
      <c r="BC990" s="556"/>
      <c r="BD990" s="556"/>
    </row>
    <row r="991" spans="1:56" s="50" customFormat="1" ht="75.75" customHeight="1">
      <c r="A991" s="49"/>
      <c r="B991" s="64"/>
      <c r="C991" s="51"/>
      <c r="D991" s="52" t="s">
        <v>730</v>
      </c>
      <c r="E991" s="52"/>
      <c r="G991" s="81" t="str">
        <f>Inputs!G15</f>
        <v>Tanzania w/o sharing</v>
      </c>
      <c r="H991" s="81" t="str">
        <f>Inputs!H15</f>
        <v>Tanzania w 50/50 sharing</v>
      </c>
      <c r="I991" s="81" t="str">
        <f>Inputs!I15</f>
        <v>Ecuador</v>
      </c>
      <c r="J991" s="81" t="str">
        <f>Inputs!J15</f>
        <v>Philippines FTAA</v>
      </c>
      <c r="K991" s="81" t="str">
        <f>Inputs!K15</f>
        <v>Burkina Faso</v>
      </c>
      <c r="L991" s="81" t="str">
        <f>Inputs!L15</f>
        <v>DRC</v>
      </c>
      <c r="M991" s="81" t="str">
        <f>Inputs!M15</f>
        <v>Ghana</v>
      </c>
      <c r="N991" s="81" t="str">
        <f>Inputs!N15</f>
        <v>South Africa (gold)</v>
      </c>
      <c r="O991" s="81" t="str">
        <f>Inputs!O15</f>
        <v>Indonesia</v>
      </c>
      <c r="P991" s="81" t="str">
        <f>Inputs!P15</f>
        <v>Peru</v>
      </c>
      <c r="Q991" s="81" t="str">
        <f>Inputs!Q15</f>
        <v>Western Australia</v>
      </c>
    </row>
    <row r="992" spans="1:56" s="50" customFormat="1" ht="13">
      <c r="A992" s="49"/>
      <c r="B992" s="64"/>
      <c r="C992" s="51"/>
      <c r="D992" s="52"/>
      <c r="E992" s="52"/>
      <c r="F992" s="207">
        <f>Inputs!E14</f>
        <v>1</v>
      </c>
      <c r="G992" s="208">
        <v>1</v>
      </c>
      <c r="H992" s="208">
        <v>2</v>
      </c>
      <c r="I992" s="208">
        <v>3</v>
      </c>
      <c r="J992" s="208">
        <v>4</v>
      </c>
      <c r="K992" s="208">
        <v>5</v>
      </c>
      <c r="L992" s="208">
        <v>6</v>
      </c>
      <c r="M992" s="208">
        <v>7</v>
      </c>
      <c r="N992" s="208">
        <v>8</v>
      </c>
      <c r="O992" s="208">
        <v>9</v>
      </c>
      <c r="P992" s="208">
        <v>10</v>
      </c>
      <c r="Q992" s="208">
        <v>11</v>
      </c>
    </row>
    <row r="993" spans="1:17" s="50" customFormat="1" ht="15" customHeight="1">
      <c r="A993" s="49"/>
      <c r="B993" s="64"/>
      <c r="C993" s="51"/>
      <c r="D993" s="11" t="str">
        <f t="shared" ref="D993:D1005" si="722">D969</f>
        <v>Import duties</v>
      </c>
      <c r="E993" s="52" t="s">
        <v>289</v>
      </c>
      <c r="F993" s="209">
        <f>C969</f>
        <v>189.125</v>
      </c>
      <c r="G993" s="210">
        <f t="dataTable" ref="G993:Q1010" dt2D="0" dtr="1" r1="F992"/>
        <v>189.125</v>
      </c>
      <c r="H993" s="210">
        <v>189.125</v>
      </c>
      <c r="I993" s="210">
        <v>189.125</v>
      </c>
      <c r="J993" s="210">
        <v>102.71250000000002</v>
      </c>
      <c r="K993" s="210">
        <v>269.625</v>
      </c>
      <c r="L993" s="210">
        <v>189.125</v>
      </c>
      <c r="M993" s="210">
        <v>0</v>
      </c>
      <c r="N993" s="210">
        <v>219.38499999999996</v>
      </c>
      <c r="O993" s="210">
        <v>260.99250000000012</v>
      </c>
      <c r="P993" s="210">
        <v>0</v>
      </c>
      <c r="Q993" s="210">
        <v>189.125</v>
      </c>
    </row>
    <row r="994" spans="1:17" s="50" customFormat="1" ht="15" customHeight="1">
      <c r="A994" s="49"/>
      <c r="B994" s="64"/>
      <c r="C994" s="51"/>
      <c r="D994" s="11" t="str">
        <f t="shared" si="722"/>
        <v>VAT</v>
      </c>
      <c r="E994" s="52" t="s">
        <v>289</v>
      </c>
      <c r="F994" s="209">
        <f t="shared" ref="F994:F1010" si="723">C970</f>
        <v>0</v>
      </c>
      <c r="G994" s="210">
        <v>0</v>
      </c>
      <c r="H994" s="210">
        <v>0</v>
      </c>
      <c r="I994" s="210">
        <v>0</v>
      </c>
      <c r="J994" s="210">
        <v>0</v>
      </c>
      <c r="K994" s="210">
        <v>0</v>
      </c>
      <c r="L994" s="210">
        <v>0</v>
      </c>
      <c r="M994" s="210">
        <v>205.5</v>
      </c>
      <c r="N994" s="210">
        <v>0</v>
      </c>
      <c r="O994" s="210">
        <v>0</v>
      </c>
      <c r="P994" s="210">
        <v>0</v>
      </c>
      <c r="Q994" s="210">
        <v>0</v>
      </c>
    </row>
    <row r="995" spans="1:17" s="50" customFormat="1" ht="15" customHeight="1">
      <c r="A995" s="49"/>
      <c r="B995" s="64"/>
      <c r="C995" s="51"/>
      <c r="D995" s="11" t="str">
        <f t="shared" si="722"/>
        <v>Skills development levy</v>
      </c>
      <c r="E995" s="52" t="s">
        <v>289</v>
      </c>
      <c r="F995" s="209">
        <f t="shared" si="723"/>
        <v>44.800000000000018</v>
      </c>
      <c r="G995" s="210">
        <v>44.800000000000018</v>
      </c>
      <c r="H995" s="210">
        <v>44.800000000000018</v>
      </c>
      <c r="I995" s="210">
        <v>0</v>
      </c>
      <c r="J995" s="210">
        <v>0</v>
      </c>
      <c r="K995" s="210">
        <v>24.149999999999995</v>
      </c>
      <c r="L995" s="210">
        <v>0</v>
      </c>
      <c r="M995" s="210">
        <v>0</v>
      </c>
      <c r="N995" s="210">
        <v>11.200000000000005</v>
      </c>
      <c r="O995" s="210">
        <v>0</v>
      </c>
      <c r="P995" s="210">
        <v>0</v>
      </c>
      <c r="Q995" s="210">
        <v>0</v>
      </c>
    </row>
    <row r="996" spans="1:17" s="50" customFormat="1" ht="15" customHeight="1">
      <c r="A996" s="49"/>
      <c r="B996" s="64"/>
      <c r="C996" s="51"/>
      <c r="D996" s="11" t="str">
        <f t="shared" si="722"/>
        <v>Royalty</v>
      </c>
      <c r="E996" s="52" t="s">
        <v>289</v>
      </c>
      <c r="F996" s="209">
        <f t="shared" si="723"/>
        <v>896.00000000000023</v>
      </c>
      <c r="G996" s="210">
        <v>896.00000000000023</v>
      </c>
      <c r="H996" s="210">
        <v>896.00000000000023</v>
      </c>
      <c r="I996" s="210">
        <v>638.25750000000016</v>
      </c>
      <c r="J996" s="210">
        <v>896.00000000000034</v>
      </c>
      <c r="K996" s="210">
        <v>127.99999999999996</v>
      </c>
      <c r="L996" s="210">
        <v>486.4000000000002</v>
      </c>
      <c r="M996" s="210">
        <v>640</v>
      </c>
      <c r="N996" s="210">
        <v>0</v>
      </c>
      <c r="O996" s="210">
        <v>478.69312499999984</v>
      </c>
      <c r="P996" s="210">
        <v>0</v>
      </c>
      <c r="Q996" s="210">
        <v>320</v>
      </c>
    </row>
    <row r="997" spans="1:17" s="50" customFormat="1" ht="15" customHeight="1">
      <c r="A997" s="49"/>
      <c r="B997" s="64"/>
      <c r="C997" s="51"/>
      <c r="D997" s="11" t="str">
        <f t="shared" si="722"/>
        <v>Variable rate royalty</v>
      </c>
      <c r="E997" s="52" t="s">
        <v>289</v>
      </c>
      <c r="F997" s="209">
        <f t="shared" si="723"/>
        <v>0</v>
      </c>
      <c r="G997" s="210">
        <v>0</v>
      </c>
      <c r="H997" s="210">
        <v>0</v>
      </c>
      <c r="I997" s="210">
        <v>0</v>
      </c>
      <c r="J997" s="210">
        <v>0</v>
      </c>
      <c r="K997" s="210">
        <v>640</v>
      </c>
      <c r="L997" s="210">
        <v>0</v>
      </c>
      <c r="M997" s="210">
        <v>0</v>
      </c>
      <c r="N997" s="210">
        <v>0</v>
      </c>
      <c r="O997" s="210">
        <v>0</v>
      </c>
      <c r="P997" s="210">
        <v>0</v>
      </c>
      <c r="Q997" s="210">
        <v>0</v>
      </c>
    </row>
    <row r="998" spans="1:17" s="50" customFormat="1" ht="15" customHeight="1">
      <c r="A998" s="49"/>
      <c r="B998" s="64"/>
      <c r="C998" s="51"/>
      <c r="D998" s="11" t="str">
        <f t="shared" si="722"/>
        <v>South Africa variable royalty</v>
      </c>
      <c r="E998" s="52" t="s">
        <v>289</v>
      </c>
      <c r="F998" s="209">
        <f t="shared" si="723"/>
        <v>0</v>
      </c>
      <c r="G998" s="210">
        <v>0</v>
      </c>
      <c r="H998" s="210">
        <v>0</v>
      </c>
      <c r="I998" s="210">
        <v>0</v>
      </c>
      <c r="J998" s="210">
        <v>0</v>
      </c>
      <c r="K998" s="210">
        <v>0</v>
      </c>
      <c r="L998" s="210">
        <v>0</v>
      </c>
      <c r="M998" s="210">
        <v>0</v>
      </c>
      <c r="N998" s="210">
        <v>822.09388888888918</v>
      </c>
      <c r="O998" s="210">
        <v>0</v>
      </c>
      <c r="P998" s="210">
        <v>0</v>
      </c>
      <c r="Q998" s="210">
        <v>0</v>
      </c>
    </row>
    <row r="999" spans="1:17" s="50" customFormat="1" ht="15" customHeight="1">
      <c r="A999" s="49"/>
      <c r="B999" s="64"/>
      <c r="C999" s="51"/>
      <c r="D999" s="11" t="str">
        <f t="shared" si="722"/>
        <v>Operating profit tax</v>
      </c>
      <c r="E999" s="52" t="s">
        <v>289</v>
      </c>
      <c r="F999" s="209">
        <f t="shared" si="723"/>
        <v>0</v>
      </c>
      <c r="G999" s="210">
        <v>0</v>
      </c>
      <c r="H999" s="210">
        <v>0</v>
      </c>
      <c r="I999" s="210">
        <v>0</v>
      </c>
      <c r="J999" s="210">
        <v>0</v>
      </c>
      <c r="K999" s="210">
        <v>0</v>
      </c>
      <c r="L999" s="210">
        <v>0</v>
      </c>
      <c r="M999" s="210">
        <v>0</v>
      </c>
      <c r="N999" s="210">
        <v>0</v>
      </c>
      <c r="O999" s="210">
        <v>0</v>
      </c>
      <c r="P999" s="210">
        <v>560.5467500000002</v>
      </c>
      <c r="Q999" s="210">
        <v>0</v>
      </c>
    </row>
    <row r="1000" spans="1:17" s="50" customFormat="1" ht="15" customHeight="1">
      <c r="A1000" s="49"/>
      <c r="B1000" s="64"/>
      <c r="C1000" s="51"/>
      <c r="D1000" s="11" t="str">
        <f t="shared" si="722"/>
        <v>DRC excess profits tax</v>
      </c>
      <c r="E1000" s="52" t="s">
        <v>289</v>
      </c>
      <c r="F1000" s="209">
        <f t="shared" si="723"/>
        <v>0</v>
      </c>
      <c r="G1000" s="210">
        <v>0</v>
      </c>
      <c r="H1000" s="210">
        <v>0</v>
      </c>
      <c r="I1000" s="210">
        <v>0</v>
      </c>
      <c r="J1000" s="210">
        <v>0</v>
      </c>
      <c r="K1000" s="210">
        <v>0</v>
      </c>
      <c r="L1000" s="210">
        <v>0</v>
      </c>
      <c r="M1000" s="210">
        <v>0</v>
      </c>
      <c r="N1000" s="210">
        <v>0</v>
      </c>
      <c r="O1000" s="210">
        <v>0</v>
      </c>
      <c r="P1000" s="210">
        <v>0</v>
      </c>
      <c r="Q1000" s="210">
        <v>0</v>
      </c>
    </row>
    <row r="1001" spans="1:17" s="50" customFormat="1" ht="15" customHeight="1">
      <c r="A1001" s="49"/>
      <c r="B1001" s="64"/>
      <c r="C1001" s="51"/>
      <c r="D1001" s="11" t="str">
        <f t="shared" si="722"/>
        <v>Ecuador profit share for workers</v>
      </c>
      <c r="E1001" s="52" t="s">
        <v>289</v>
      </c>
      <c r="F1001" s="209">
        <f t="shared" si="723"/>
        <v>0</v>
      </c>
      <c r="G1001" s="210">
        <v>0</v>
      </c>
      <c r="H1001" s="210">
        <v>0</v>
      </c>
      <c r="I1001" s="210">
        <v>762.8253900905861</v>
      </c>
      <c r="J1001" s="210">
        <v>0</v>
      </c>
      <c r="K1001" s="210">
        <v>0</v>
      </c>
      <c r="L1001" s="210">
        <v>0</v>
      </c>
      <c r="M1001" s="210">
        <v>0</v>
      </c>
      <c r="N1001" s="210">
        <v>0</v>
      </c>
      <c r="O1001" s="210">
        <v>0</v>
      </c>
      <c r="P1001" s="210">
        <v>0</v>
      </c>
      <c r="Q1001" s="210">
        <v>0</v>
      </c>
    </row>
    <row r="1002" spans="1:17" s="50" customFormat="1" ht="15" customHeight="1">
      <c r="A1002" s="49"/>
      <c r="B1002" s="64"/>
      <c r="C1002" s="51"/>
      <c r="D1002" s="11" t="str">
        <f t="shared" si="722"/>
        <v>Corporate income tax</v>
      </c>
      <c r="E1002" s="52" t="s">
        <v>289</v>
      </c>
      <c r="F1002" s="209">
        <f t="shared" si="723"/>
        <v>1405.5780796757949</v>
      </c>
      <c r="G1002" s="210">
        <v>1405.5780796757949</v>
      </c>
      <c r="H1002" s="210">
        <v>1405.5780796757949</v>
      </c>
      <c r="I1002" s="210">
        <v>1077.2823855960989</v>
      </c>
      <c r="J1002" s="210">
        <v>1426.7911774385586</v>
      </c>
      <c r="K1002" s="210">
        <v>1307.0323566008278</v>
      </c>
      <c r="L1002" s="210">
        <v>1566.2467204925911</v>
      </c>
      <c r="M1002" s="210">
        <v>1739.4274623548731</v>
      </c>
      <c r="N1002" s="210">
        <v>0</v>
      </c>
      <c r="O1002" s="210">
        <v>1327.4905169728784</v>
      </c>
      <c r="P1002" s="210">
        <v>1573.5634384281525</v>
      </c>
      <c r="Q1002" s="210">
        <v>1615.230720492591</v>
      </c>
    </row>
    <row r="1003" spans="1:17" s="50" customFormat="1" ht="15" customHeight="1">
      <c r="A1003" s="49"/>
      <c r="B1003" s="64"/>
      <c r="C1003" s="51"/>
      <c r="D1003" s="11" t="str">
        <f t="shared" si="722"/>
        <v>Resource rent tax</v>
      </c>
      <c r="E1003" s="52" t="s">
        <v>289</v>
      </c>
      <c r="F1003" s="209">
        <f t="shared" si="723"/>
        <v>0</v>
      </c>
      <c r="G1003" s="210">
        <v>0</v>
      </c>
      <c r="H1003" s="210">
        <v>0</v>
      </c>
      <c r="I1003" s="210">
        <v>0</v>
      </c>
      <c r="J1003" s="210">
        <v>0</v>
      </c>
      <c r="K1003" s="210">
        <v>0</v>
      </c>
      <c r="L1003" s="210">
        <v>0</v>
      </c>
      <c r="M1003" s="210">
        <v>0</v>
      </c>
      <c r="N1003" s="210">
        <v>0</v>
      </c>
      <c r="O1003" s="210">
        <v>0</v>
      </c>
      <c r="P1003" s="210">
        <v>0</v>
      </c>
      <c r="Q1003" s="210">
        <v>0</v>
      </c>
    </row>
    <row r="1004" spans="1:17" s="50" customFormat="1" ht="13">
      <c r="A1004" s="49"/>
      <c r="B1004" s="64"/>
      <c r="C1004" s="51"/>
      <c r="D1004" s="11" t="str">
        <f t="shared" si="722"/>
        <v>South Africa gold profit tax</v>
      </c>
      <c r="E1004" s="52" t="s">
        <v>289</v>
      </c>
      <c r="F1004" s="209">
        <f t="shared" si="723"/>
        <v>0</v>
      </c>
      <c r="G1004" s="210">
        <v>0</v>
      </c>
      <c r="H1004" s="210">
        <v>0</v>
      </c>
      <c r="I1004" s="210">
        <v>0</v>
      </c>
      <c r="J1004" s="210">
        <v>0</v>
      </c>
      <c r="K1004" s="210">
        <v>0</v>
      </c>
      <c r="L1004" s="210">
        <v>0</v>
      </c>
      <c r="M1004" s="210">
        <v>0</v>
      </c>
      <c r="N1004" s="210">
        <v>1402.5127619897721</v>
      </c>
      <c r="O1004" s="210">
        <v>0</v>
      </c>
      <c r="P1004" s="210">
        <v>0</v>
      </c>
      <c r="Q1004" s="210">
        <v>0</v>
      </c>
    </row>
    <row r="1005" spans="1:17" s="50" customFormat="1" ht="13">
      <c r="A1005" s="49"/>
      <c r="B1005" s="64"/>
      <c r="C1005" s="51"/>
      <c r="D1005" s="11" t="str">
        <f t="shared" si="722"/>
        <v>Zimbabwe additional profits tax</v>
      </c>
      <c r="E1005" s="52" t="s">
        <v>289</v>
      </c>
      <c r="F1005" s="209">
        <f t="shared" si="723"/>
        <v>0</v>
      </c>
      <c r="G1005" s="210">
        <v>0</v>
      </c>
      <c r="H1005" s="210">
        <v>0</v>
      </c>
      <c r="I1005" s="210">
        <v>0</v>
      </c>
      <c r="J1005" s="210">
        <v>0</v>
      </c>
      <c r="K1005" s="210">
        <v>0</v>
      </c>
      <c r="L1005" s="210">
        <v>0</v>
      </c>
      <c r="M1005" s="210">
        <v>0</v>
      </c>
      <c r="N1005" s="210">
        <v>0</v>
      </c>
      <c r="O1005" s="210">
        <v>0</v>
      </c>
      <c r="P1005" s="210">
        <v>0</v>
      </c>
      <c r="Q1005" s="210">
        <v>0</v>
      </c>
    </row>
    <row r="1006" spans="1:17" s="50" customFormat="1" ht="13">
      <c r="A1006" s="49"/>
      <c r="B1006" s="64"/>
      <c r="C1006" s="51"/>
      <c r="D1006" s="11" t="s">
        <v>554</v>
      </c>
      <c r="E1006" s="52" t="s">
        <v>289</v>
      </c>
      <c r="F1006" s="209">
        <f t="shared" si="723"/>
        <v>0</v>
      </c>
      <c r="G1006" s="210">
        <v>0</v>
      </c>
      <c r="H1006" s="210">
        <v>36.99420315375189</v>
      </c>
      <c r="I1006" s="210">
        <v>0</v>
      </c>
      <c r="J1006" s="210">
        <v>0</v>
      </c>
      <c r="K1006" s="210">
        <v>0</v>
      </c>
      <c r="L1006" s="210">
        <v>0</v>
      </c>
      <c r="M1006" s="210">
        <v>0</v>
      </c>
      <c r="N1006" s="210">
        <v>0</v>
      </c>
      <c r="O1006" s="210">
        <v>0</v>
      </c>
      <c r="P1006" s="210">
        <v>0</v>
      </c>
      <c r="Q1006" s="210">
        <v>0</v>
      </c>
    </row>
    <row r="1007" spans="1:17" s="50" customFormat="1" ht="15" customHeight="1">
      <c r="A1007" s="49"/>
      <c r="B1007" s="64"/>
      <c r="C1007" s="51"/>
      <c r="D1007" s="11" t="str">
        <f>D983</f>
        <v>State dividends</v>
      </c>
      <c r="E1007" s="52" t="s">
        <v>289</v>
      </c>
      <c r="F1007" s="209">
        <f t="shared" si="723"/>
        <v>517.43884309972077</v>
      </c>
      <c r="G1007" s="210">
        <v>517.43884309972077</v>
      </c>
      <c r="H1007" s="210">
        <v>511.59873881096502</v>
      </c>
      <c r="I1007" s="210">
        <v>0</v>
      </c>
      <c r="J1007" s="210">
        <v>0</v>
      </c>
      <c r="K1007" s="210">
        <v>339.95761111710067</v>
      </c>
      <c r="L1007" s="210">
        <v>352.77569276642157</v>
      </c>
      <c r="M1007" s="210">
        <v>318.46267488159356</v>
      </c>
      <c r="N1007" s="210">
        <v>0</v>
      </c>
      <c r="O1007" s="210">
        <v>0</v>
      </c>
      <c r="P1007" s="210">
        <v>0</v>
      </c>
      <c r="Q1007" s="210">
        <v>0</v>
      </c>
    </row>
    <row r="1008" spans="1:17" s="50" customFormat="1" ht="15" customHeight="1">
      <c r="A1008" s="49"/>
      <c r="B1008" s="64"/>
      <c r="C1008" s="51"/>
      <c r="D1008" s="11" t="str">
        <f>D984</f>
        <v>Dividend withholding tax</v>
      </c>
      <c r="E1008" s="52" t="s">
        <v>289</v>
      </c>
      <c r="F1008" s="209">
        <f t="shared" si="723"/>
        <v>271.65539262735336</v>
      </c>
      <c r="G1008" s="210">
        <v>271.65539262735336</v>
      </c>
      <c r="H1008" s="210">
        <v>268.5893378757566</v>
      </c>
      <c r="I1008" s="210">
        <v>310.30044474006974</v>
      </c>
      <c r="J1008" s="210">
        <v>501.30219842665514</v>
      </c>
      <c r="K1008" s="210">
        <v>191.22615625336914</v>
      </c>
      <c r="L1008" s="210">
        <v>317.49812348977952</v>
      </c>
      <c r="M1008" s="210">
        <v>229.29312591474738</v>
      </c>
      <c r="N1008" s="210">
        <v>662.62162179758104</v>
      </c>
      <c r="O1008" s="210">
        <v>740.54640607598594</v>
      </c>
      <c r="P1008" s="210">
        <v>181.72595875455082</v>
      </c>
      <c r="Q1008" s="210">
        <v>0</v>
      </c>
    </row>
    <row r="1009" spans="1:56" s="50" customFormat="1" ht="15" customHeight="1">
      <c r="A1009" s="49"/>
      <c r="B1009" s="64"/>
      <c r="C1009" s="51"/>
      <c r="D1009" s="11" t="str">
        <f>D985</f>
        <v>Interest withholding tax</v>
      </c>
      <c r="E1009" s="52" t="s">
        <v>289</v>
      </c>
      <c r="F1009" s="209">
        <f t="shared" si="723"/>
        <v>4.5226202751853943</v>
      </c>
      <c r="G1009" s="210">
        <v>4.5226202751853943</v>
      </c>
      <c r="H1009" s="210">
        <v>4.5226202751853943</v>
      </c>
      <c r="I1009" s="210">
        <v>11.306550687963485</v>
      </c>
      <c r="J1009" s="210">
        <v>3.5231291452551083</v>
      </c>
      <c r="K1009" s="210">
        <v>2.8266376719908712</v>
      </c>
      <c r="L1009" s="210">
        <v>0</v>
      </c>
      <c r="M1009" s="210">
        <v>3.6180962201483151</v>
      </c>
      <c r="N1009" s="210">
        <v>6.7839304127780897</v>
      </c>
      <c r="O1009" s="210">
        <v>9.0452405503707887</v>
      </c>
      <c r="P1009" s="210">
        <v>2.2567875173175111</v>
      </c>
      <c r="Q1009" s="210">
        <v>2.2613101375926972</v>
      </c>
    </row>
    <row r="1010" spans="1:56" s="50" customFormat="1" ht="15" customHeight="1">
      <c r="A1010" s="49"/>
      <c r="B1010" s="64"/>
      <c r="C1010" s="51"/>
      <c r="D1010" s="11" t="str">
        <f>D986</f>
        <v>Adjustment to govt benefit share</v>
      </c>
      <c r="E1010" s="52" t="s">
        <v>289</v>
      </c>
      <c r="F1010" s="209">
        <f t="shared" si="723"/>
        <v>0</v>
      </c>
      <c r="G1010" s="211">
        <v>0</v>
      </c>
      <c r="H1010" s="211">
        <v>-458.78823309312241</v>
      </c>
      <c r="I1010" s="211">
        <v>205.97818212903647</v>
      </c>
      <c r="J1010" s="211">
        <v>68.641150419973073</v>
      </c>
      <c r="K1010" s="211">
        <v>0</v>
      </c>
      <c r="L1010" s="211">
        <v>0</v>
      </c>
      <c r="M1010" s="211">
        <v>0</v>
      </c>
      <c r="N1010" s="211">
        <v>0</v>
      </c>
      <c r="O1010" s="211">
        <v>0</v>
      </c>
      <c r="P1010" s="211">
        <v>0</v>
      </c>
      <c r="Q1010" s="211">
        <v>0</v>
      </c>
    </row>
    <row r="1011" spans="1:56" s="72" customFormat="1" ht="15" customHeight="1">
      <c r="C1011" s="78"/>
      <c r="D1011" s="74"/>
      <c r="E1011" s="74"/>
      <c r="F1011" s="75"/>
      <c r="G1011" s="212"/>
      <c r="H1011" s="212"/>
      <c r="I1011" s="212"/>
      <c r="J1011" s="212"/>
      <c r="K1011" s="212"/>
      <c r="L1011" s="212"/>
      <c r="M1011" s="212"/>
      <c r="N1011" s="212"/>
      <c r="O1011" s="212"/>
      <c r="P1011" s="212"/>
      <c r="Q1011" s="212"/>
      <c r="R1011" s="212"/>
      <c r="S1011" s="212"/>
      <c r="T1011" s="77"/>
      <c r="U1011" s="77"/>
    </row>
    <row r="1012" spans="1:56" ht="15" customHeight="1">
      <c r="C1012" s="82"/>
      <c r="D1012" s="463" t="s">
        <v>731</v>
      </c>
      <c r="E1012" s="463"/>
      <c r="F1012" s="556"/>
      <c r="G1012" s="556"/>
      <c r="H1012" s="556"/>
      <c r="I1012" s="556"/>
      <c r="J1012" s="556"/>
      <c r="K1012" s="556"/>
      <c r="L1012" s="556"/>
      <c r="M1012" s="556"/>
      <c r="N1012" s="556"/>
      <c r="O1012" s="556"/>
      <c r="P1012" s="556"/>
      <c r="Q1012" s="556"/>
      <c r="R1012" s="556"/>
      <c r="S1012" s="556"/>
      <c r="T1012" s="556"/>
      <c r="U1012" s="556"/>
      <c r="V1012" s="556"/>
      <c r="W1012" s="556"/>
      <c r="X1012" s="556"/>
      <c r="Y1012" s="556"/>
      <c r="Z1012" s="556"/>
      <c r="AA1012" s="556"/>
      <c r="AB1012" s="556"/>
      <c r="AC1012" s="556"/>
      <c r="AD1012" s="556"/>
      <c r="AE1012" s="556"/>
      <c r="AF1012" s="556"/>
      <c r="AG1012" s="556"/>
      <c r="AH1012" s="556"/>
      <c r="AI1012" s="556"/>
      <c r="AJ1012" s="556"/>
      <c r="AK1012" s="556"/>
      <c r="AL1012" s="556"/>
      <c r="AM1012" s="556"/>
      <c r="AN1012" s="556"/>
      <c r="AO1012" s="556"/>
      <c r="AP1012" s="556"/>
      <c r="AQ1012" s="556"/>
      <c r="AR1012" s="556"/>
      <c r="AS1012" s="556"/>
      <c r="AT1012" s="556"/>
      <c r="AU1012" s="556"/>
      <c r="AV1012" s="556"/>
      <c r="AW1012" s="556"/>
      <c r="AX1012" s="556"/>
      <c r="AY1012" s="556"/>
      <c r="AZ1012" s="556"/>
      <c r="BA1012" s="556"/>
      <c r="BB1012" s="556"/>
      <c r="BC1012" s="556"/>
      <c r="BD1012" s="556"/>
    </row>
    <row r="1013" spans="1:56" s="50" customFormat="1" ht="64.5" customHeight="1">
      <c r="A1013" s="49"/>
      <c r="B1013" s="64"/>
      <c r="C1013" s="51"/>
      <c r="D1013" s="52" t="s">
        <v>730</v>
      </c>
      <c r="E1013" s="52"/>
      <c r="G1013" s="81" t="str">
        <f>Inputs!G15</f>
        <v>Tanzania w/o sharing</v>
      </c>
      <c r="H1013" s="81" t="str">
        <f>Inputs!H15</f>
        <v>Tanzania w 50/50 sharing</v>
      </c>
      <c r="I1013" s="81" t="str">
        <f>Inputs!I15</f>
        <v>Ecuador</v>
      </c>
      <c r="J1013" s="81" t="str">
        <f>Inputs!J15</f>
        <v>Philippines FTAA</v>
      </c>
      <c r="K1013" s="81" t="str">
        <f>Inputs!K15</f>
        <v>Burkina Faso</v>
      </c>
      <c r="L1013" s="81" t="str">
        <f>Inputs!L15</f>
        <v>DRC</v>
      </c>
      <c r="M1013" s="81" t="str">
        <f>Inputs!M15</f>
        <v>Ghana</v>
      </c>
      <c r="N1013" s="81" t="str">
        <f>Inputs!N15</f>
        <v>South Africa (gold)</v>
      </c>
      <c r="O1013" s="81" t="str">
        <f>Inputs!O15</f>
        <v>Indonesia</v>
      </c>
      <c r="P1013" s="81" t="str">
        <f>Inputs!P15</f>
        <v>Peru</v>
      </c>
      <c r="Q1013" s="81" t="str">
        <f>Inputs!Q15</f>
        <v>Western Australia</v>
      </c>
      <c r="W1013" s="55"/>
      <c r="X1013" s="55"/>
      <c r="Y1013" s="55"/>
      <c r="Z1013" s="55"/>
      <c r="AA1013" s="55"/>
      <c r="AB1013" s="55"/>
      <c r="AC1013" s="55"/>
      <c r="AD1013" s="55"/>
      <c r="AE1013" s="55"/>
      <c r="AF1013" s="55"/>
      <c r="AG1013" s="55"/>
    </row>
    <row r="1014" spans="1:56" s="50" customFormat="1" ht="13">
      <c r="A1014" s="49"/>
      <c r="B1014" s="64"/>
      <c r="C1014" s="51"/>
      <c r="D1014" s="52"/>
      <c r="E1014" s="52"/>
      <c r="G1014" s="98">
        <f>Inputs!G14</f>
        <v>1</v>
      </c>
      <c r="H1014" s="98">
        <f>Inputs!H14</f>
        <v>2</v>
      </c>
      <c r="I1014" s="98">
        <f>Inputs!I14</f>
        <v>3</v>
      </c>
      <c r="J1014" s="98">
        <f>Inputs!J14</f>
        <v>4</v>
      </c>
      <c r="K1014" s="98">
        <f>Inputs!K14</f>
        <v>5</v>
      </c>
      <c r="L1014" s="98">
        <f>Inputs!L14</f>
        <v>6</v>
      </c>
      <c r="M1014" s="98">
        <f>Inputs!M14</f>
        <v>7</v>
      </c>
      <c r="N1014" s="98">
        <f>Inputs!N14</f>
        <v>8</v>
      </c>
      <c r="O1014" s="98">
        <f>Inputs!O14</f>
        <v>9</v>
      </c>
      <c r="P1014" s="98">
        <f>Inputs!P14</f>
        <v>10</v>
      </c>
      <c r="Q1014" s="98">
        <f>Inputs!Q14</f>
        <v>11</v>
      </c>
      <c r="W1014" s="55"/>
      <c r="X1014" s="55"/>
      <c r="Y1014" s="55"/>
      <c r="Z1014" s="55"/>
      <c r="AA1014" s="55"/>
      <c r="AB1014" s="55"/>
      <c r="AC1014" s="55"/>
      <c r="AD1014" s="55"/>
      <c r="AE1014" s="55"/>
      <c r="AF1014" s="55"/>
      <c r="AG1014" s="55"/>
    </row>
    <row r="1015" spans="1:56" ht="15" customHeight="1">
      <c r="C1015" s="67"/>
      <c r="D1015" s="11" t="str">
        <f>"Average Effective Tax Rate (AETR) NPV"&amp;G946*100</f>
        <v>Average Effective Tax Rate (AETR) NPV0</v>
      </c>
      <c r="E1015" s="11" t="s">
        <v>30</v>
      </c>
      <c r="F1015" s="62">
        <f>G953</f>
        <v>0.57397135171987901</v>
      </c>
      <c r="G1015" s="85">
        <f t="dataTable" ref="G1015:Q1018" dt2D="0" dtr="1" r1="F992" ca="1"/>
        <v>0.57397135171987901</v>
      </c>
      <c r="H1015" s="85">
        <v>0.4997146188802587</v>
      </c>
      <c r="I1015" s="85">
        <v>0.55086083174465417</v>
      </c>
      <c r="J1015" s="85">
        <v>0.51705044790745802</v>
      </c>
      <c r="K1015" s="85">
        <v>0.50047287770890236</v>
      </c>
      <c r="L1015" s="85">
        <v>0.50206383227137108</v>
      </c>
      <c r="M1015" s="85">
        <v>0.54072762934947582</v>
      </c>
      <c r="N1015" s="85">
        <v>0.53870972355698055</v>
      </c>
      <c r="O1015" s="85">
        <v>0.48563705914489047</v>
      </c>
      <c r="P1015" s="85">
        <v>0.39966085958122138</v>
      </c>
      <c r="Q1015" s="85">
        <v>0.36664862643727902</v>
      </c>
      <c r="R1015" s="66"/>
      <c r="S1015" s="66"/>
    </row>
    <row r="1016" spans="1:56" ht="15" customHeight="1">
      <c r="C1016" s="67"/>
      <c r="D1016" s="11" t="str">
        <f>"Average Effective Tax Rate (AETR) NPV"&amp;H946*100</f>
        <v>Average Effective Tax Rate (AETR) NPV5</v>
      </c>
      <c r="E1016" s="11" t="s">
        <v>30</v>
      </c>
      <c r="F1016" s="62">
        <f>H953</f>
        <v>0.59438804840421045</v>
      </c>
      <c r="G1016" s="86">
        <v>0.59438804840421045</v>
      </c>
      <c r="H1016" s="86">
        <v>0.51455324384384982</v>
      </c>
      <c r="I1016" s="86">
        <v>0.58065955647314427</v>
      </c>
      <c r="J1016" s="86">
        <v>0.53486154683543385</v>
      </c>
      <c r="K1016" s="86">
        <v>0.51897484823810114</v>
      </c>
      <c r="L1016" s="86">
        <v>0.52493593052857568</v>
      </c>
      <c r="M1016" s="86">
        <v>0.56082567480821532</v>
      </c>
      <c r="N1016" s="86">
        <v>0.5528434481592569</v>
      </c>
      <c r="O1016" s="86">
        <v>0.51172680857484354</v>
      </c>
      <c r="P1016" s="86">
        <v>0.42122879232558702</v>
      </c>
      <c r="Q1016" s="86">
        <v>0.39006394457204185</v>
      </c>
      <c r="R1016" s="66"/>
      <c r="S1016" s="66"/>
    </row>
    <row r="1017" spans="1:56" ht="15" customHeight="1">
      <c r="C1017" s="67"/>
      <c r="D1017" s="11" t="str">
        <f>"Average Effective Tax Rate (AETR) NPV"&amp;I946*100</f>
        <v>Average Effective Tax Rate (AETR) NPV10</v>
      </c>
      <c r="E1017" s="11" t="s">
        <v>30</v>
      </c>
      <c r="F1017" s="62">
        <f>I953</f>
        <v>0.63067198366974442</v>
      </c>
      <c r="G1017" s="86">
        <v>0.63067198366974442</v>
      </c>
      <c r="H1017" s="86">
        <v>0.54368747432035114</v>
      </c>
      <c r="I1017" s="86">
        <v>0.62701128596758471</v>
      </c>
      <c r="J1017" s="86">
        <v>0.56620758383157266</v>
      </c>
      <c r="K1017" s="86">
        <v>0.55100138088522777</v>
      </c>
      <c r="L1017" s="86">
        <v>0.56282234377799933</v>
      </c>
      <c r="M1017" s="86">
        <v>0.5960837920826485</v>
      </c>
      <c r="N1017" s="86">
        <v>0.58048530975752399</v>
      </c>
      <c r="O1017" s="86">
        <v>0.55344487444634016</v>
      </c>
      <c r="P1017" s="86">
        <v>0.45504753775782231</v>
      </c>
      <c r="Q1017" s="86">
        <v>0.42605702910009419</v>
      </c>
      <c r="R1017" s="66"/>
      <c r="S1017" s="66"/>
    </row>
    <row r="1018" spans="1:56" ht="15" customHeight="1">
      <c r="C1018" s="67"/>
      <c r="D1018" s="11" t="str">
        <f>"Average Effective Tax Rate (AETR) NPV"&amp;J946*100</f>
        <v>Average Effective Tax Rate (AETR) NPV15</v>
      </c>
      <c r="E1018" s="11" t="s">
        <v>30</v>
      </c>
      <c r="F1018" s="62">
        <f>J953</f>
        <v>0.69108165630872453</v>
      </c>
      <c r="G1018" s="87">
        <v>0.69108165630872453</v>
      </c>
      <c r="H1018" s="87">
        <v>0.59472160916380457</v>
      </c>
      <c r="I1018" s="87">
        <v>0.69862464475628172</v>
      </c>
      <c r="J1018" s="87">
        <v>0.61763995802252081</v>
      </c>
      <c r="K1018" s="87">
        <v>0.60354115247806683</v>
      </c>
      <c r="L1018" s="87">
        <v>0.62335283809748299</v>
      </c>
      <c r="M1018" s="87">
        <v>0.65449394489523216</v>
      </c>
      <c r="N1018" s="87">
        <v>0.62874831550029553</v>
      </c>
      <c r="O1018" s="87">
        <v>0.61836313615260885</v>
      </c>
      <c r="P1018" s="87">
        <v>0.50725690660015454</v>
      </c>
      <c r="Q1018" s="87">
        <v>0.48082357743865861</v>
      </c>
      <c r="R1018" s="66"/>
      <c r="S1018" s="66"/>
    </row>
    <row r="1019" spans="1:56" ht="15" customHeight="1">
      <c r="C1019" s="67"/>
      <c r="F1019" s="61"/>
      <c r="G1019" s="66"/>
      <c r="H1019" s="66"/>
      <c r="I1019" s="66"/>
      <c r="J1019" s="66"/>
      <c r="K1019" s="66"/>
      <c r="L1019" s="66"/>
      <c r="M1019" s="66"/>
      <c r="N1019" s="66"/>
      <c r="O1019" s="66"/>
      <c r="P1019" s="66"/>
      <c r="Q1019" s="66"/>
      <c r="R1019" s="66"/>
      <c r="S1019" s="66"/>
    </row>
    <row r="1020" spans="1:56" ht="15" customHeight="1">
      <c r="C1020" s="82"/>
      <c r="D1020" s="463" t="s">
        <v>732</v>
      </c>
      <c r="E1020" s="463"/>
      <c r="F1020" s="556"/>
      <c r="G1020" s="556"/>
      <c r="H1020" s="556"/>
      <c r="I1020" s="556"/>
      <c r="J1020" s="556"/>
      <c r="K1020" s="556"/>
      <c r="L1020" s="556"/>
      <c r="M1020" s="556"/>
      <c r="N1020" s="556"/>
      <c r="O1020" s="556"/>
      <c r="P1020" s="556"/>
      <c r="Q1020" s="556"/>
      <c r="R1020" s="556"/>
      <c r="S1020" s="556"/>
      <c r="T1020" s="556"/>
      <c r="U1020" s="556"/>
      <c r="V1020" s="556"/>
      <c r="W1020" s="556"/>
      <c r="X1020" s="556"/>
      <c r="Y1020" s="556"/>
      <c r="Z1020" s="556"/>
      <c r="AA1020" s="556"/>
      <c r="AB1020" s="556"/>
      <c r="AC1020" s="556"/>
      <c r="AD1020" s="556"/>
      <c r="AE1020" s="556"/>
      <c r="AF1020" s="556"/>
      <c r="AG1020" s="556"/>
      <c r="AH1020" s="556"/>
      <c r="AI1020" s="556"/>
      <c r="AJ1020" s="556"/>
      <c r="AK1020" s="556"/>
      <c r="AL1020" s="556"/>
      <c r="AM1020" s="556"/>
      <c r="AN1020" s="556"/>
      <c r="AO1020" s="556"/>
      <c r="AP1020" s="556"/>
      <c r="AQ1020" s="556"/>
      <c r="AR1020" s="556"/>
      <c r="AS1020" s="556"/>
      <c r="AT1020" s="556"/>
      <c r="AU1020" s="556"/>
      <c r="AV1020" s="556"/>
      <c r="AW1020" s="556"/>
      <c r="AX1020" s="556"/>
      <c r="AY1020" s="556"/>
      <c r="AZ1020" s="556"/>
      <c r="BA1020" s="556"/>
      <c r="BB1020" s="556"/>
      <c r="BC1020" s="556"/>
      <c r="BD1020" s="556"/>
    </row>
    <row r="1021" spans="1:56" s="50" customFormat="1" ht="69" customHeight="1">
      <c r="A1021" s="49"/>
      <c r="B1021" s="64"/>
      <c r="C1021" s="51"/>
      <c r="D1021" s="52" t="s">
        <v>730</v>
      </c>
      <c r="G1021" s="81" t="str">
        <f>Inputs!G15</f>
        <v>Tanzania w/o sharing</v>
      </c>
      <c r="H1021" s="81" t="str">
        <f>Inputs!H15</f>
        <v>Tanzania w 50/50 sharing</v>
      </c>
      <c r="I1021" s="81" t="str">
        <f>Inputs!I15</f>
        <v>Ecuador</v>
      </c>
      <c r="J1021" s="81" t="str">
        <f>Inputs!J15</f>
        <v>Philippines FTAA</v>
      </c>
      <c r="K1021" s="81" t="str">
        <f>Inputs!K15</f>
        <v>Burkina Faso</v>
      </c>
      <c r="L1021" s="81" t="str">
        <f>Inputs!L15</f>
        <v>DRC</v>
      </c>
      <c r="M1021" s="81" t="str">
        <f>Inputs!M15</f>
        <v>Ghana</v>
      </c>
      <c r="N1021" s="81" t="str">
        <f>Inputs!N15</f>
        <v>South Africa (gold)</v>
      </c>
      <c r="O1021" s="81" t="str">
        <f>Inputs!O15</f>
        <v>Indonesia</v>
      </c>
      <c r="P1021" s="81" t="str">
        <f>Inputs!P15</f>
        <v>Peru</v>
      </c>
      <c r="Q1021" s="81" t="str">
        <f>Inputs!Q15</f>
        <v>Western Australia</v>
      </c>
    </row>
    <row r="1022" spans="1:56" s="50" customFormat="1" ht="15" customHeight="1">
      <c r="A1022" s="49"/>
      <c r="B1022" s="64"/>
      <c r="C1022" s="51"/>
      <c r="G1022" s="98">
        <f>Inputs!G14</f>
        <v>1</v>
      </c>
      <c r="H1022" s="98">
        <f>Inputs!H14</f>
        <v>2</v>
      </c>
      <c r="I1022" s="98">
        <f>Inputs!I14</f>
        <v>3</v>
      </c>
      <c r="J1022" s="98">
        <f>Inputs!J14</f>
        <v>4</v>
      </c>
      <c r="K1022" s="98">
        <f>Inputs!K14</f>
        <v>5</v>
      </c>
      <c r="L1022" s="98">
        <f>Inputs!L14</f>
        <v>6</v>
      </c>
      <c r="M1022" s="98">
        <f>Inputs!M14</f>
        <v>7</v>
      </c>
      <c r="N1022" s="98">
        <f>Inputs!N14</f>
        <v>8</v>
      </c>
      <c r="O1022" s="98">
        <f>Inputs!O14</f>
        <v>9</v>
      </c>
      <c r="P1022" s="98">
        <f>Inputs!P14</f>
        <v>10</v>
      </c>
      <c r="Q1022" s="98">
        <f>Inputs!Q14</f>
        <v>11</v>
      </c>
    </row>
    <row r="1023" spans="1:56" s="50" customFormat="1" ht="15" customHeight="1">
      <c r="A1023" s="49"/>
      <c r="B1023" s="64"/>
      <c r="C1023" s="51"/>
      <c r="D1023" s="52" t="str">
        <f>"Government Share of Total Benefits NPV"&amp;G946*100</f>
        <v>Government Share of Total Benefits NPV0</v>
      </c>
      <c r="E1023" s="52" t="s">
        <v>30</v>
      </c>
      <c r="F1023" s="62">
        <f>G955</f>
        <v>0.52925922842508621</v>
      </c>
      <c r="G1023" s="85">
        <f t="dataTable" ref="G1023:Q1026" dt2D="0" dtr="1" r1="F992" ca="1"/>
        <v>0.52925922842508621</v>
      </c>
      <c r="H1023" s="85">
        <v>0.46078706337660191</v>
      </c>
      <c r="I1023" s="85">
        <v>0.50794900809102417</v>
      </c>
      <c r="J1023" s="85">
        <v>0.47677243872251734</v>
      </c>
      <c r="K1023" s="85">
        <v>0.46148625416616296</v>
      </c>
      <c r="L1023" s="85">
        <v>0.46295327404732678</v>
      </c>
      <c r="M1023" s="85">
        <v>0.49860517783699315</v>
      </c>
      <c r="N1023" s="85">
        <v>0.49674446604437428</v>
      </c>
      <c r="O1023" s="85">
        <v>0.44780613953550175</v>
      </c>
      <c r="P1023" s="85">
        <v>0.3685274492182255</v>
      </c>
      <c r="Q1023" s="85">
        <v>0.33808685494466489</v>
      </c>
    </row>
    <row r="1024" spans="1:56" s="50" customFormat="1" ht="15" customHeight="1">
      <c r="A1024" s="49"/>
      <c r="B1024" s="64"/>
      <c r="C1024" s="51"/>
      <c r="D1024" s="52" t="str">
        <f>"Government Share of Total Benefits NPV"&amp;H946*100</f>
        <v>Government Share of Total Benefits NPV5</v>
      </c>
      <c r="E1024" s="52" t="s">
        <v>30</v>
      </c>
      <c r="F1024" s="62">
        <f>H955</f>
        <v>0.51265287353764655</v>
      </c>
      <c r="G1024" s="86">
        <v>0.51265287353764655</v>
      </c>
      <c r="H1024" s="86">
        <v>0.44379627038745539</v>
      </c>
      <c r="I1024" s="86">
        <v>0.50081220672630211</v>
      </c>
      <c r="J1024" s="86">
        <v>0.46131194876164217</v>
      </c>
      <c r="K1024" s="86">
        <v>0.44760985345737964</v>
      </c>
      <c r="L1024" s="86">
        <v>0.45275121855348255</v>
      </c>
      <c r="M1024" s="86">
        <v>0.4837057113042797</v>
      </c>
      <c r="N1024" s="86">
        <v>0.47682113238348262</v>
      </c>
      <c r="O1024" s="86">
        <v>0.44135850238990837</v>
      </c>
      <c r="P1024" s="86">
        <v>0.363305001475489</v>
      </c>
      <c r="Q1024" s="86">
        <v>0.33642567777927418</v>
      </c>
    </row>
    <row r="1025" spans="1:56" s="50" customFormat="1" ht="15" customHeight="1">
      <c r="A1025" s="49"/>
      <c r="B1025" s="64"/>
      <c r="C1025" s="51"/>
      <c r="D1025" s="52" t="str">
        <f>"Government Share of Total Benefits NPV"&amp;I946*100</f>
        <v>Government Share of Total Benefits NPV10</v>
      </c>
      <c r="E1025" s="52" t="s">
        <v>30</v>
      </c>
      <c r="F1025" s="62">
        <f>I955</f>
        <v>0.4943408889267713</v>
      </c>
      <c r="G1025" s="86">
        <v>0.4943408889267713</v>
      </c>
      <c r="H1025" s="86">
        <v>0.42615964608095719</v>
      </c>
      <c r="I1025" s="86">
        <v>0.49147151688704949</v>
      </c>
      <c r="J1025" s="86">
        <v>0.44381162879585007</v>
      </c>
      <c r="K1025" s="86">
        <v>0.43189252016832397</v>
      </c>
      <c r="L1025" s="86">
        <v>0.44115816927862772</v>
      </c>
      <c r="M1025" s="86">
        <v>0.46722955717544978</v>
      </c>
      <c r="N1025" s="86">
        <v>0.45500296741377666</v>
      </c>
      <c r="O1025" s="86">
        <v>0.43380780863897794</v>
      </c>
      <c r="P1025" s="86">
        <v>0.35668082639443238</v>
      </c>
      <c r="Q1025" s="86">
        <v>0.33395713770778668</v>
      </c>
    </row>
    <row r="1026" spans="1:56" s="50" customFormat="1" ht="15" customHeight="1">
      <c r="A1026" s="49"/>
      <c r="B1026" s="64"/>
      <c r="C1026" s="51"/>
      <c r="D1026" s="52" t="str">
        <f>"Government Share of Total Benefits NPV"&amp;J946*100</f>
        <v>Government Share of Total Benefits NPV15</v>
      </c>
      <c r="E1026" s="52" t="s">
        <v>30</v>
      </c>
      <c r="F1026" s="62">
        <f>J955</f>
        <v>8.1571087026846234E-2</v>
      </c>
      <c r="G1026" s="87">
        <v>8.1571087026846234E-2</v>
      </c>
      <c r="H1026" s="87">
        <v>7.0197331523693479E-2</v>
      </c>
      <c r="I1026" s="87">
        <v>8.2461415631984766E-2</v>
      </c>
      <c r="J1026" s="87">
        <v>7.2902474414117457E-2</v>
      </c>
      <c r="K1026" s="87">
        <v>7.1238336922487266E-2</v>
      </c>
      <c r="L1026" s="87">
        <v>7.3576788127286671E-2</v>
      </c>
      <c r="M1026" s="87">
        <v>7.7252495490551909E-2</v>
      </c>
      <c r="N1026" s="87">
        <v>7.421363755420822E-2</v>
      </c>
      <c r="O1026" s="87">
        <v>7.2987833974231378E-2</v>
      </c>
      <c r="P1026" s="87">
        <v>5.9873528541127402E-2</v>
      </c>
      <c r="Q1026" s="87">
        <v>5.6753498695510392E-2</v>
      </c>
    </row>
    <row r="1027" spans="1:56" ht="15" customHeight="1">
      <c r="C1027" s="19"/>
      <c r="G1027" s="19"/>
      <c r="H1027" s="19"/>
      <c r="I1027" s="19"/>
      <c r="J1027" s="19"/>
      <c r="K1027" s="19"/>
      <c r="L1027" s="19"/>
      <c r="M1027" s="19"/>
      <c r="N1027" s="19"/>
      <c r="O1027" s="19"/>
      <c r="P1027" s="19"/>
      <c r="Q1027" s="19"/>
      <c r="R1027" s="19"/>
      <c r="S1027" s="19"/>
      <c r="T1027" s="19"/>
      <c r="U1027" s="19"/>
      <c r="V1027" s="19"/>
      <c r="W1027" s="19"/>
      <c r="X1027" s="19"/>
      <c r="Y1027" s="19"/>
      <c r="Z1027" s="19"/>
      <c r="AA1027" s="19"/>
      <c r="AB1027" s="19"/>
      <c r="AC1027" s="19"/>
      <c r="AD1027" s="19"/>
      <c r="AE1027" s="19"/>
      <c r="AF1027" s="19"/>
      <c r="AG1027" s="19"/>
      <c r="AH1027" s="19"/>
      <c r="AI1027" s="19"/>
    </row>
    <row r="1028" spans="1:56" ht="15" customHeight="1">
      <c r="C1028" s="20"/>
      <c r="D1028" s="463" t="s">
        <v>733</v>
      </c>
      <c r="E1028" s="463"/>
      <c r="F1028" s="556"/>
      <c r="G1028" s="544">
        <f t="shared" ref="G1028:AL1028" si="724">G$6</f>
        <v>1</v>
      </c>
      <c r="H1028" s="544">
        <f t="shared" si="724"/>
        <v>2</v>
      </c>
      <c r="I1028" s="544">
        <f t="shared" si="724"/>
        <v>3</v>
      </c>
      <c r="J1028" s="544">
        <f t="shared" si="724"/>
        <v>4</v>
      </c>
      <c r="K1028" s="544">
        <f t="shared" si="724"/>
        <v>5</v>
      </c>
      <c r="L1028" s="544">
        <f t="shared" si="724"/>
        <v>6</v>
      </c>
      <c r="M1028" s="544">
        <f t="shared" si="724"/>
        <v>7</v>
      </c>
      <c r="N1028" s="544">
        <f t="shared" si="724"/>
        <v>8</v>
      </c>
      <c r="O1028" s="544">
        <f t="shared" si="724"/>
        <v>9</v>
      </c>
      <c r="P1028" s="544">
        <f t="shared" si="724"/>
        <v>10</v>
      </c>
      <c r="Q1028" s="544">
        <f t="shared" si="724"/>
        <v>11</v>
      </c>
      <c r="R1028" s="544">
        <f t="shared" si="724"/>
        <v>12</v>
      </c>
      <c r="S1028" s="544">
        <f t="shared" si="724"/>
        <v>13</v>
      </c>
      <c r="T1028" s="544">
        <f t="shared" si="724"/>
        <v>14</v>
      </c>
      <c r="U1028" s="544">
        <f t="shared" si="724"/>
        <v>15</v>
      </c>
      <c r="V1028" s="544">
        <f t="shared" si="724"/>
        <v>16</v>
      </c>
      <c r="W1028" s="544">
        <f t="shared" si="724"/>
        <v>17</v>
      </c>
      <c r="X1028" s="544">
        <f t="shared" si="724"/>
        <v>18</v>
      </c>
      <c r="Y1028" s="544">
        <f t="shared" si="724"/>
        <v>19</v>
      </c>
      <c r="Z1028" s="544">
        <f t="shared" si="724"/>
        <v>20</v>
      </c>
      <c r="AA1028" s="544">
        <f t="shared" si="724"/>
        <v>21</v>
      </c>
      <c r="AB1028" s="544">
        <f t="shared" si="724"/>
        <v>22</v>
      </c>
      <c r="AC1028" s="544">
        <f t="shared" si="724"/>
        <v>23</v>
      </c>
      <c r="AD1028" s="544">
        <f t="shared" si="724"/>
        <v>24</v>
      </c>
      <c r="AE1028" s="544">
        <f t="shared" si="724"/>
        <v>25</v>
      </c>
      <c r="AF1028" s="544">
        <f t="shared" si="724"/>
        <v>26</v>
      </c>
      <c r="AG1028" s="544">
        <f t="shared" si="724"/>
        <v>27</v>
      </c>
      <c r="AH1028" s="544">
        <f t="shared" si="724"/>
        <v>28</v>
      </c>
      <c r="AI1028" s="544">
        <f t="shared" si="724"/>
        <v>29</v>
      </c>
      <c r="AJ1028" s="544">
        <f t="shared" si="724"/>
        <v>30</v>
      </c>
      <c r="AK1028" s="544">
        <f t="shared" si="724"/>
        <v>31</v>
      </c>
      <c r="AL1028" s="544">
        <f t="shared" si="724"/>
        <v>32</v>
      </c>
      <c r="AM1028" s="544">
        <f t="shared" ref="AM1028:BD1028" si="725">AM$6</f>
        <v>33</v>
      </c>
      <c r="AN1028" s="544">
        <f t="shared" si="725"/>
        <v>34</v>
      </c>
      <c r="AO1028" s="544">
        <f t="shared" si="725"/>
        <v>35</v>
      </c>
      <c r="AP1028" s="544">
        <f t="shared" si="725"/>
        <v>36</v>
      </c>
      <c r="AQ1028" s="544">
        <f t="shared" si="725"/>
        <v>37</v>
      </c>
      <c r="AR1028" s="544">
        <f t="shared" si="725"/>
        <v>38</v>
      </c>
      <c r="AS1028" s="544">
        <f t="shared" si="725"/>
        <v>39</v>
      </c>
      <c r="AT1028" s="544">
        <f t="shared" si="725"/>
        <v>40</v>
      </c>
      <c r="AU1028" s="544">
        <f t="shared" si="725"/>
        <v>41</v>
      </c>
      <c r="AV1028" s="544">
        <f t="shared" si="725"/>
        <v>42</v>
      </c>
      <c r="AW1028" s="544">
        <f t="shared" si="725"/>
        <v>43</v>
      </c>
      <c r="AX1028" s="544">
        <f t="shared" si="725"/>
        <v>44</v>
      </c>
      <c r="AY1028" s="544">
        <f t="shared" si="725"/>
        <v>45</v>
      </c>
      <c r="AZ1028" s="544">
        <f t="shared" si="725"/>
        <v>46</v>
      </c>
      <c r="BA1028" s="544">
        <f t="shared" si="725"/>
        <v>47</v>
      </c>
      <c r="BB1028" s="544">
        <f t="shared" si="725"/>
        <v>48</v>
      </c>
      <c r="BC1028" s="544">
        <f t="shared" si="725"/>
        <v>49</v>
      </c>
      <c r="BD1028" s="544">
        <f t="shared" si="725"/>
        <v>50</v>
      </c>
    </row>
    <row r="1029" spans="1:56" s="68" customFormat="1" ht="15" customHeight="1">
      <c r="C1029" s="21">
        <f>SUM(G1029:BD1029)</f>
        <v>3329.1199356780553</v>
      </c>
      <c r="D1029" s="79" t="s">
        <v>728</v>
      </c>
      <c r="E1029" s="79" t="s">
        <v>289</v>
      </c>
      <c r="F1029" s="80"/>
      <c r="G1029" s="19">
        <f t="shared" ref="G1029:AL1029" si="726">G988</f>
        <v>0</v>
      </c>
      <c r="H1029" s="19">
        <f t="shared" si="726"/>
        <v>0</v>
      </c>
      <c r="I1029" s="19">
        <f t="shared" si="726"/>
        <v>2.8125000000000004</v>
      </c>
      <c r="J1029" s="19">
        <f t="shared" si="726"/>
        <v>11.25</v>
      </c>
      <c r="K1029" s="19">
        <f t="shared" si="726"/>
        <v>24.624904844290658</v>
      </c>
      <c r="L1029" s="19">
        <f t="shared" si="726"/>
        <v>84.819043907882019</v>
      </c>
      <c r="M1029" s="19">
        <f t="shared" si="726"/>
        <v>103.14735387756133</v>
      </c>
      <c r="N1029" s="19">
        <f t="shared" si="726"/>
        <v>128.61127396426639</v>
      </c>
      <c r="O1029" s="19">
        <f t="shared" si="726"/>
        <v>128.54828109653567</v>
      </c>
      <c r="P1029" s="19">
        <f t="shared" si="726"/>
        <v>155.14153904912538</v>
      </c>
      <c r="Q1029" s="19">
        <f t="shared" si="726"/>
        <v>155.14153904912538</v>
      </c>
      <c r="R1029" s="19">
        <f t="shared" si="726"/>
        <v>155.14153904912536</v>
      </c>
      <c r="S1029" s="19">
        <f t="shared" si="726"/>
        <v>155.14153904912538</v>
      </c>
      <c r="T1029" s="19">
        <f t="shared" si="726"/>
        <v>155.14153904912538</v>
      </c>
      <c r="U1029" s="19">
        <f t="shared" si="726"/>
        <v>155.14153904912538</v>
      </c>
      <c r="V1029" s="19">
        <f t="shared" si="726"/>
        <v>155.14153904912538</v>
      </c>
      <c r="W1029" s="19">
        <f t="shared" si="726"/>
        <v>155.14153904912538</v>
      </c>
      <c r="X1029" s="19">
        <f t="shared" si="726"/>
        <v>155.14153904912538</v>
      </c>
      <c r="Y1029" s="19">
        <f t="shared" si="726"/>
        <v>154.39253904912539</v>
      </c>
      <c r="Z1029" s="19">
        <f t="shared" si="726"/>
        <v>154.39079660977677</v>
      </c>
      <c r="AA1029" s="19">
        <f t="shared" si="726"/>
        <v>154.38687677827079</v>
      </c>
      <c r="AB1029" s="19">
        <f t="shared" si="726"/>
        <v>154.38013420841827</v>
      </c>
      <c r="AC1029" s="19">
        <f t="shared" si="726"/>
        <v>154.36955597516072</v>
      </c>
      <c r="AD1029" s="19">
        <f t="shared" si="726"/>
        <v>153.19996534599741</v>
      </c>
      <c r="AE1029" s="19">
        <f t="shared" si="726"/>
        <v>153.17503130096074</v>
      </c>
      <c r="AF1029" s="19">
        <f t="shared" si="726"/>
        <v>153.13395611263178</v>
      </c>
      <c r="AG1029" s="19">
        <f t="shared" si="726"/>
        <v>158.44407420942579</v>
      </c>
      <c r="AH1029" s="19">
        <f t="shared" si="726"/>
        <v>59.159796955622404</v>
      </c>
      <c r="AI1029" s="19">
        <f t="shared" si="726"/>
        <v>0</v>
      </c>
      <c r="AJ1029" s="19">
        <f t="shared" si="726"/>
        <v>0</v>
      </c>
      <c r="AK1029" s="19">
        <f t="shared" si="726"/>
        <v>0</v>
      </c>
      <c r="AL1029" s="19">
        <f t="shared" si="726"/>
        <v>0</v>
      </c>
      <c r="AM1029" s="19">
        <f t="shared" ref="AM1029:BD1029" si="727">AM988</f>
        <v>0</v>
      </c>
      <c r="AN1029" s="19">
        <f t="shared" si="727"/>
        <v>0</v>
      </c>
      <c r="AO1029" s="19">
        <f t="shared" si="727"/>
        <v>0</v>
      </c>
      <c r="AP1029" s="19">
        <f t="shared" si="727"/>
        <v>0</v>
      </c>
      <c r="AQ1029" s="19">
        <f t="shared" si="727"/>
        <v>0</v>
      </c>
      <c r="AR1029" s="19">
        <f t="shared" si="727"/>
        <v>0</v>
      </c>
      <c r="AS1029" s="19">
        <f t="shared" si="727"/>
        <v>0</v>
      </c>
      <c r="AT1029" s="19">
        <f t="shared" si="727"/>
        <v>0</v>
      </c>
      <c r="AU1029" s="19">
        <f t="shared" si="727"/>
        <v>0</v>
      </c>
      <c r="AV1029" s="19">
        <f t="shared" si="727"/>
        <v>0</v>
      </c>
      <c r="AW1029" s="19">
        <f t="shared" si="727"/>
        <v>0</v>
      </c>
      <c r="AX1029" s="19">
        <f t="shared" si="727"/>
        <v>0</v>
      </c>
      <c r="AY1029" s="19">
        <f t="shared" si="727"/>
        <v>0</v>
      </c>
      <c r="AZ1029" s="19">
        <f t="shared" si="727"/>
        <v>0</v>
      </c>
      <c r="BA1029" s="19">
        <f t="shared" si="727"/>
        <v>0</v>
      </c>
      <c r="BB1029" s="19">
        <f t="shared" si="727"/>
        <v>0</v>
      </c>
      <c r="BC1029" s="19">
        <f t="shared" si="727"/>
        <v>0</v>
      </c>
      <c r="BD1029" s="19">
        <f t="shared" si="727"/>
        <v>0</v>
      </c>
    </row>
    <row r="1030" spans="1:56" ht="15" customHeight="1">
      <c r="C1030" s="21">
        <f t="shared" ref="C1030:C1040" si="728">SUM(G1030:BD1030)</f>
        <v>3329.1199356780553</v>
      </c>
      <c r="D1030" s="95" t="str">
        <f>Inputs!G15</f>
        <v>Tanzania w/o sharing</v>
      </c>
      <c r="E1030" s="11" t="s">
        <v>289</v>
      </c>
      <c r="F1030" s="99">
        <v>1</v>
      </c>
      <c r="G1030" s="19">
        <f t="dataTable" ref="G1030:BD1040" dt2D="0" dtr="0" r1="F992" ca="1"/>
        <v>0</v>
      </c>
      <c r="H1030" s="19">
        <v>0</v>
      </c>
      <c r="I1030" s="19">
        <v>2.8125000000000004</v>
      </c>
      <c r="J1030" s="19">
        <v>11.25</v>
      </c>
      <c r="K1030" s="19">
        <v>24.624904844290658</v>
      </c>
      <c r="L1030" s="19">
        <v>84.819043907882019</v>
      </c>
      <c r="M1030" s="19">
        <v>103.14735387756133</v>
      </c>
      <c r="N1030" s="19">
        <v>128.61127396426639</v>
      </c>
      <c r="O1030" s="19">
        <v>128.54828109653567</v>
      </c>
      <c r="P1030" s="19">
        <v>155.14153904912538</v>
      </c>
      <c r="Q1030" s="19">
        <v>155.14153904912538</v>
      </c>
      <c r="R1030" s="19">
        <v>155.14153904912536</v>
      </c>
      <c r="S1030" s="19">
        <v>155.14153904912538</v>
      </c>
      <c r="T1030" s="19">
        <v>155.14153904912538</v>
      </c>
      <c r="U1030" s="19">
        <v>155.14153904912538</v>
      </c>
      <c r="V1030" s="19">
        <v>155.14153904912538</v>
      </c>
      <c r="W1030" s="19">
        <v>155.14153904912538</v>
      </c>
      <c r="X1030" s="19">
        <v>155.14153904912538</v>
      </c>
      <c r="Y1030" s="19">
        <v>154.39253904912539</v>
      </c>
      <c r="Z1030" s="19">
        <v>154.39079660977677</v>
      </c>
      <c r="AA1030" s="19">
        <v>154.38687677827079</v>
      </c>
      <c r="AB1030" s="19">
        <v>154.38013420841827</v>
      </c>
      <c r="AC1030" s="19">
        <v>154.36955597516072</v>
      </c>
      <c r="AD1030" s="19">
        <v>153.19996534599741</v>
      </c>
      <c r="AE1030" s="19">
        <v>153.17503130096074</v>
      </c>
      <c r="AF1030" s="19">
        <v>153.13395611263178</v>
      </c>
      <c r="AG1030" s="19">
        <v>158.44407420942579</v>
      </c>
      <c r="AH1030" s="19">
        <v>59.159796955622404</v>
      </c>
      <c r="AI1030" s="19">
        <v>0</v>
      </c>
      <c r="AJ1030" s="19">
        <v>0</v>
      </c>
      <c r="AK1030" s="19">
        <v>0</v>
      </c>
      <c r="AL1030" s="19">
        <v>0</v>
      </c>
      <c r="AM1030" s="19">
        <v>0</v>
      </c>
      <c r="AN1030" s="19">
        <v>0</v>
      </c>
      <c r="AO1030" s="19">
        <v>0</v>
      </c>
      <c r="AP1030" s="19">
        <v>0</v>
      </c>
      <c r="AQ1030" s="19">
        <v>0</v>
      </c>
      <c r="AR1030" s="19">
        <v>0</v>
      </c>
      <c r="AS1030" s="19">
        <v>0</v>
      </c>
      <c r="AT1030" s="19">
        <v>0</v>
      </c>
      <c r="AU1030" s="19">
        <v>0</v>
      </c>
      <c r="AV1030" s="19">
        <v>0</v>
      </c>
      <c r="AW1030" s="19">
        <v>0</v>
      </c>
      <c r="AX1030" s="19">
        <v>0</v>
      </c>
      <c r="AY1030" s="19">
        <v>0</v>
      </c>
      <c r="AZ1030" s="19">
        <v>0</v>
      </c>
      <c r="BA1030" s="19">
        <v>0</v>
      </c>
      <c r="BB1030" s="19">
        <v>0</v>
      </c>
      <c r="BC1030" s="19">
        <v>0</v>
      </c>
      <c r="BD1030" s="19">
        <v>0</v>
      </c>
    </row>
    <row r="1031" spans="1:56" ht="15" customHeight="1">
      <c r="C1031" s="21">
        <f t="shared" si="728"/>
        <v>2898.4197466983319</v>
      </c>
      <c r="D1031" s="95" t="str">
        <f>Inputs!H15</f>
        <v>Tanzania w 50/50 sharing</v>
      </c>
      <c r="E1031" s="11" t="s">
        <v>289</v>
      </c>
      <c r="F1031" s="99">
        <f t="shared" ref="F1031:F1040" si="729">F1030+1</f>
        <v>2</v>
      </c>
      <c r="G1031" s="19">
        <v>0</v>
      </c>
      <c r="H1031" s="19">
        <v>0</v>
      </c>
      <c r="I1031" s="19">
        <v>2.8125000000000004</v>
      </c>
      <c r="J1031" s="19">
        <v>11.25</v>
      </c>
      <c r="K1031" s="19">
        <v>33.29037197231834</v>
      </c>
      <c r="L1031" s="19">
        <v>92.829139572445428</v>
      </c>
      <c r="M1031" s="19">
        <v>104.77602573520457</v>
      </c>
      <c r="N1031" s="19">
        <v>17.187227159160273</v>
      </c>
      <c r="O1031" s="19">
        <v>115.95942335753575</v>
      </c>
      <c r="P1031" s="19">
        <v>140.0452039350082</v>
      </c>
      <c r="Q1031" s="19">
        <v>137.33120664802209</v>
      </c>
      <c r="R1031" s="19">
        <v>137.33120664802206</v>
      </c>
      <c r="S1031" s="19">
        <v>137.33120664802209</v>
      </c>
      <c r="T1031" s="19">
        <v>137.33120664802209</v>
      </c>
      <c r="U1031" s="19">
        <v>137.33120664802206</v>
      </c>
      <c r="V1031" s="19">
        <v>137.33120664802209</v>
      </c>
      <c r="W1031" s="19">
        <v>137.33120664802206</v>
      </c>
      <c r="X1031" s="19">
        <v>137.33120664802209</v>
      </c>
      <c r="Y1031" s="19">
        <v>136.58220664802209</v>
      </c>
      <c r="Z1031" s="19">
        <v>136.53492053665923</v>
      </c>
      <c r="AA1031" s="19">
        <v>136.53089475443733</v>
      </c>
      <c r="AB1031" s="19">
        <v>136.5239138354253</v>
      </c>
      <c r="AC1031" s="19">
        <v>136.51292561366324</v>
      </c>
      <c r="AD1031" s="19">
        <v>135.342691764759</v>
      </c>
      <c r="AE1031" s="19">
        <v>135.24663962625695</v>
      </c>
      <c r="AF1031" s="19">
        <v>135.20404829911737</v>
      </c>
      <c r="AG1031" s="19">
        <v>140.51166877921557</v>
      </c>
      <c r="AH1031" s="19">
        <v>45.741829712449643</v>
      </c>
      <c r="AI1031" s="19">
        <v>6.8884622124766128</v>
      </c>
      <c r="AJ1031" s="19">
        <v>0</v>
      </c>
      <c r="AK1031" s="19">
        <v>0</v>
      </c>
      <c r="AL1031" s="19">
        <v>0</v>
      </c>
      <c r="AM1031" s="19">
        <v>0</v>
      </c>
      <c r="AN1031" s="19">
        <v>0</v>
      </c>
      <c r="AO1031" s="19">
        <v>0</v>
      </c>
      <c r="AP1031" s="19">
        <v>0</v>
      </c>
      <c r="AQ1031" s="19">
        <v>0</v>
      </c>
      <c r="AR1031" s="19">
        <v>0</v>
      </c>
      <c r="AS1031" s="19">
        <v>0</v>
      </c>
      <c r="AT1031" s="19">
        <v>0</v>
      </c>
      <c r="AU1031" s="19">
        <v>0</v>
      </c>
      <c r="AV1031" s="19">
        <v>0</v>
      </c>
      <c r="AW1031" s="19">
        <v>0</v>
      </c>
      <c r="AX1031" s="19">
        <v>0</v>
      </c>
      <c r="AY1031" s="19">
        <v>0</v>
      </c>
      <c r="AZ1031" s="19">
        <v>0</v>
      </c>
      <c r="BA1031" s="19">
        <v>0</v>
      </c>
      <c r="BB1031" s="19">
        <v>0</v>
      </c>
      <c r="BC1031" s="19">
        <v>0</v>
      </c>
      <c r="BD1031" s="19">
        <v>0</v>
      </c>
    </row>
    <row r="1032" spans="1:56" ht="15" customHeight="1">
      <c r="C1032" s="21">
        <f t="shared" si="728"/>
        <v>3195.0754532437545</v>
      </c>
      <c r="D1032" s="95" t="str">
        <f>Inputs!I15</f>
        <v>Ecuador</v>
      </c>
      <c r="E1032" s="11" t="s">
        <v>289</v>
      </c>
      <c r="F1032" s="99">
        <f t="shared" si="729"/>
        <v>3</v>
      </c>
      <c r="G1032" s="19">
        <v>0</v>
      </c>
      <c r="H1032" s="19">
        <v>0</v>
      </c>
      <c r="I1032" s="19">
        <v>2.8125000000000004</v>
      </c>
      <c r="J1032" s="19">
        <v>11.25</v>
      </c>
      <c r="K1032" s="19">
        <v>27.538166836554922</v>
      </c>
      <c r="L1032" s="19">
        <v>115.67601060232113</v>
      </c>
      <c r="M1032" s="19">
        <v>117.23619822926828</v>
      </c>
      <c r="N1032" s="19">
        <v>126.12201117263979</v>
      </c>
      <c r="O1032" s="19">
        <v>127.78648401348367</v>
      </c>
      <c r="P1032" s="19">
        <v>144.27721945942733</v>
      </c>
      <c r="Q1032" s="19">
        <v>150.38476560036736</v>
      </c>
      <c r="R1032" s="19">
        <v>148.36200198266141</v>
      </c>
      <c r="S1032" s="19">
        <v>146.40548042735523</v>
      </c>
      <c r="T1032" s="19">
        <v>144.51422792347151</v>
      </c>
      <c r="U1032" s="19">
        <v>150.83581266731963</v>
      </c>
      <c r="V1032" s="19">
        <v>149.93230851878602</v>
      </c>
      <c r="W1032" s="19">
        <v>149.09378958743238</v>
      </c>
      <c r="X1032" s="19">
        <v>148.31558176251008</v>
      </c>
      <c r="Y1032" s="19">
        <v>147.0345583191864</v>
      </c>
      <c r="Z1032" s="19">
        <v>146.35436769542343</v>
      </c>
      <c r="AA1032" s="19">
        <v>145.72129575065497</v>
      </c>
      <c r="AB1032" s="19">
        <v>145.13126790892687</v>
      </c>
      <c r="AC1032" s="19">
        <v>144.58015809477658</v>
      </c>
      <c r="AD1032" s="19">
        <v>142.87104792158826</v>
      </c>
      <c r="AE1032" s="19">
        <v>142.3888894195843</v>
      </c>
      <c r="AF1032" s="19">
        <v>141.92651559970568</v>
      </c>
      <c r="AG1032" s="19">
        <v>145.06095955987558</v>
      </c>
      <c r="AH1032" s="19">
        <v>33.463834190433744</v>
      </c>
      <c r="AI1032" s="19">
        <v>0</v>
      </c>
      <c r="AJ1032" s="19">
        <v>0</v>
      </c>
      <c r="AK1032" s="19">
        <v>0</v>
      </c>
      <c r="AL1032" s="19">
        <v>0</v>
      </c>
      <c r="AM1032" s="19">
        <v>0</v>
      </c>
      <c r="AN1032" s="19">
        <v>0</v>
      </c>
      <c r="AO1032" s="19">
        <v>0</v>
      </c>
      <c r="AP1032" s="19">
        <v>0</v>
      </c>
      <c r="AQ1032" s="19">
        <v>0</v>
      </c>
      <c r="AR1032" s="19">
        <v>0</v>
      </c>
      <c r="AS1032" s="19">
        <v>0</v>
      </c>
      <c r="AT1032" s="19">
        <v>0</v>
      </c>
      <c r="AU1032" s="19">
        <v>0</v>
      </c>
      <c r="AV1032" s="19">
        <v>0</v>
      </c>
      <c r="AW1032" s="19">
        <v>0</v>
      </c>
      <c r="AX1032" s="19">
        <v>0</v>
      </c>
      <c r="AY1032" s="19">
        <v>0</v>
      </c>
      <c r="AZ1032" s="19">
        <v>0</v>
      </c>
      <c r="BA1032" s="19">
        <v>0</v>
      </c>
      <c r="BB1032" s="19">
        <v>0</v>
      </c>
      <c r="BC1032" s="19">
        <v>0</v>
      </c>
      <c r="BD1032" s="19">
        <v>0</v>
      </c>
    </row>
    <row r="1033" spans="1:56" ht="15" customHeight="1">
      <c r="C1033" s="21">
        <f t="shared" si="728"/>
        <v>2998.9701554304424</v>
      </c>
      <c r="D1033" s="95" t="str">
        <f>Inputs!J15</f>
        <v>Philippines FTAA</v>
      </c>
      <c r="E1033" s="11" t="s">
        <v>289</v>
      </c>
      <c r="F1033" s="99">
        <f t="shared" si="729"/>
        <v>4</v>
      </c>
      <c r="G1033" s="19">
        <v>0</v>
      </c>
      <c r="H1033" s="19">
        <v>0</v>
      </c>
      <c r="I1033" s="19">
        <v>0</v>
      </c>
      <c r="J1033" s="19">
        <v>0</v>
      </c>
      <c r="K1033" s="19">
        <v>16.800000000000004</v>
      </c>
      <c r="L1033" s="19">
        <v>39.20000000000001</v>
      </c>
      <c r="M1033" s="19">
        <v>133.40543865215537</v>
      </c>
      <c r="N1033" s="19">
        <v>134.64195336742176</v>
      </c>
      <c r="O1033" s="19">
        <v>135.83134968991266</v>
      </c>
      <c r="P1033" s="19">
        <v>136.97500000000002</v>
      </c>
      <c r="Q1033" s="19">
        <v>136.97500000000002</v>
      </c>
      <c r="R1033" s="19">
        <v>136.97499999999999</v>
      </c>
      <c r="S1033" s="19">
        <v>136.97500000000005</v>
      </c>
      <c r="T1033" s="19">
        <v>136.97500000000002</v>
      </c>
      <c r="U1033" s="19">
        <v>136.97499999999999</v>
      </c>
      <c r="V1033" s="19">
        <v>137.69499264564536</v>
      </c>
      <c r="W1033" s="19">
        <v>137.69499264564536</v>
      </c>
      <c r="X1033" s="19">
        <v>137.69499264564539</v>
      </c>
      <c r="Y1033" s="19">
        <v>137.05067446382719</v>
      </c>
      <c r="Z1033" s="19">
        <v>137.04917555147333</v>
      </c>
      <c r="AA1033" s="19">
        <v>137.04580356387791</v>
      </c>
      <c r="AB1033" s="19">
        <v>137.04000334979494</v>
      </c>
      <c r="AC1033" s="19">
        <v>137.03090355270635</v>
      </c>
      <c r="AD1033" s="19">
        <v>136.02477737426298</v>
      </c>
      <c r="AE1033" s="19">
        <v>136.00332816389795</v>
      </c>
      <c r="AF1033" s="19">
        <v>135.96799373043737</v>
      </c>
      <c r="AG1033" s="19">
        <v>144.75774762138957</v>
      </c>
      <c r="AH1033" s="19">
        <v>66.186028412348548</v>
      </c>
      <c r="AI1033" s="19">
        <v>0</v>
      </c>
      <c r="AJ1033" s="19">
        <v>0</v>
      </c>
      <c r="AK1033" s="19">
        <v>0</v>
      </c>
      <c r="AL1033" s="19">
        <v>0</v>
      </c>
      <c r="AM1033" s="19">
        <v>0</v>
      </c>
      <c r="AN1033" s="19">
        <v>0</v>
      </c>
      <c r="AO1033" s="19">
        <v>0</v>
      </c>
      <c r="AP1033" s="19">
        <v>0</v>
      </c>
      <c r="AQ1033" s="19">
        <v>0</v>
      </c>
      <c r="AR1033" s="19">
        <v>0</v>
      </c>
      <c r="AS1033" s="19">
        <v>0</v>
      </c>
      <c r="AT1033" s="19">
        <v>0</v>
      </c>
      <c r="AU1033" s="19">
        <v>0</v>
      </c>
      <c r="AV1033" s="19">
        <v>0</v>
      </c>
      <c r="AW1033" s="19">
        <v>0</v>
      </c>
      <c r="AX1033" s="19">
        <v>0</v>
      </c>
      <c r="AY1033" s="19">
        <v>0</v>
      </c>
      <c r="AZ1033" s="19">
        <v>0</v>
      </c>
      <c r="BA1033" s="19">
        <v>0</v>
      </c>
      <c r="BB1033" s="19">
        <v>0</v>
      </c>
      <c r="BC1033" s="19">
        <v>0</v>
      </c>
      <c r="BD1033" s="19">
        <v>0</v>
      </c>
    </row>
    <row r="1034" spans="1:56" ht="15" customHeight="1">
      <c r="C1034" s="21">
        <f t="shared" si="728"/>
        <v>2902.8177616432886</v>
      </c>
      <c r="D1034" s="95" t="str">
        <f>Inputs!K15</f>
        <v>Burkina Faso</v>
      </c>
      <c r="E1034" s="11" t="s">
        <v>289</v>
      </c>
      <c r="F1034" s="99">
        <f t="shared" si="729"/>
        <v>5</v>
      </c>
      <c r="G1034" s="19">
        <v>0</v>
      </c>
      <c r="H1034" s="19">
        <v>0</v>
      </c>
      <c r="I1034" s="19">
        <v>1.4062500000000002</v>
      </c>
      <c r="J1034" s="19">
        <v>5.625</v>
      </c>
      <c r="K1034" s="19">
        <v>23.523378027681659</v>
      </c>
      <c r="L1034" s="19">
        <v>50.672750238827867</v>
      </c>
      <c r="M1034" s="19">
        <v>113.37166395832324</v>
      </c>
      <c r="N1034" s="19">
        <v>124.1812050224748</v>
      </c>
      <c r="O1034" s="19">
        <v>124.89439798491757</v>
      </c>
      <c r="P1034" s="19">
        <v>131.05007837784606</v>
      </c>
      <c r="Q1034" s="19">
        <v>130.69713798004918</v>
      </c>
      <c r="R1034" s="19">
        <v>131.25034454470907</v>
      </c>
      <c r="S1034" s="19">
        <v>130.911109252709</v>
      </c>
      <c r="T1034" s="19">
        <v>135.16753440522689</v>
      </c>
      <c r="U1034" s="19">
        <v>135.16753440522686</v>
      </c>
      <c r="V1034" s="19">
        <v>135.16753440522686</v>
      </c>
      <c r="W1034" s="19">
        <v>135.16753440522689</v>
      </c>
      <c r="X1034" s="19">
        <v>135.16753440522689</v>
      </c>
      <c r="Y1034" s="19">
        <v>134.54981423477236</v>
      </c>
      <c r="Z1034" s="19">
        <v>134.54837719881581</v>
      </c>
      <c r="AA1034" s="19">
        <v>134.54514440978241</v>
      </c>
      <c r="AB1034" s="19">
        <v>134.53958363354928</v>
      </c>
      <c r="AC1034" s="19">
        <v>134.53085948394855</v>
      </c>
      <c r="AD1034" s="19">
        <v>133.56626706364307</v>
      </c>
      <c r="AE1034" s="19">
        <v>133.54570329521826</v>
      </c>
      <c r="AF1034" s="19">
        <v>133.51182749770689</v>
      </c>
      <c r="AG1034" s="19">
        <v>138.20282826121218</v>
      </c>
      <c r="AH1034" s="19">
        <v>47.856369150967119</v>
      </c>
      <c r="AI1034" s="19">
        <v>0</v>
      </c>
      <c r="AJ1034" s="19">
        <v>0</v>
      </c>
      <c r="AK1034" s="19">
        <v>0</v>
      </c>
      <c r="AL1034" s="19">
        <v>0</v>
      </c>
      <c r="AM1034" s="19">
        <v>0</v>
      </c>
      <c r="AN1034" s="19">
        <v>0</v>
      </c>
      <c r="AO1034" s="19">
        <v>0</v>
      </c>
      <c r="AP1034" s="19">
        <v>0</v>
      </c>
      <c r="AQ1034" s="19">
        <v>0</v>
      </c>
      <c r="AR1034" s="19">
        <v>0</v>
      </c>
      <c r="AS1034" s="19">
        <v>0</v>
      </c>
      <c r="AT1034" s="19">
        <v>0</v>
      </c>
      <c r="AU1034" s="19">
        <v>0</v>
      </c>
      <c r="AV1034" s="19">
        <v>0</v>
      </c>
      <c r="AW1034" s="19">
        <v>0</v>
      </c>
      <c r="AX1034" s="19">
        <v>0</v>
      </c>
      <c r="AY1034" s="19">
        <v>0</v>
      </c>
      <c r="AZ1034" s="19">
        <v>0</v>
      </c>
      <c r="BA1034" s="19">
        <v>0</v>
      </c>
      <c r="BB1034" s="19">
        <v>0</v>
      </c>
      <c r="BC1034" s="19">
        <v>0</v>
      </c>
      <c r="BD1034" s="19">
        <v>0</v>
      </c>
    </row>
    <row r="1035" spans="1:56" ht="15" customHeight="1">
      <c r="C1035" s="21">
        <f t="shared" si="728"/>
        <v>2912.0455367487925</v>
      </c>
      <c r="D1035" s="95" t="str">
        <f>Inputs!L15</f>
        <v>DRC</v>
      </c>
      <c r="E1035" s="11" t="s">
        <v>289</v>
      </c>
      <c r="F1035" s="99">
        <f t="shared" si="729"/>
        <v>6</v>
      </c>
      <c r="G1035" s="19">
        <v>0</v>
      </c>
      <c r="H1035" s="19">
        <v>0</v>
      </c>
      <c r="I1035" s="19">
        <v>2.8125000000000004</v>
      </c>
      <c r="J1035" s="19">
        <v>11.25</v>
      </c>
      <c r="K1035" s="19">
        <v>17.360060045555205</v>
      </c>
      <c r="L1035" s="19">
        <v>96.60092078838457</v>
      </c>
      <c r="M1035" s="19">
        <v>100.33250951103459</v>
      </c>
      <c r="N1035" s="19">
        <v>122.31562258657334</v>
      </c>
      <c r="O1035" s="19">
        <v>123.02111154554537</v>
      </c>
      <c r="P1035" s="19">
        <v>130.3457710023124</v>
      </c>
      <c r="Q1035" s="19">
        <v>129.65580461011018</v>
      </c>
      <c r="R1035" s="19">
        <v>128.97936697069628</v>
      </c>
      <c r="S1035" s="19">
        <v>128.31619281440811</v>
      </c>
      <c r="T1035" s="19">
        <v>127.6660220729491</v>
      </c>
      <c r="U1035" s="19">
        <v>135.82379092141122</v>
      </c>
      <c r="V1035" s="19">
        <v>135.82379092141119</v>
      </c>
      <c r="W1035" s="19">
        <v>135.82379092141122</v>
      </c>
      <c r="X1035" s="19">
        <v>135.82379092141124</v>
      </c>
      <c r="Y1035" s="19">
        <v>135.13492728504758</v>
      </c>
      <c r="Z1035" s="19">
        <v>135.1333247441853</v>
      </c>
      <c r="AA1035" s="19">
        <v>135.12971963152157</v>
      </c>
      <c r="AB1035" s="19">
        <v>135.12351841498347</v>
      </c>
      <c r="AC1035" s="19">
        <v>135.11378949612086</v>
      </c>
      <c r="AD1035" s="19">
        <v>134.03810397694562</v>
      </c>
      <c r="AE1035" s="19">
        <v>134.01517185820964</v>
      </c>
      <c r="AF1035" s="19">
        <v>133.97739455033701</v>
      </c>
      <c r="AG1035" s="19">
        <v>137.76440036153457</v>
      </c>
      <c r="AH1035" s="19">
        <v>34.66414079669245</v>
      </c>
      <c r="AI1035" s="19">
        <v>0</v>
      </c>
      <c r="AJ1035" s="19">
        <v>0</v>
      </c>
      <c r="AK1035" s="19">
        <v>0</v>
      </c>
      <c r="AL1035" s="19">
        <v>0</v>
      </c>
      <c r="AM1035" s="19">
        <v>0</v>
      </c>
      <c r="AN1035" s="19">
        <v>0</v>
      </c>
      <c r="AO1035" s="19">
        <v>0</v>
      </c>
      <c r="AP1035" s="19">
        <v>0</v>
      </c>
      <c r="AQ1035" s="19">
        <v>0</v>
      </c>
      <c r="AR1035" s="19">
        <v>0</v>
      </c>
      <c r="AS1035" s="19">
        <v>0</v>
      </c>
      <c r="AT1035" s="19">
        <v>0</v>
      </c>
      <c r="AU1035" s="19">
        <v>0</v>
      </c>
      <c r="AV1035" s="19">
        <v>0</v>
      </c>
      <c r="AW1035" s="19">
        <v>0</v>
      </c>
      <c r="AX1035" s="19">
        <v>0</v>
      </c>
      <c r="AY1035" s="19">
        <v>0</v>
      </c>
      <c r="AZ1035" s="19">
        <v>0</v>
      </c>
      <c r="BA1035" s="19">
        <v>0</v>
      </c>
      <c r="BB1035" s="19">
        <v>0</v>
      </c>
      <c r="BC1035" s="19">
        <v>0</v>
      </c>
      <c r="BD1035" s="19">
        <v>0</v>
      </c>
    </row>
    <row r="1036" spans="1:56" ht="15" customHeight="1">
      <c r="C1036" s="21">
        <f t="shared" si="728"/>
        <v>3136.3013593713613</v>
      </c>
      <c r="D1036" s="95" t="str">
        <f>Inputs!M15</f>
        <v>Ghana</v>
      </c>
      <c r="E1036" s="11" t="s">
        <v>289</v>
      </c>
      <c r="F1036" s="99">
        <f t="shared" si="729"/>
        <v>7</v>
      </c>
      <c r="G1036" s="19">
        <v>0</v>
      </c>
      <c r="H1036" s="19">
        <v>0</v>
      </c>
      <c r="I1036" s="19">
        <v>3.7500000000000004</v>
      </c>
      <c r="J1036" s="19">
        <v>15.000000000000002</v>
      </c>
      <c r="K1036" s="19">
        <v>19.612923875432525</v>
      </c>
      <c r="L1036" s="19">
        <v>82.193581977609412</v>
      </c>
      <c r="M1036" s="19">
        <v>101.01380021524531</v>
      </c>
      <c r="N1036" s="19">
        <v>118.13060299890176</v>
      </c>
      <c r="O1036" s="19">
        <v>117.67664039637226</v>
      </c>
      <c r="P1036" s="19">
        <v>146.39834678499355</v>
      </c>
      <c r="Q1036" s="19">
        <v>146.39834678499355</v>
      </c>
      <c r="R1036" s="19">
        <v>146.39834678499352</v>
      </c>
      <c r="S1036" s="19">
        <v>146.39834678499355</v>
      </c>
      <c r="T1036" s="19">
        <v>146.39834678499355</v>
      </c>
      <c r="U1036" s="19">
        <v>146.39834678499355</v>
      </c>
      <c r="V1036" s="19">
        <v>146.39834678499355</v>
      </c>
      <c r="W1036" s="19">
        <v>146.39834678499355</v>
      </c>
      <c r="X1036" s="19">
        <v>146.39834678499355</v>
      </c>
      <c r="Y1036" s="19">
        <v>145.66366496681172</v>
      </c>
      <c r="Z1036" s="19">
        <v>145.6619558366265</v>
      </c>
      <c r="AA1036" s="19">
        <v>145.65811093817823</v>
      </c>
      <c r="AB1036" s="19">
        <v>145.65149726197197</v>
      </c>
      <c r="AC1036" s="19">
        <v>145.64112124642753</v>
      </c>
      <c r="AD1036" s="19">
        <v>144.4938889767852</v>
      </c>
      <c r="AE1036" s="19">
        <v>144.46943158086773</v>
      </c>
      <c r="AF1036" s="19">
        <v>144.4291416021712</v>
      </c>
      <c r="AG1036" s="19">
        <v>148.41149248810893</v>
      </c>
      <c r="AH1036" s="19">
        <v>51.258383944909866</v>
      </c>
      <c r="AI1036" s="19">
        <v>0</v>
      </c>
      <c r="AJ1036" s="19">
        <v>0</v>
      </c>
      <c r="AK1036" s="19">
        <v>0</v>
      </c>
      <c r="AL1036" s="19">
        <v>0</v>
      </c>
      <c r="AM1036" s="19">
        <v>0</v>
      </c>
      <c r="AN1036" s="19">
        <v>0</v>
      </c>
      <c r="AO1036" s="19">
        <v>0</v>
      </c>
      <c r="AP1036" s="19">
        <v>0</v>
      </c>
      <c r="AQ1036" s="19">
        <v>0</v>
      </c>
      <c r="AR1036" s="19">
        <v>0</v>
      </c>
      <c r="AS1036" s="19">
        <v>0</v>
      </c>
      <c r="AT1036" s="19">
        <v>0</v>
      </c>
      <c r="AU1036" s="19">
        <v>0</v>
      </c>
      <c r="AV1036" s="19">
        <v>0</v>
      </c>
      <c r="AW1036" s="19">
        <v>0</v>
      </c>
      <c r="AX1036" s="19">
        <v>0</v>
      </c>
      <c r="AY1036" s="19">
        <v>0</v>
      </c>
      <c r="AZ1036" s="19">
        <v>0</v>
      </c>
      <c r="BA1036" s="19">
        <v>0</v>
      </c>
      <c r="BB1036" s="19">
        <v>0</v>
      </c>
      <c r="BC1036" s="19">
        <v>0</v>
      </c>
      <c r="BD1036" s="19">
        <v>0</v>
      </c>
    </row>
    <row r="1037" spans="1:56" ht="15" customHeight="1">
      <c r="C1037" s="21">
        <f t="shared" si="728"/>
        <v>3124.5972030890207</v>
      </c>
      <c r="D1037" s="95" t="str">
        <f>Inputs!N15</f>
        <v>South Africa (gold)</v>
      </c>
      <c r="E1037" s="11" t="s">
        <v>289</v>
      </c>
      <c r="F1037" s="99">
        <f t="shared" si="729"/>
        <v>8</v>
      </c>
      <c r="G1037" s="19">
        <v>0</v>
      </c>
      <c r="H1037" s="19">
        <v>0</v>
      </c>
      <c r="I1037" s="19">
        <v>3.2625000000000002</v>
      </c>
      <c r="J1037" s="19">
        <v>13.05</v>
      </c>
      <c r="K1037" s="19">
        <v>10.038607266435987</v>
      </c>
      <c r="L1037" s="19">
        <v>47.801587398511884</v>
      </c>
      <c r="M1037" s="19">
        <v>82.069659750256861</v>
      </c>
      <c r="N1037" s="19">
        <v>136.81183340063433</v>
      </c>
      <c r="O1037" s="19">
        <v>137.91225372900038</v>
      </c>
      <c r="P1037" s="19">
        <v>145.98070666666669</v>
      </c>
      <c r="Q1037" s="19">
        <v>145.98070666666669</v>
      </c>
      <c r="R1037" s="19">
        <v>145.98070666666666</v>
      </c>
      <c r="S1037" s="19">
        <v>145.98070666666669</v>
      </c>
      <c r="T1037" s="19">
        <v>145.98070666666669</v>
      </c>
      <c r="U1037" s="19">
        <v>145.98070666666669</v>
      </c>
      <c r="V1037" s="19">
        <v>145.98070666666669</v>
      </c>
      <c r="W1037" s="19">
        <v>145.98070666666669</v>
      </c>
      <c r="X1037" s="19">
        <v>145.98070666666672</v>
      </c>
      <c r="Y1037" s="19">
        <v>145.22979757575763</v>
      </c>
      <c r="Z1037" s="19">
        <v>145.22805069518719</v>
      </c>
      <c r="AA1037" s="19">
        <v>145.22412087260685</v>
      </c>
      <c r="AB1037" s="19">
        <v>145.21736111693482</v>
      </c>
      <c r="AC1037" s="19">
        <v>145.20675592131556</v>
      </c>
      <c r="AD1037" s="19">
        <v>143.92377084421611</v>
      </c>
      <c r="AE1037" s="19">
        <v>143.89877324596353</v>
      </c>
      <c r="AF1037" s="19">
        <v>143.85759336301689</v>
      </c>
      <c r="AG1037" s="19">
        <v>152.80888708792509</v>
      </c>
      <c r="AH1037" s="19">
        <v>69.229290821257024</v>
      </c>
      <c r="AI1037" s="19">
        <v>0</v>
      </c>
      <c r="AJ1037" s="19">
        <v>0</v>
      </c>
      <c r="AK1037" s="19">
        <v>0</v>
      </c>
      <c r="AL1037" s="19">
        <v>0</v>
      </c>
      <c r="AM1037" s="19">
        <v>0</v>
      </c>
      <c r="AN1037" s="19">
        <v>0</v>
      </c>
      <c r="AO1037" s="19">
        <v>0</v>
      </c>
      <c r="AP1037" s="19">
        <v>0</v>
      </c>
      <c r="AQ1037" s="19">
        <v>0</v>
      </c>
      <c r="AR1037" s="19">
        <v>0</v>
      </c>
      <c r="AS1037" s="19">
        <v>0</v>
      </c>
      <c r="AT1037" s="19">
        <v>0</v>
      </c>
      <c r="AU1037" s="19">
        <v>0</v>
      </c>
      <c r="AV1037" s="19">
        <v>0</v>
      </c>
      <c r="AW1037" s="19">
        <v>0</v>
      </c>
      <c r="AX1037" s="19">
        <v>0</v>
      </c>
      <c r="AY1037" s="19">
        <v>0</v>
      </c>
      <c r="AZ1037" s="19">
        <v>0</v>
      </c>
      <c r="BA1037" s="19">
        <v>0</v>
      </c>
      <c r="BB1037" s="19">
        <v>0</v>
      </c>
      <c r="BC1037" s="19">
        <v>0</v>
      </c>
      <c r="BD1037" s="19">
        <v>0</v>
      </c>
    </row>
    <row r="1038" spans="1:56" ht="15" customHeight="1">
      <c r="C1038" s="21">
        <f t="shared" si="728"/>
        <v>2816.7677885992357</v>
      </c>
      <c r="D1038" s="95" t="str">
        <f>Inputs!O15</f>
        <v>Indonesia</v>
      </c>
      <c r="E1038" s="11" t="s">
        <v>289</v>
      </c>
      <c r="F1038" s="99">
        <f t="shared" si="729"/>
        <v>9</v>
      </c>
      <c r="G1038" s="19">
        <v>0</v>
      </c>
      <c r="H1038" s="19">
        <v>0</v>
      </c>
      <c r="I1038" s="19">
        <v>3.8812500000000001</v>
      </c>
      <c r="J1038" s="19">
        <v>15.525000000000002</v>
      </c>
      <c r="K1038" s="19">
        <v>24.266500982310994</v>
      </c>
      <c r="L1038" s="19">
        <v>94.109358614192516</v>
      </c>
      <c r="M1038" s="19">
        <v>97.829941681636512</v>
      </c>
      <c r="N1038" s="19">
        <v>121.34483031740081</v>
      </c>
      <c r="O1038" s="19">
        <v>121.71322497602486</v>
      </c>
      <c r="P1038" s="19">
        <v>129.07084516579857</v>
      </c>
      <c r="Q1038" s="19">
        <v>128.71592418215545</v>
      </c>
      <c r="R1038" s="19">
        <v>128.36796243348573</v>
      </c>
      <c r="S1038" s="19">
        <v>128.0268234642017</v>
      </c>
      <c r="T1038" s="19">
        <v>127.6923734943154</v>
      </c>
      <c r="U1038" s="19">
        <v>127.36448136697589</v>
      </c>
      <c r="V1038" s="19">
        <v>127.04301849703518</v>
      </c>
      <c r="W1038" s="19">
        <v>126.72785882062273</v>
      </c>
      <c r="X1038" s="19">
        <v>126.41887874570857</v>
      </c>
      <c r="Y1038" s="19">
        <v>125.47959346727222</v>
      </c>
      <c r="Z1038" s="19">
        <v>125.18113105797704</v>
      </c>
      <c r="AA1038" s="19">
        <v>128.90406884796738</v>
      </c>
      <c r="AB1038" s="19">
        <v>128.89834024146566</v>
      </c>
      <c r="AC1038" s="19">
        <v>128.88935278755102</v>
      </c>
      <c r="AD1038" s="19">
        <v>127.84052291995263</v>
      </c>
      <c r="AE1038" s="19">
        <v>127.81933851465382</v>
      </c>
      <c r="AF1038" s="19">
        <v>127.78444030876685</v>
      </c>
      <c r="AG1038" s="19">
        <v>131.34531634682463</v>
      </c>
      <c r="AH1038" s="19">
        <v>36.527411364939425</v>
      </c>
      <c r="AI1038" s="19">
        <v>0</v>
      </c>
      <c r="AJ1038" s="19">
        <v>0</v>
      </c>
      <c r="AK1038" s="19">
        <v>0</v>
      </c>
      <c r="AL1038" s="19">
        <v>0</v>
      </c>
      <c r="AM1038" s="19">
        <v>0</v>
      </c>
      <c r="AN1038" s="19">
        <v>0</v>
      </c>
      <c r="AO1038" s="19">
        <v>0</v>
      </c>
      <c r="AP1038" s="19">
        <v>0</v>
      </c>
      <c r="AQ1038" s="19">
        <v>0</v>
      </c>
      <c r="AR1038" s="19">
        <v>0</v>
      </c>
      <c r="AS1038" s="19">
        <v>0</v>
      </c>
      <c r="AT1038" s="19">
        <v>0</v>
      </c>
      <c r="AU1038" s="19">
        <v>0</v>
      </c>
      <c r="AV1038" s="19">
        <v>0</v>
      </c>
      <c r="AW1038" s="19">
        <v>0</v>
      </c>
      <c r="AX1038" s="19">
        <v>0</v>
      </c>
      <c r="AY1038" s="19">
        <v>0</v>
      </c>
      <c r="AZ1038" s="19">
        <v>0</v>
      </c>
      <c r="BA1038" s="19">
        <v>0</v>
      </c>
      <c r="BB1038" s="19">
        <v>0</v>
      </c>
      <c r="BC1038" s="19">
        <v>0</v>
      </c>
      <c r="BD1038" s="19">
        <v>0</v>
      </c>
    </row>
    <row r="1039" spans="1:56" ht="15" customHeight="1">
      <c r="C1039" s="21">
        <f t="shared" si="728"/>
        <v>2318.0929347000206</v>
      </c>
      <c r="D1039" s="95" t="str">
        <f>Inputs!P15</f>
        <v>Peru</v>
      </c>
      <c r="E1039" s="11" t="s">
        <v>289</v>
      </c>
      <c r="F1039" s="99">
        <f t="shared" si="729"/>
        <v>10</v>
      </c>
      <c r="G1039" s="19">
        <v>0</v>
      </c>
      <c r="H1039" s="19">
        <v>0</v>
      </c>
      <c r="I1039" s="19">
        <v>0</v>
      </c>
      <c r="J1039" s="19">
        <v>0</v>
      </c>
      <c r="K1039" s="19">
        <v>19.304138172535282</v>
      </c>
      <c r="L1039" s="19">
        <v>93.038130970186828</v>
      </c>
      <c r="M1039" s="19">
        <v>94.906329232881077</v>
      </c>
      <c r="N1039" s="19">
        <v>99.746018138423835</v>
      </c>
      <c r="O1039" s="19">
        <v>99.787494905860768</v>
      </c>
      <c r="P1039" s="19">
        <v>101.56435692422038</v>
      </c>
      <c r="Q1039" s="19">
        <v>100.76862407889253</v>
      </c>
      <c r="R1039" s="19">
        <v>99.988493838374993</v>
      </c>
      <c r="S1039" s="19">
        <v>99.223660269240213</v>
      </c>
      <c r="T1039" s="19">
        <v>98.473823436755097</v>
      </c>
      <c r="U1039" s="19">
        <v>107.88211446466252</v>
      </c>
      <c r="V1039" s="19">
        <v>107.88211446466251</v>
      </c>
      <c r="W1039" s="19">
        <v>107.88211446466252</v>
      </c>
      <c r="X1039" s="19">
        <v>107.88211446466254</v>
      </c>
      <c r="Y1039" s="19">
        <v>107.35671673738977</v>
      </c>
      <c r="Z1039" s="19">
        <v>107.35549447614322</v>
      </c>
      <c r="AA1039" s="19">
        <v>107.3527448492213</v>
      </c>
      <c r="AB1039" s="19">
        <v>107.3480151684783</v>
      </c>
      <c r="AC1039" s="19">
        <v>107.34059490184003</v>
      </c>
      <c r="AD1039" s="19">
        <v>106.28223863302911</v>
      </c>
      <c r="AE1039" s="19">
        <v>106.26474825840427</v>
      </c>
      <c r="AF1039" s="19">
        <v>106.23593542716887</v>
      </c>
      <c r="AG1039" s="19">
        <v>107.7401905810903</v>
      </c>
      <c r="AH1039" s="19">
        <v>16.486727841234856</v>
      </c>
      <c r="AI1039" s="19">
        <v>0</v>
      </c>
      <c r="AJ1039" s="19">
        <v>0</v>
      </c>
      <c r="AK1039" s="19">
        <v>0</v>
      </c>
      <c r="AL1039" s="19">
        <v>0</v>
      </c>
      <c r="AM1039" s="19">
        <v>0</v>
      </c>
      <c r="AN1039" s="19">
        <v>0</v>
      </c>
      <c r="AO1039" s="19">
        <v>0</v>
      </c>
      <c r="AP1039" s="19">
        <v>0</v>
      </c>
      <c r="AQ1039" s="19">
        <v>0</v>
      </c>
      <c r="AR1039" s="19">
        <v>0</v>
      </c>
      <c r="AS1039" s="19">
        <v>0</v>
      </c>
      <c r="AT1039" s="19">
        <v>0</v>
      </c>
      <c r="AU1039" s="19">
        <v>0</v>
      </c>
      <c r="AV1039" s="19">
        <v>0</v>
      </c>
      <c r="AW1039" s="19">
        <v>0</v>
      </c>
      <c r="AX1039" s="19">
        <v>0</v>
      </c>
      <c r="AY1039" s="19">
        <v>0</v>
      </c>
      <c r="AZ1039" s="19">
        <v>0</v>
      </c>
      <c r="BA1039" s="19">
        <v>0</v>
      </c>
      <c r="BB1039" s="19">
        <v>0</v>
      </c>
      <c r="BC1039" s="19">
        <v>0</v>
      </c>
      <c r="BD1039" s="19">
        <v>0</v>
      </c>
    </row>
    <row r="1040" spans="1:56" ht="15" customHeight="1">
      <c r="C1040" s="21">
        <f t="shared" si="728"/>
        <v>2126.6170306301833</v>
      </c>
      <c r="D1040" s="95" t="str">
        <f>Inputs!Q15</f>
        <v>Western Australia</v>
      </c>
      <c r="E1040" s="11" t="s">
        <v>289</v>
      </c>
      <c r="F1040" s="99">
        <f t="shared" si="729"/>
        <v>11</v>
      </c>
      <c r="G1040" s="19">
        <v>0</v>
      </c>
      <c r="H1040" s="19">
        <v>0</v>
      </c>
      <c r="I1040" s="19">
        <v>2.8125000000000004</v>
      </c>
      <c r="J1040" s="19">
        <v>11.25</v>
      </c>
      <c r="K1040" s="19">
        <v>15.949762467700525</v>
      </c>
      <c r="L1040" s="19">
        <v>92.11174621751816</v>
      </c>
      <c r="M1040" s="19">
        <v>91.992870592093297</v>
      </c>
      <c r="N1040" s="19">
        <v>91.861744319830962</v>
      </c>
      <c r="O1040" s="19">
        <v>91.718893522070232</v>
      </c>
      <c r="P1040" s="19">
        <v>91.564828397916529</v>
      </c>
      <c r="Q1040" s="19">
        <v>90.713018037173072</v>
      </c>
      <c r="R1040" s="19">
        <v>89.877909840365731</v>
      </c>
      <c r="S1040" s="19">
        <v>89.059176314084056</v>
      </c>
      <c r="T1040" s="19">
        <v>88.256496386356929</v>
      </c>
      <c r="U1040" s="19">
        <v>98.327815952359487</v>
      </c>
      <c r="V1040" s="19">
        <v>98.327815952359501</v>
      </c>
      <c r="W1040" s="19">
        <v>98.327815952359515</v>
      </c>
      <c r="X1040" s="19">
        <v>98.327815952359515</v>
      </c>
      <c r="Y1040" s="19">
        <v>97.850543225086795</v>
      </c>
      <c r="Z1040" s="19">
        <v>97.849432919639483</v>
      </c>
      <c r="AA1040" s="19">
        <v>97.846935151050289</v>
      </c>
      <c r="AB1040" s="19">
        <v>97.842638696174006</v>
      </c>
      <c r="AC1040" s="19">
        <v>97.835898105738011</v>
      </c>
      <c r="AD1040" s="19">
        <v>97.090619455039231</v>
      </c>
      <c r="AE1040" s="19">
        <v>97.074731151065123</v>
      </c>
      <c r="AF1040" s="19">
        <v>97.048557496649906</v>
      </c>
      <c r="AG1040" s="19">
        <v>97.07246452519324</v>
      </c>
      <c r="AH1040" s="19">
        <v>8.625</v>
      </c>
      <c r="AI1040" s="19">
        <v>0</v>
      </c>
      <c r="AJ1040" s="19">
        <v>0</v>
      </c>
      <c r="AK1040" s="19">
        <v>0</v>
      </c>
      <c r="AL1040" s="19">
        <v>0</v>
      </c>
      <c r="AM1040" s="19">
        <v>0</v>
      </c>
      <c r="AN1040" s="19">
        <v>0</v>
      </c>
      <c r="AO1040" s="19">
        <v>0</v>
      </c>
      <c r="AP1040" s="19">
        <v>0</v>
      </c>
      <c r="AQ1040" s="19">
        <v>0</v>
      </c>
      <c r="AR1040" s="19">
        <v>0</v>
      </c>
      <c r="AS1040" s="19">
        <v>0</v>
      </c>
      <c r="AT1040" s="19">
        <v>0</v>
      </c>
      <c r="AU1040" s="19">
        <v>0</v>
      </c>
      <c r="AV1040" s="19">
        <v>0</v>
      </c>
      <c r="AW1040" s="19">
        <v>0</v>
      </c>
      <c r="AX1040" s="19">
        <v>0</v>
      </c>
      <c r="AY1040" s="19">
        <v>0</v>
      </c>
      <c r="AZ1040" s="19">
        <v>0</v>
      </c>
      <c r="BA1040" s="19">
        <v>0</v>
      </c>
      <c r="BB1040" s="19">
        <v>0</v>
      </c>
      <c r="BC1040" s="19">
        <v>0</v>
      </c>
      <c r="BD1040" s="19">
        <v>0</v>
      </c>
    </row>
    <row r="1041" spans="3:56" ht="15" customHeight="1">
      <c r="C1041" s="19"/>
      <c r="F1041" s="61"/>
      <c r="G1041" s="19"/>
      <c r="H1041" s="19"/>
      <c r="I1041" s="19"/>
      <c r="J1041" s="19"/>
      <c r="K1041" s="19"/>
      <c r="L1041" s="19"/>
      <c r="M1041" s="19"/>
      <c r="N1041" s="19"/>
      <c r="O1041" s="19"/>
      <c r="P1041" s="19"/>
      <c r="Q1041" s="19"/>
      <c r="R1041" s="19"/>
      <c r="S1041" s="19"/>
    </row>
    <row r="1042" spans="3:56" ht="15" customHeight="1">
      <c r="C1042" s="21"/>
      <c r="D1042" s="463"/>
      <c r="E1042" s="463"/>
      <c r="F1042" s="557"/>
      <c r="G1042" s="558" t="s">
        <v>734</v>
      </c>
      <c r="H1042" s="559" t="s">
        <v>735</v>
      </c>
      <c r="I1042" s="559" t="s">
        <v>736</v>
      </c>
      <c r="J1042" s="559" t="s">
        <v>737</v>
      </c>
      <c r="K1042" s="559" t="s">
        <v>738</v>
      </c>
      <c r="L1042" s="559" t="s">
        <v>739</v>
      </c>
      <c r="M1042" s="559" t="s">
        <v>740</v>
      </c>
      <c r="N1042" s="559" t="s">
        <v>741</v>
      </c>
      <c r="O1042" s="559" t="s">
        <v>742</v>
      </c>
      <c r="P1042" s="559" t="s">
        <v>743</v>
      </c>
      <c r="Q1042" s="559"/>
      <c r="R1042" s="559"/>
      <c r="S1042" s="544"/>
      <c r="T1042" s="544"/>
      <c r="U1042" s="544"/>
      <c r="V1042" s="544"/>
      <c r="W1042" s="544"/>
      <c r="X1042" s="544"/>
      <c r="Y1042" s="544"/>
      <c r="Z1042" s="544"/>
      <c r="AA1042" s="544"/>
      <c r="AB1042" s="544"/>
      <c r="AC1042" s="544"/>
      <c r="AD1042" s="544"/>
      <c r="AE1042" s="544"/>
      <c r="AF1042" s="544"/>
      <c r="AG1042" s="544"/>
      <c r="AH1042" s="544"/>
      <c r="AI1042" s="544"/>
      <c r="AJ1042" s="544"/>
      <c r="AK1042" s="544"/>
      <c r="AL1042" s="544"/>
      <c r="AM1042" s="544"/>
      <c r="AN1042" s="544"/>
      <c r="AO1042" s="544"/>
      <c r="AP1042" s="544"/>
      <c r="AQ1042" s="544"/>
      <c r="AR1042" s="544"/>
      <c r="AS1042" s="544"/>
      <c r="AT1042" s="544"/>
      <c r="AU1042" s="544"/>
      <c r="AV1042" s="544"/>
      <c r="AW1042" s="544"/>
      <c r="AX1042" s="544"/>
      <c r="AY1042" s="544"/>
      <c r="AZ1042" s="544"/>
      <c r="BA1042" s="544"/>
      <c r="BB1042" s="544"/>
      <c r="BC1042" s="544"/>
      <c r="BD1042" s="544"/>
    </row>
    <row r="1043" spans="3:56" ht="15" customHeight="1">
      <c r="C1043" s="21"/>
      <c r="D1043" s="273"/>
      <c r="E1043" s="273"/>
      <c r="F1043" s="288"/>
      <c r="G1043" s="289"/>
      <c r="H1043" s="290"/>
      <c r="I1043" s="290"/>
      <c r="J1043" s="290"/>
      <c r="K1043" s="290"/>
      <c r="L1043" s="290"/>
      <c r="M1043" s="290"/>
      <c r="N1043" s="290"/>
      <c r="O1043" s="290"/>
      <c r="P1043" s="290"/>
      <c r="Q1043" s="290"/>
      <c r="R1043" s="290"/>
      <c r="S1043" s="291"/>
      <c r="T1043" s="291"/>
      <c r="U1043" s="291"/>
      <c r="V1043" s="291"/>
      <c r="W1043" s="291"/>
      <c r="X1043" s="291"/>
      <c r="Y1043" s="291"/>
      <c r="Z1043" s="291"/>
      <c r="AA1043" s="291"/>
      <c r="AB1043" s="291"/>
      <c r="AC1043" s="291"/>
      <c r="AD1043" s="291"/>
      <c r="AE1043" s="291"/>
      <c r="AF1043" s="291"/>
      <c r="AG1043" s="291"/>
      <c r="AH1043" s="291"/>
      <c r="AI1043" s="291"/>
      <c r="AJ1043" s="291"/>
      <c r="AK1043" s="291"/>
      <c r="AL1043" s="291"/>
      <c r="AM1043" s="291"/>
      <c r="AN1043" s="291"/>
      <c r="AO1043" s="291"/>
      <c r="AP1043" s="291"/>
      <c r="AQ1043" s="291"/>
      <c r="AR1043" s="291"/>
      <c r="AS1043" s="291"/>
      <c r="AT1043" s="291"/>
      <c r="AU1043" s="291"/>
      <c r="AV1043" s="291"/>
      <c r="AW1043" s="291"/>
      <c r="AX1043" s="291"/>
      <c r="AY1043" s="291"/>
      <c r="AZ1043" s="291"/>
      <c r="BA1043" s="291"/>
      <c r="BB1043" s="291"/>
      <c r="BC1043" s="291"/>
      <c r="BD1043" s="291"/>
    </row>
    <row r="1044" spans="3:56" ht="15" customHeight="1">
      <c r="C1044" s="21">
        <f t="shared" ref="C1044:C1054" si="730">SUM(G1044:BD1044)</f>
        <v>3329.1199356780548</v>
      </c>
      <c r="D1044" s="79" t="str">
        <f>D1030</f>
        <v>Tanzania w/o sharing</v>
      </c>
      <c r="E1044" s="79" t="s">
        <v>289</v>
      </c>
      <c r="F1044" s="80"/>
      <c r="G1044" s="19">
        <f>SUM(G1030:K1030)</f>
        <v>38.687404844290654</v>
      </c>
      <c r="H1044" s="19">
        <f>SUM(L1030:P1030)</f>
        <v>600.26749189537077</v>
      </c>
      <c r="I1044" s="19">
        <f>SUM(Q1030:U1030)</f>
        <v>775.70769524562695</v>
      </c>
      <c r="J1044" s="19">
        <f>SUM(V1030:Z1030)</f>
        <v>774.20795280627829</v>
      </c>
      <c r="K1044" s="19">
        <f>SUM(AA1030:AE1030)</f>
        <v>769.51156360880793</v>
      </c>
      <c r="L1044" s="19">
        <f>SUM(AF1030:AJ1030)</f>
        <v>370.73782727767997</v>
      </c>
      <c r="M1044" s="19">
        <f>SUM(AK1030:AO1030)</f>
        <v>0</v>
      </c>
      <c r="N1044" s="19">
        <f>SUM(AP1030:AT1030)</f>
        <v>0</v>
      </c>
      <c r="O1044" s="19">
        <f>SUM(AU1030:AY1030)</f>
        <v>0</v>
      </c>
      <c r="P1044" s="19">
        <f>SUM(AZ1030:BD1030)</f>
        <v>0</v>
      </c>
      <c r="Q1044" s="19"/>
      <c r="R1044" s="19"/>
      <c r="S1044" s="19"/>
      <c r="T1044" s="19"/>
      <c r="U1044" s="19"/>
      <c r="V1044" s="19"/>
      <c r="W1044" s="19"/>
      <c r="X1044" s="19"/>
      <c r="Y1044" s="19"/>
      <c r="Z1044" s="19"/>
      <c r="AA1044" s="19"/>
      <c r="AB1044" s="19"/>
      <c r="AC1044" s="19"/>
      <c r="AD1044" s="19"/>
      <c r="AE1044" s="19"/>
      <c r="AF1044" s="19"/>
      <c r="AG1044" s="19"/>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row>
    <row r="1045" spans="3:56" ht="15" customHeight="1">
      <c r="C1045" s="21">
        <f t="shared" si="730"/>
        <v>2898.4197466983314</v>
      </c>
      <c r="D1045" s="79" t="str">
        <f t="shared" ref="D1045:D1054" si="731">D1031</f>
        <v>Tanzania w 50/50 sharing</v>
      </c>
      <c r="E1045" s="11" t="s">
        <v>289</v>
      </c>
      <c r="F1045" s="99"/>
      <c r="G1045" s="19">
        <f t="shared" ref="G1045:G1054" si="732">SUM(G1031:K1031)</f>
        <v>47.35287197231834</v>
      </c>
      <c r="H1045" s="19">
        <f t="shared" ref="H1045:H1054" si="733">SUM(L1031:P1031)</f>
        <v>470.79701975935421</v>
      </c>
      <c r="I1045" s="19">
        <f t="shared" ref="I1045:I1054" si="734">SUM(Q1031:U1031)</f>
        <v>686.65603324011045</v>
      </c>
      <c r="J1045" s="19">
        <f t="shared" ref="J1045:J1054" si="735">SUM(V1031:Z1031)</f>
        <v>685.11074712874756</v>
      </c>
      <c r="K1045" s="19">
        <f t="shared" ref="K1045:K1054" si="736">SUM(AA1031:AE1031)</f>
        <v>680.1570655945419</v>
      </c>
      <c r="L1045" s="19">
        <f t="shared" ref="L1045:L1054" si="737">SUM(AF1031:AJ1031)</f>
        <v>328.34600900325921</v>
      </c>
      <c r="M1045" s="19">
        <f t="shared" ref="M1045:M1054" si="738">SUM(AK1031:AO1031)</f>
        <v>0</v>
      </c>
      <c r="N1045" s="19">
        <f t="shared" ref="N1045:N1054" si="739">SUM(AP1031:AT1031)</f>
        <v>0</v>
      </c>
      <c r="O1045" s="19">
        <f t="shared" ref="O1045:O1054" si="740">SUM(AU1031:AY1031)</f>
        <v>0</v>
      </c>
      <c r="P1045" s="19">
        <f t="shared" ref="P1045:P1054" si="741">SUM(AZ1031:BD1031)</f>
        <v>0</v>
      </c>
      <c r="Q1045" s="19"/>
      <c r="R1045" s="19"/>
      <c r="S1045" s="19"/>
      <c r="T1045" s="19"/>
      <c r="U1045" s="19"/>
      <c r="V1045" s="19"/>
      <c r="W1045" s="19"/>
      <c r="X1045" s="19"/>
      <c r="Y1045" s="19"/>
      <c r="Z1045" s="19"/>
      <c r="AA1045" s="19"/>
      <c r="AB1045" s="19"/>
      <c r="AC1045" s="19"/>
      <c r="AD1045" s="19"/>
      <c r="AE1045" s="19"/>
      <c r="AF1045" s="19"/>
      <c r="AG1045" s="19"/>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row>
    <row r="1046" spans="3:56" ht="15" customHeight="1">
      <c r="C1046" s="21">
        <f t="shared" si="730"/>
        <v>3195.0754532437545</v>
      </c>
      <c r="D1046" s="79" t="str">
        <f t="shared" si="731"/>
        <v>Ecuador</v>
      </c>
      <c r="E1046" s="11" t="s">
        <v>289</v>
      </c>
      <c r="F1046" s="99"/>
      <c r="G1046" s="19">
        <f t="shared" si="732"/>
        <v>41.600666836554922</v>
      </c>
      <c r="H1046" s="19">
        <f t="shared" si="733"/>
        <v>631.09792347714017</v>
      </c>
      <c r="I1046" s="19">
        <f t="shared" si="734"/>
        <v>740.50228860117511</v>
      </c>
      <c r="J1046" s="19">
        <f t="shared" si="735"/>
        <v>740.73060588333828</v>
      </c>
      <c r="K1046" s="19">
        <f t="shared" si="736"/>
        <v>720.69265909553098</v>
      </c>
      <c r="L1046" s="19">
        <f t="shared" si="737"/>
        <v>320.45130935001498</v>
      </c>
      <c r="M1046" s="19">
        <f t="shared" si="738"/>
        <v>0</v>
      </c>
      <c r="N1046" s="19">
        <f t="shared" si="739"/>
        <v>0</v>
      </c>
      <c r="O1046" s="19">
        <f t="shared" si="740"/>
        <v>0</v>
      </c>
      <c r="P1046" s="19">
        <f t="shared" si="741"/>
        <v>0</v>
      </c>
      <c r="Q1046" s="19"/>
      <c r="R1046" s="19"/>
      <c r="S1046" s="19"/>
      <c r="T1046" s="19"/>
      <c r="U1046" s="19"/>
      <c r="V1046" s="19"/>
      <c r="W1046" s="19"/>
      <c r="X1046" s="19"/>
      <c r="Y1046" s="19"/>
      <c r="Z1046" s="19"/>
      <c r="AA1046" s="19"/>
      <c r="AB1046" s="19"/>
      <c r="AC1046" s="19"/>
      <c r="AD1046" s="19"/>
      <c r="AE1046" s="19"/>
      <c r="AF1046" s="19"/>
      <c r="AG1046" s="19"/>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row>
    <row r="1047" spans="3:56" ht="15" customHeight="1">
      <c r="C1047" s="21">
        <f t="shared" si="730"/>
        <v>2998.9701554304424</v>
      </c>
      <c r="D1047" s="79" t="str">
        <f t="shared" si="731"/>
        <v>Philippines FTAA</v>
      </c>
      <c r="E1047" s="11" t="s">
        <v>289</v>
      </c>
      <c r="F1047" s="99"/>
      <c r="G1047" s="19">
        <f t="shared" si="732"/>
        <v>16.800000000000004</v>
      </c>
      <c r="H1047" s="19">
        <f t="shared" si="733"/>
        <v>580.05374170948983</v>
      </c>
      <c r="I1047" s="19">
        <f t="shared" si="734"/>
        <v>684.87500000000011</v>
      </c>
      <c r="J1047" s="19">
        <f t="shared" si="735"/>
        <v>687.18482795223667</v>
      </c>
      <c r="K1047" s="19">
        <f t="shared" si="736"/>
        <v>683.14481600454019</v>
      </c>
      <c r="L1047" s="19">
        <f t="shared" si="737"/>
        <v>346.91176976417552</v>
      </c>
      <c r="M1047" s="19">
        <f t="shared" si="738"/>
        <v>0</v>
      </c>
      <c r="N1047" s="19">
        <f t="shared" si="739"/>
        <v>0</v>
      </c>
      <c r="O1047" s="19">
        <f t="shared" si="740"/>
        <v>0</v>
      </c>
      <c r="P1047" s="19">
        <f t="shared" si="741"/>
        <v>0</v>
      </c>
      <c r="Q1047" s="19"/>
      <c r="R1047" s="19"/>
      <c r="S1047" s="19"/>
      <c r="T1047" s="19"/>
      <c r="U1047" s="19"/>
      <c r="V1047" s="19"/>
      <c r="W1047" s="19"/>
      <c r="X1047" s="19"/>
      <c r="Y1047" s="19"/>
      <c r="Z1047" s="19"/>
      <c r="AA1047" s="19"/>
      <c r="AB1047" s="19"/>
      <c r="AC1047" s="19"/>
      <c r="AD1047" s="19"/>
      <c r="AE1047" s="19"/>
      <c r="AF1047" s="19"/>
      <c r="AG1047" s="19"/>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row>
    <row r="1048" spans="3:56" ht="15" customHeight="1">
      <c r="C1048" s="21">
        <f t="shared" si="730"/>
        <v>2902.817761643289</v>
      </c>
      <c r="D1048" s="79" t="str">
        <f t="shared" si="731"/>
        <v>Burkina Faso</v>
      </c>
      <c r="E1048" s="11" t="s">
        <v>289</v>
      </c>
      <c r="F1048" s="99"/>
      <c r="G1048" s="19">
        <f t="shared" si="732"/>
        <v>30.554628027681659</v>
      </c>
      <c r="H1048" s="19">
        <f t="shared" si="733"/>
        <v>544.17009558238954</v>
      </c>
      <c r="I1048" s="19">
        <f t="shared" si="734"/>
        <v>663.19366058792104</v>
      </c>
      <c r="J1048" s="19">
        <f t="shared" si="735"/>
        <v>674.60079464926889</v>
      </c>
      <c r="K1048" s="19">
        <f t="shared" si="736"/>
        <v>670.72755788614154</v>
      </c>
      <c r="L1048" s="19">
        <f t="shared" si="737"/>
        <v>319.57102490988621</v>
      </c>
      <c r="M1048" s="19">
        <f t="shared" si="738"/>
        <v>0</v>
      </c>
      <c r="N1048" s="19">
        <f t="shared" si="739"/>
        <v>0</v>
      </c>
      <c r="O1048" s="19">
        <f t="shared" si="740"/>
        <v>0</v>
      </c>
      <c r="P1048" s="19">
        <f t="shared" si="741"/>
        <v>0</v>
      </c>
      <c r="Q1048" s="19"/>
      <c r="R1048" s="19"/>
      <c r="S1048" s="19"/>
      <c r="T1048" s="19"/>
      <c r="U1048" s="19"/>
      <c r="V1048" s="19"/>
      <c r="W1048" s="19"/>
      <c r="X1048" s="19"/>
      <c r="Y1048" s="19"/>
      <c r="Z1048" s="19"/>
      <c r="AA1048" s="19"/>
      <c r="AB1048" s="19"/>
      <c r="AC1048" s="19"/>
      <c r="AD1048" s="19"/>
      <c r="AE1048" s="19"/>
      <c r="AF1048" s="19"/>
      <c r="AG1048" s="19"/>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row>
    <row r="1049" spans="3:56" ht="15" customHeight="1">
      <c r="C1049" s="21">
        <f t="shared" si="730"/>
        <v>2912.0455367487921</v>
      </c>
      <c r="D1049" s="79" t="str">
        <f t="shared" si="731"/>
        <v>DRC</v>
      </c>
      <c r="E1049" s="11" t="s">
        <v>289</v>
      </c>
      <c r="F1049" s="99"/>
      <c r="G1049" s="19">
        <f t="shared" si="732"/>
        <v>31.422560045555205</v>
      </c>
      <c r="H1049" s="19">
        <f t="shared" si="733"/>
        <v>572.61593543385027</v>
      </c>
      <c r="I1049" s="19">
        <f t="shared" si="734"/>
        <v>650.44117738957493</v>
      </c>
      <c r="J1049" s="19">
        <f t="shared" si="735"/>
        <v>677.73962479346665</v>
      </c>
      <c r="K1049" s="19">
        <f t="shared" si="736"/>
        <v>673.42030337778124</v>
      </c>
      <c r="L1049" s="19">
        <f t="shared" si="737"/>
        <v>306.40593570856402</v>
      </c>
      <c r="M1049" s="19">
        <f t="shared" si="738"/>
        <v>0</v>
      </c>
      <c r="N1049" s="19">
        <f t="shared" si="739"/>
        <v>0</v>
      </c>
      <c r="O1049" s="19">
        <f t="shared" si="740"/>
        <v>0</v>
      </c>
      <c r="P1049" s="19">
        <f t="shared" si="741"/>
        <v>0</v>
      </c>
      <c r="Q1049" s="19"/>
      <c r="R1049" s="19"/>
      <c r="S1049" s="19"/>
      <c r="T1049" s="19"/>
      <c r="U1049" s="19"/>
      <c r="V1049" s="19"/>
      <c r="W1049" s="19"/>
      <c r="X1049" s="19"/>
      <c r="Y1049" s="19"/>
      <c r="Z1049" s="19"/>
      <c r="AA1049" s="19"/>
      <c r="AB1049" s="19"/>
      <c r="AC1049" s="19"/>
      <c r="AD1049" s="19"/>
      <c r="AE1049" s="19"/>
      <c r="AF1049" s="19"/>
      <c r="AG1049" s="19"/>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row>
    <row r="1050" spans="3:56" ht="15" customHeight="1">
      <c r="C1050" s="21">
        <f t="shared" si="730"/>
        <v>3136.3013593713627</v>
      </c>
      <c r="D1050" s="79" t="str">
        <f t="shared" si="731"/>
        <v>Ghana</v>
      </c>
      <c r="E1050" s="11" t="s">
        <v>289</v>
      </c>
      <c r="F1050" s="99"/>
      <c r="G1050" s="19">
        <f t="shared" si="732"/>
        <v>38.362923875432529</v>
      </c>
      <c r="H1050" s="19">
        <f t="shared" si="733"/>
        <v>565.41297237312233</v>
      </c>
      <c r="I1050" s="19">
        <f t="shared" si="734"/>
        <v>731.99173392496778</v>
      </c>
      <c r="J1050" s="19">
        <f t="shared" si="735"/>
        <v>730.52066115841876</v>
      </c>
      <c r="K1050" s="19">
        <f t="shared" si="736"/>
        <v>725.91405000423072</v>
      </c>
      <c r="L1050" s="19">
        <f t="shared" si="737"/>
        <v>344.09901803518994</v>
      </c>
      <c r="M1050" s="19">
        <f t="shared" si="738"/>
        <v>0</v>
      </c>
      <c r="N1050" s="19">
        <f t="shared" si="739"/>
        <v>0</v>
      </c>
      <c r="O1050" s="19">
        <f t="shared" si="740"/>
        <v>0</v>
      </c>
      <c r="P1050" s="19">
        <f t="shared" si="741"/>
        <v>0</v>
      </c>
      <c r="Q1050" s="19"/>
      <c r="R1050" s="19"/>
      <c r="S1050" s="19"/>
      <c r="T1050" s="19"/>
      <c r="U1050" s="19"/>
      <c r="V1050" s="19"/>
      <c r="W1050" s="19"/>
      <c r="X1050" s="19"/>
      <c r="Y1050" s="19"/>
      <c r="Z1050" s="19"/>
      <c r="AA1050" s="19"/>
      <c r="AB1050" s="19"/>
      <c r="AC1050" s="19"/>
      <c r="AD1050" s="19"/>
      <c r="AE1050" s="19"/>
      <c r="AF1050" s="19"/>
      <c r="AG1050" s="19"/>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row>
    <row r="1051" spans="3:56" ht="15" customHeight="1">
      <c r="C1051" s="21">
        <f t="shared" si="730"/>
        <v>3124.5972030890202</v>
      </c>
      <c r="D1051" s="79" t="str">
        <f t="shared" si="731"/>
        <v>South Africa (gold)</v>
      </c>
      <c r="E1051" s="11" t="s">
        <v>289</v>
      </c>
      <c r="F1051" s="99"/>
      <c r="G1051" s="19">
        <f t="shared" si="732"/>
        <v>26.351107266435989</v>
      </c>
      <c r="H1051" s="19">
        <f t="shared" si="733"/>
        <v>550.57604094507019</v>
      </c>
      <c r="I1051" s="19">
        <f t="shared" si="734"/>
        <v>729.90353333333348</v>
      </c>
      <c r="J1051" s="19">
        <f t="shared" si="735"/>
        <v>728.39996827094501</v>
      </c>
      <c r="K1051" s="19">
        <f t="shared" si="736"/>
        <v>723.47078200103681</v>
      </c>
      <c r="L1051" s="19">
        <f t="shared" si="737"/>
        <v>365.895771272199</v>
      </c>
      <c r="M1051" s="19">
        <f t="shared" si="738"/>
        <v>0</v>
      </c>
      <c r="N1051" s="19">
        <f t="shared" si="739"/>
        <v>0</v>
      </c>
      <c r="O1051" s="19">
        <f t="shared" si="740"/>
        <v>0</v>
      </c>
      <c r="P1051" s="19">
        <f t="shared" si="741"/>
        <v>0</v>
      </c>
      <c r="Q1051" s="19"/>
      <c r="R1051" s="19"/>
      <c r="S1051" s="19"/>
      <c r="T1051" s="19"/>
      <c r="U1051" s="19"/>
      <c r="V1051" s="19"/>
      <c r="W1051" s="19"/>
      <c r="X1051" s="19"/>
      <c r="Y1051" s="19"/>
      <c r="Z1051" s="19"/>
      <c r="AA1051" s="19"/>
      <c r="AB1051" s="19"/>
      <c r="AC1051" s="19"/>
      <c r="AD1051" s="19"/>
      <c r="AE1051" s="19"/>
      <c r="AF1051" s="19"/>
      <c r="AG1051" s="19"/>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row>
    <row r="1052" spans="3:56" ht="15" customHeight="1">
      <c r="C1052" s="21">
        <f t="shared" si="730"/>
        <v>2816.7677885992352</v>
      </c>
      <c r="D1052" s="79" t="str">
        <f t="shared" si="731"/>
        <v>Indonesia</v>
      </c>
      <c r="E1052" s="11" t="s">
        <v>289</v>
      </c>
      <c r="F1052" s="99"/>
      <c r="G1052" s="19">
        <f t="shared" si="732"/>
        <v>43.672750982311001</v>
      </c>
      <c r="H1052" s="19">
        <f t="shared" si="733"/>
        <v>564.06820075505323</v>
      </c>
      <c r="I1052" s="19">
        <f t="shared" si="734"/>
        <v>640.16756494113429</v>
      </c>
      <c r="J1052" s="19">
        <f t="shared" si="735"/>
        <v>630.85048058861571</v>
      </c>
      <c r="K1052" s="19">
        <f t="shared" si="736"/>
        <v>642.35162331159052</v>
      </c>
      <c r="L1052" s="19">
        <f t="shared" si="737"/>
        <v>295.65716802053089</v>
      </c>
      <c r="M1052" s="19">
        <f t="shared" si="738"/>
        <v>0</v>
      </c>
      <c r="N1052" s="19">
        <f t="shared" si="739"/>
        <v>0</v>
      </c>
      <c r="O1052" s="19">
        <f t="shared" si="740"/>
        <v>0</v>
      </c>
      <c r="P1052" s="19">
        <f t="shared" si="741"/>
        <v>0</v>
      </c>
      <c r="Q1052" s="19"/>
      <c r="R1052" s="19"/>
      <c r="S1052" s="19"/>
      <c r="T1052" s="19"/>
      <c r="U1052" s="19"/>
      <c r="V1052" s="19"/>
      <c r="W1052" s="19"/>
      <c r="X1052" s="19"/>
      <c r="Y1052" s="19"/>
      <c r="Z1052" s="19"/>
      <c r="AA1052" s="19"/>
      <c r="AB1052" s="19"/>
      <c r="AC1052" s="19"/>
      <c r="AD1052" s="19"/>
      <c r="AE1052" s="19"/>
      <c r="AF1052" s="19"/>
      <c r="AG1052" s="19"/>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row>
    <row r="1053" spans="3:56" ht="15" customHeight="1">
      <c r="C1053" s="21">
        <f t="shared" si="730"/>
        <v>2318.092934700021</v>
      </c>
      <c r="D1053" s="79" t="str">
        <f t="shared" si="731"/>
        <v>Peru</v>
      </c>
      <c r="E1053" s="11" t="s">
        <v>289</v>
      </c>
      <c r="F1053" s="99"/>
      <c r="G1053" s="19">
        <f t="shared" si="732"/>
        <v>19.304138172535282</v>
      </c>
      <c r="H1053" s="19">
        <f t="shared" si="733"/>
        <v>489.04233017157281</v>
      </c>
      <c r="I1053" s="19">
        <f t="shared" si="734"/>
        <v>506.33671608792531</v>
      </c>
      <c r="J1053" s="19">
        <f t="shared" si="735"/>
        <v>538.35855460752055</v>
      </c>
      <c r="K1053" s="19">
        <f t="shared" si="736"/>
        <v>534.58834181097302</v>
      </c>
      <c r="L1053" s="19">
        <f t="shared" si="737"/>
        <v>230.46285384949402</v>
      </c>
      <c r="M1053" s="19">
        <f t="shared" si="738"/>
        <v>0</v>
      </c>
      <c r="N1053" s="19">
        <f t="shared" si="739"/>
        <v>0</v>
      </c>
      <c r="O1053" s="19">
        <f t="shared" si="740"/>
        <v>0</v>
      </c>
      <c r="P1053" s="19">
        <f t="shared" si="741"/>
        <v>0</v>
      </c>
      <c r="Q1053" s="19"/>
      <c r="R1053" s="19"/>
      <c r="S1053" s="19"/>
      <c r="T1053" s="19"/>
      <c r="U1053" s="19"/>
      <c r="V1053" s="19"/>
      <c r="W1053" s="19"/>
      <c r="X1053" s="19"/>
      <c r="Y1053" s="19"/>
      <c r="Z1053" s="19"/>
      <c r="AA1053" s="19"/>
      <c r="AB1053" s="19"/>
      <c r="AC1053" s="19"/>
      <c r="AD1053" s="19"/>
      <c r="AE1053" s="19"/>
      <c r="AF1053" s="19"/>
      <c r="AG1053" s="19"/>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row>
    <row r="1054" spans="3:56" ht="15" customHeight="1">
      <c r="C1054" s="21">
        <f t="shared" si="730"/>
        <v>2126.6170306301838</v>
      </c>
      <c r="D1054" s="79" t="str">
        <f t="shared" si="731"/>
        <v>Western Australia</v>
      </c>
      <c r="E1054" s="11" t="s">
        <v>289</v>
      </c>
      <c r="F1054" s="99"/>
      <c r="G1054" s="19">
        <f t="shared" si="732"/>
        <v>30.012262467700523</v>
      </c>
      <c r="H1054" s="19">
        <f t="shared" si="733"/>
        <v>459.25008304942918</v>
      </c>
      <c r="I1054" s="19">
        <f t="shared" si="734"/>
        <v>456.23441653033933</v>
      </c>
      <c r="J1054" s="19">
        <f t="shared" si="735"/>
        <v>490.68342400180478</v>
      </c>
      <c r="K1054" s="19">
        <f t="shared" si="736"/>
        <v>487.6908225590667</v>
      </c>
      <c r="L1054" s="19">
        <f t="shared" si="737"/>
        <v>202.74602202184315</v>
      </c>
      <c r="M1054" s="19">
        <f t="shared" si="738"/>
        <v>0</v>
      </c>
      <c r="N1054" s="19">
        <f t="shared" si="739"/>
        <v>0</v>
      </c>
      <c r="O1054" s="19">
        <f t="shared" si="740"/>
        <v>0</v>
      </c>
      <c r="P1054" s="19">
        <f t="shared" si="741"/>
        <v>0</v>
      </c>
      <c r="Q1054" s="19"/>
      <c r="R1054" s="19"/>
      <c r="S1054" s="19"/>
      <c r="T1054" s="19"/>
      <c r="U1054" s="19"/>
      <c r="V1054" s="19"/>
      <c r="W1054" s="19"/>
      <c r="X1054" s="19"/>
      <c r="Y1054" s="19"/>
      <c r="Z1054" s="19"/>
      <c r="AA1054" s="19"/>
      <c r="AB1054" s="19"/>
      <c r="AC1054" s="19"/>
      <c r="AD1054" s="19"/>
      <c r="AE1054" s="19"/>
      <c r="AF1054" s="19"/>
      <c r="AG1054" s="19"/>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row>
    <row r="1055" spans="3:56" ht="15" customHeight="1">
      <c r="C1055" s="36"/>
      <c r="F1055" s="61"/>
      <c r="G1055" s="19"/>
      <c r="H1055" s="19"/>
      <c r="I1055" s="19"/>
      <c r="J1055" s="19"/>
      <c r="K1055" s="19"/>
      <c r="L1055" s="19"/>
      <c r="M1055" s="19"/>
      <c r="N1055" s="19"/>
      <c r="O1055" s="19"/>
      <c r="P1055" s="19"/>
      <c r="Q1055" s="19"/>
      <c r="R1055" s="19"/>
      <c r="S1055" s="19"/>
    </row>
    <row r="1056" spans="3:56" ht="15" customHeight="1">
      <c r="C1056" s="20"/>
      <c r="D1056" s="463" t="s">
        <v>744</v>
      </c>
      <c r="E1056" s="463"/>
      <c r="F1056" s="556"/>
      <c r="G1056" s="544">
        <f t="shared" ref="G1056:AL1056" si="742">G$6</f>
        <v>1</v>
      </c>
      <c r="H1056" s="544">
        <f t="shared" si="742"/>
        <v>2</v>
      </c>
      <c r="I1056" s="544">
        <f t="shared" si="742"/>
        <v>3</v>
      </c>
      <c r="J1056" s="544">
        <f t="shared" si="742"/>
        <v>4</v>
      </c>
      <c r="K1056" s="544">
        <f t="shared" si="742"/>
        <v>5</v>
      </c>
      <c r="L1056" s="544">
        <f t="shared" si="742"/>
        <v>6</v>
      </c>
      <c r="M1056" s="544">
        <f t="shared" si="742"/>
        <v>7</v>
      </c>
      <c r="N1056" s="544">
        <f t="shared" si="742"/>
        <v>8</v>
      </c>
      <c r="O1056" s="544">
        <f t="shared" si="742"/>
        <v>9</v>
      </c>
      <c r="P1056" s="544">
        <f t="shared" si="742"/>
        <v>10</v>
      </c>
      <c r="Q1056" s="544">
        <f t="shared" si="742"/>
        <v>11</v>
      </c>
      <c r="R1056" s="544">
        <f t="shared" si="742"/>
        <v>12</v>
      </c>
      <c r="S1056" s="544">
        <f t="shared" si="742"/>
        <v>13</v>
      </c>
      <c r="T1056" s="544">
        <f t="shared" si="742"/>
        <v>14</v>
      </c>
      <c r="U1056" s="544">
        <f t="shared" si="742"/>
        <v>15</v>
      </c>
      <c r="V1056" s="544">
        <f t="shared" si="742"/>
        <v>16</v>
      </c>
      <c r="W1056" s="544">
        <f t="shared" si="742"/>
        <v>17</v>
      </c>
      <c r="X1056" s="544">
        <f t="shared" si="742"/>
        <v>18</v>
      </c>
      <c r="Y1056" s="544">
        <f t="shared" si="742"/>
        <v>19</v>
      </c>
      <c r="Z1056" s="544">
        <f t="shared" si="742"/>
        <v>20</v>
      </c>
      <c r="AA1056" s="544">
        <f t="shared" si="742"/>
        <v>21</v>
      </c>
      <c r="AB1056" s="544">
        <f t="shared" si="742"/>
        <v>22</v>
      </c>
      <c r="AC1056" s="544">
        <f t="shared" si="742"/>
        <v>23</v>
      </c>
      <c r="AD1056" s="544">
        <f t="shared" si="742"/>
        <v>24</v>
      </c>
      <c r="AE1056" s="544">
        <f t="shared" si="742"/>
        <v>25</v>
      </c>
      <c r="AF1056" s="544">
        <f t="shared" si="742"/>
        <v>26</v>
      </c>
      <c r="AG1056" s="544">
        <f t="shared" si="742"/>
        <v>27</v>
      </c>
      <c r="AH1056" s="544">
        <f t="shared" si="742"/>
        <v>28</v>
      </c>
      <c r="AI1056" s="544">
        <f t="shared" si="742"/>
        <v>29</v>
      </c>
      <c r="AJ1056" s="544">
        <f t="shared" si="742"/>
        <v>30</v>
      </c>
      <c r="AK1056" s="544">
        <f t="shared" si="742"/>
        <v>31</v>
      </c>
      <c r="AL1056" s="544">
        <f t="shared" si="742"/>
        <v>32</v>
      </c>
      <c r="AM1056" s="544">
        <f t="shared" ref="AM1056:BD1056" si="743">AM$6</f>
        <v>33</v>
      </c>
      <c r="AN1056" s="544">
        <f t="shared" si="743"/>
        <v>34</v>
      </c>
      <c r="AO1056" s="544">
        <f t="shared" si="743"/>
        <v>35</v>
      </c>
      <c r="AP1056" s="544">
        <f t="shared" si="743"/>
        <v>36</v>
      </c>
      <c r="AQ1056" s="544">
        <f t="shared" si="743"/>
        <v>37</v>
      </c>
      <c r="AR1056" s="544">
        <f t="shared" si="743"/>
        <v>38</v>
      </c>
      <c r="AS1056" s="544">
        <f t="shared" si="743"/>
        <v>39</v>
      </c>
      <c r="AT1056" s="544">
        <f t="shared" si="743"/>
        <v>40</v>
      </c>
      <c r="AU1056" s="544">
        <f t="shared" si="743"/>
        <v>41</v>
      </c>
      <c r="AV1056" s="544">
        <f t="shared" si="743"/>
        <v>42</v>
      </c>
      <c r="AW1056" s="544">
        <f t="shared" si="743"/>
        <v>43</v>
      </c>
      <c r="AX1056" s="544">
        <f t="shared" si="743"/>
        <v>44</v>
      </c>
      <c r="AY1056" s="544">
        <f t="shared" si="743"/>
        <v>45</v>
      </c>
      <c r="AZ1056" s="544">
        <f t="shared" si="743"/>
        <v>46</v>
      </c>
      <c r="BA1056" s="544">
        <f t="shared" si="743"/>
        <v>47</v>
      </c>
      <c r="BB1056" s="544">
        <f t="shared" si="743"/>
        <v>48</v>
      </c>
      <c r="BC1056" s="544">
        <f t="shared" si="743"/>
        <v>49</v>
      </c>
      <c r="BD1056" s="544">
        <f t="shared" si="743"/>
        <v>50</v>
      </c>
    </row>
    <row r="1057" spans="3:56" s="68" customFormat="1" ht="15" customHeight="1">
      <c r="C1057" s="21"/>
      <c r="D1057" s="79"/>
      <c r="E1057" s="79"/>
      <c r="F1057" s="80"/>
      <c r="G1057" s="19"/>
      <c r="H1057" s="19"/>
      <c r="I1057" s="19"/>
      <c r="J1057" s="19"/>
      <c r="K1057" s="19"/>
      <c r="L1057" s="19"/>
      <c r="M1057" s="19"/>
      <c r="N1057" s="19"/>
      <c r="O1057" s="19"/>
      <c r="P1057" s="19"/>
      <c r="Q1057" s="19"/>
      <c r="R1057" s="19"/>
      <c r="S1057" s="19"/>
      <c r="T1057" s="19"/>
      <c r="U1057" s="19"/>
      <c r="V1057" s="19"/>
      <c r="W1057" s="19"/>
      <c r="X1057" s="19"/>
      <c r="Y1057" s="19"/>
      <c r="Z1057" s="19"/>
      <c r="AA1057" s="19"/>
      <c r="AB1057" s="19"/>
      <c r="AC1057" s="19"/>
      <c r="AD1057" s="19"/>
      <c r="AE1057" s="19"/>
      <c r="AF1057" s="19"/>
      <c r="AG1057" s="19"/>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row>
    <row r="1058" spans="3:56" ht="15" customHeight="1">
      <c r="C1058" s="21"/>
      <c r="D1058" s="95" t="str">
        <f t="shared" ref="D1058:D1068" si="744">D1030</f>
        <v>Tanzania w/o sharing</v>
      </c>
      <c r="E1058" s="11" t="s">
        <v>745</v>
      </c>
      <c r="F1058" s="99">
        <v>1</v>
      </c>
      <c r="G1058" s="7">
        <f>G1030/SUM($G1030:$BD1030)</f>
        <v>0</v>
      </c>
      <c r="H1058" s="7">
        <f t="shared" ref="H1058:BD1058" si="745">H1030/SUM($G1030:$BD1030)</f>
        <v>0</v>
      </c>
      <c r="I1058" s="7">
        <f t="shared" si="745"/>
        <v>8.4481786608482982E-4</v>
      </c>
      <c r="J1058" s="7">
        <f t="shared" si="745"/>
        <v>3.3792714643393184E-3</v>
      </c>
      <c r="K1058" s="7">
        <f t="shared" si="745"/>
        <v>7.3968211779895533E-3</v>
      </c>
      <c r="L1058" s="7">
        <f t="shared" si="745"/>
        <v>2.547791775203995E-2</v>
      </c>
      <c r="M1058" s="7">
        <f t="shared" si="745"/>
        <v>3.0983369740493562E-2</v>
      </c>
      <c r="N1058" s="7">
        <f t="shared" si="745"/>
        <v>3.8632214053313046E-2</v>
      </c>
      <c r="O1058" s="7">
        <f t="shared" si="745"/>
        <v>3.8613292275501553E-2</v>
      </c>
      <c r="P1058" s="7">
        <f t="shared" si="745"/>
        <v>4.6601366741546087E-2</v>
      </c>
      <c r="Q1058" s="7">
        <f t="shared" si="745"/>
        <v>4.6601366741546087E-2</v>
      </c>
      <c r="R1058" s="7">
        <f t="shared" si="745"/>
        <v>4.660136674154608E-2</v>
      </c>
      <c r="S1058" s="7">
        <f t="shared" si="745"/>
        <v>4.6601366741546087E-2</v>
      </c>
      <c r="T1058" s="7">
        <f t="shared" si="745"/>
        <v>4.6601366741546087E-2</v>
      </c>
      <c r="U1058" s="7">
        <f t="shared" si="745"/>
        <v>4.6601366741546087E-2</v>
      </c>
      <c r="V1058" s="7">
        <f t="shared" si="745"/>
        <v>4.6601366741546087E-2</v>
      </c>
      <c r="W1058" s="7">
        <f t="shared" si="745"/>
        <v>4.6601366741546087E-2</v>
      </c>
      <c r="X1058" s="7">
        <f t="shared" si="745"/>
        <v>4.6601366741546087E-2</v>
      </c>
      <c r="Y1058" s="7">
        <f t="shared" si="745"/>
        <v>4.6376382356942525E-2</v>
      </c>
      <c r="Z1058" s="7">
        <f t="shared" si="745"/>
        <v>4.63758589635586E-2</v>
      </c>
      <c r="AA1058" s="7">
        <f t="shared" si="745"/>
        <v>4.6374681525802763E-2</v>
      </c>
      <c r="AB1058" s="7">
        <f t="shared" si="745"/>
        <v>4.6372656194789523E-2</v>
      </c>
      <c r="AC1058" s="7">
        <f t="shared" si="745"/>
        <v>4.6369478708408157E-2</v>
      </c>
      <c r="AD1058" s="7">
        <f t="shared" si="745"/>
        <v>4.6018157442800134E-2</v>
      </c>
      <c r="AE1058" s="7">
        <f t="shared" si="745"/>
        <v>4.6010667762188318E-2</v>
      </c>
      <c r="AF1058" s="7">
        <f t="shared" si="745"/>
        <v>4.5998329610027214E-2</v>
      </c>
      <c r="AG1058" s="7">
        <f t="shared" si="745"/>
        <v>4.7593381215073241E-2</v>
      </c>
      <c r="AH1058" s="7">
        <f t="shared" si="745"/>
        <v>1.7770401216732699E-2</v>
      </c>
      <c r="AI1058" s="7">
        <f t="shared" si="745"/>
        <v>0</v>
      </c>
      <c r="AJ1058" s="7">
        <f t="shared" si="745"/>
        <v>0</v>
      </c>
      <c r="AK1058" s="7">
        <f t="shared" si="745"/>
        <v>0</v>
      </c>
      <c r="AL1058" s="7">
        <f t="shared" si="745"/>
        <v>0</v>
      </c>
      <c r="AM1058" s="7">
        <f t="shared" si="745"/>
        <v>0</v>
      </c>
      <c r="AN1058" s="7">
        <f t="shared" si="745"/>
        <v>0</v>
      </c>
      <c r="AO1058" s="7">
        <f t="shared" si="745"/>
        <v>0</v>
      </c>
      <c r="AP1058" s="7">
        <f t="shared" si="745"/>
        <v>0</v>
      </c>
      <c r="AQ1058" s="7">
        <f t="shared" si="745"/>
        <v>0</v>
      </c>
      <c r="AR1058" s="7">
        <f t="shared" si="745"/>
        <v>0</v>
      </c>
      <c r="AS1058" s="7">
        <f t="shared" si="745"/>
        <v>0</v>
      </c>
      <c r="AT1058" s="7">
        <f t="shared" si="745"/>
        <v>0</v>
      </c>
      <c r="AU1058" s="7">
        <f t="shared" si="745"/>
        <v>0</v>
      </c>
      <c r="AV1058" s="7">
        <f t="shared" si="745"/>
        <v>0</v>
      </c>
      <c r="AW1058" s="7">
        <f t="shared" si="745"/>
        <v>0</v>
      </c>
      <c r="AX1058" s="7">
        <f t="shared" si="745"/>
        <v>0</v>
      </c>
      <c r="AY1058" s="7">
        <f t="shared" si="745"/>
        <v>0</v>
      </c>
      <c r="AZ1058" s="7">
        <f t="shared" si="745"/>
        <v>0</v>
      </c>
      <c r="BA1058" s="7">
        <f t="shared" si="745"/>
        <v>0</v>
      </c>
      <c r="BB1058" s="7">
        <f t="shared" si="745"/>
        <v>0</v>
      </c>
      <c r="BC1058" s="7">
        <f t="shared" si="745"/>
        <v>0</v>
      </c>
      <c r="BD1058" s="7">
        <f t="shared" si="745"/>
        <v>0</v>
      </c>
    </row>
    <row r="1059" spans="3:56" ht="15" customHeight="1">
      <c r="C1059" s="21"/>
      <c r="D1059" s="95" t="str">
        <f t="shared" si="744"/>
        <v>Tanzania w 50/50 sharing</v>
      </c>
      <c r="E1059" s="11" t="s">
        <v>745</v>
      </c>
      <c r="F1059" s="99">
        <f t="shared" ref="F1059:F1068" si="746">F1058+1</f>
        <v>2</v>
      </c>
      <c r="G1059" s="7">
        <f t="shared" ref="G1059:BD1059" si="747">G1031/SUM($G1031:$BD1031)</f>
        <v>0</v>
      </c>
      <c r="H1059" s="7">
        <f t="shared" si="747"/>
        <v>0</v>
      </c>
      <c r="I1059" s="7">
        <f t="shared" si="747"/>
        <v>9.7035634786983322E-4</v>
      </c>
      <c r="J1059" s="7">
        <f t="shared" si="747"/>
        <v>3.8814253914793324E-3</v>
      </c>
      <c r="K1059" s="7">
        <f t="shared" si="747"/>
        <v>1.1485697339124294E-2</v>
      </c>
      <c r="L1059" s="7">
        <f t="shared" si="747"/>
        <v>3.2027500391614984E-2</v>
      </c>
      <c r="M1059" s="7">
        <f t="shared" si="747"/>
        <v>3.6149362373948002E-2</v>
      </c>
      <c r="N1059" s="7">
        <f t="shared" si="747"/>
        <v>5.9298613248611439E-3</v>
      </c>
      <c r="O1059" s="7">
        <f t="shared" si="747"/>
        <v>4.0007808906776965E-2</v>
      </c>
      <c r="P1059" s="7">
        <f t="shared" si="747"/>
        <v>4.8317778711843749E-2</v>
      </c>
      <c r="Q1059" s="7">
        <f t="shared" si="747"/>
        <v>4.7381407335655844E-2</v>
      </c>
      <c r="R1059" s="7">
        <f t="shared" si="747"/>
        <v>4.738140733565583E-2</v>
      </c>
      <c r="S1059" s="7">
        <f t="shared" si="747"/>
        <v>4.7381407335655844E-2</v>
      </c>
      <c r="T1059" s="7">
        <f t="shared" si="747"/>
        <v>4.7381407335655844E-2</v>
      </c>
      <c r="U1059" s="7">
        <f t="shared" si="747"/>
        <v>4.738140733565583E-2</v>
      </c>
      <c r="V1059" s="7">
        <f t="shared" si="747"/>
        <v>4.7381407335655844E-2</v>
      </c>
      <c r="W1059" s="7">
        <f t="shared" si="747"/>
        <v>4.738140733565583E-2</v>
      </c>
      <c r="X1059" s="7">
        <f t="shared" si="747"/>
        <v>4.7381407335655844E-2</v>
      </c>
      <c r="Y1059" s="7">
        <f t="shared" si="747"/>
        <v>4.7122990658480905E-2</v>
      </c>
      <c r="Z1059" s="7">
        <f t="shared" si="747"/>
        <v>4.710667621285352E-2</v>
      </c>
      <c r="AA1059" s="7">
        <f t="shared" si="747"/>
        <v>4.7105287255223595E-2</v>
      </c>
      <c r="AB1059" s="7">
        <f t="shared" si="747"/>
        <v>4.7102878729329445E-2</v>
      </c>
      <c r="AC1059" s="7">
        <f t="shared" si="747"/>
        <v>4.7099087621511271E-2</v>
      </c>
      <c r="AD1059" s="7">
        <f t="shared" si="747"/>
        <v>4.6695338699279672E-2</v>
      </c>
      <c r="AE1059" s="7">
        <f t="shared" si="747"/>
        <v>4.6662199214009652E-2</v>
      </c>
      <c r="AF1059" s="7">
        <f t="shared" si="747"/>
        <v>4.6647504542132644E-2</v>
      </c>
      <c r="AG1059" s="7">
        <f t="shared" si="747"/>
        <v>4.8478716355447204E-2</v>
      </c>
      <c r="AH1059" s="7">
        <f t="shared" si="747"/>
        <v>1.5781644382100071E-2</v>
      </c>
      <c r="AI1059" s="7">
        <f t="shared" si="747"/>
        <v>2.3766268568669001E-3</v>
      </c>
      <c r="AJ1059" s="7">
        <f t="shared" si="747"/>
        <v>0</v>
      </c>
      <c r="AK1059" s="7">
        <f t="shared" si="747"/>
        <v>0</v>
      </c>
      <c r="AL1059" s="7">
        <f t="shared" si="747"/>
        <v>0</v>
      </c>
      <c r="AM1059" s="7">
        <f t="shared" si="747"/>
        <v>0</v>
      </c>
      <c r="AN1059" s="7">
        <f t="shared" si="747"/>
        <v>0</v>
      </c>
      <c r="AO1059" s="7">
        <f t="shared" si="747"/>
        <v>0</v>
      </c>
      <c r="AP1059" s="7">
        <f t="shared" si="747"/>
        <v>0</v>
      </c>
      <c r="AQ1059" s="7">
        <f t="shared" si="747"/>
        <v>0</v>
      </c>
      <c r="AR1059" s="7">
        <f t="shared" si="747"/>
        <v>0</v>
      </c>
      <c r="AS1059" s="7">
        <f t="shared" si="747"/>
        <v>0</v>
      </c>
      <c r="AT1059" s="7">
        <f t="shared" si="747"/>
        <v>0</v>
      </c>
      <c r="AU1059" s="7">
        <f t="shared" si="747"/>
        <v>0</v>
      </c>
      <c r="AV1059" s="7">
        <f t="shared" si="747"/>
        <v>0</v>
      </c>
      <c r="AW1059" s="7">
        <f t="shared" si="747"/>
        <v>0</v>
      </c>
      <c r="AX1059" s="7">
        <f t="shared" si="747"/>
        <v>0</v>
      </c>
      <c r="AY1059" s="7">
        <f t="shared" si="747"/>
        <v>0</v>
      </c>
      <c r="AZ1059" s="7">
        <f t="shared" si="747"/>
        <v>0</v>
      </c>
      <c r="BA1059" s="7">
        <f t="shared" si="747"/>
        <v>0</v>
      </c>
      <c r="BB1059" s="7">
        <f t="shared" si="747"/>
        <v>0</v>
      </c>
      <c r="BC1059" s="7">
        <f t="shared" si="747"/>
        <v>0</v>
      </c>
      <c r="BD1059" s="7">
        <f t="shared" si="747"/>
        <v>0</v>
      </c>
    </row>
    <row r="1060" spans="3:56" ht="15" customHeight="1">
      <c r="C1060" s="21"/>
      <c r="D1060" s="95" t="str">
        <f t="shared" si="744"/>
        <v>Ecuador</v>
      </c>
      <c r="E1060" s="11" t="s">
        <v>745</v>
      </c>
      <c r="F1060" s="99">
        <f t="shared" si="746"/>
        <v>3</v>
      </c>
      <c r="G1060" s="7">
        <f t="shared" ref="G1060:BD1060" si="748">G1032/SUM($G1032:$BD1032)</f>
        <v>0</v>
      </c>
      <c r="H1060" s="7">
        <f t="shared" si="748"/>
        <v>0</v>
      </c>
      <c r="I1060" s="7">
        <f t="shared" si="748"/>
        <v>8.8026090186529089E-4</v>
      </c>
      <c r="J1060" s="7">
        <f t="shared" si="748"/>
        <v>3.5210436074611631E-3</v>
      </c>
      <c r="K1060" s="7">
        <f t="shared" si="748"/>
        <v>8.6189410045378403E-3</v>
      </c>
      <c r="L1060" s="7">
        <f t="shared" si="748"/>
        <v>3.620446912603667E-2</v>
      </c>
      <c r="M1060" s="7">
        <f t="shared" si="748"/>
        <v>3.6692779230063539E-2</v>
      </c>
      <c r="N1060" s="7">
        <f t="shared" si="748"/>
        <v>3.9473875662183883E-2</v>
      </c>
      <c r="O1060" s="7">
        <f t="shared" si="748"/>
        <v>3.9994825124943539E-2</v>
      </c>
      <c r="P1060" s="7">
        <f t="shared" si="748"/>
        <v>4.5156122780434481E-2</v>
      </c>
      <c r="Q1060" s="7">
        <f t="shared" si="748"/>
        <v>4.7067672673486126E-2</v>
      </c>
      <c r="R1060" s="7">
        <f t="shared" si="748"/>
        <v>4.6434584770772475E-2</v>
      </c>
      <c r="S1060" s="7">
        <f t="shared" si="748"/>
        <v>4.5822229418312849E-2</v>
      </c>
      <c r="T1060" s="7">
        <f t="shared" si="748"/>
        <v>4.5230302081522213E-2</v>
      </c>
      <c r="U1060" s="7">
        <f t="shared" si="748"/>
        <v>4.7208842130531135E-2</v>
      </c>
      <c r="V1060" s="7">
        <f t="shared" si="748"/>
        <v>4.6926061907730347E-2</v>
      </c>
      <c r="W1060" s="7">
        <f t="shared" si="748"/>
        <v>4.6663620865687865E-2</v>
      </c>
      <c r="X1060" s="7">
        <f t="shared" si="748"/>
        <v>4.6420056093490626E-2</v>
      </c>
      <c r="Y1060" s="7">
        <f t="shared" si="748"/>
        <v>4.6019119257390828E-2</v>
      </c>
      <c r="Z1060" s="7">
        <f t="shared" si="748"/>
        <v>4.5806232070932554E-2</v>
      </c>
      <c r="AA1060" s="7">
        <f t="shared" si="748"/>
        <v>4.5608092166560109E-2</v>
      </c>
      <c r="AB1060" s="7">
        <f t="shared" si="748"/>
        <v>4.5423424276752035E-2</v>
      </c>
      <c r="AC1060" s="7">
        <f t="shared" si="748"/>
        <v>4.5250937015585545E-2</v>
      </c>
      <c r="AD1060" s="7">
        <f t="shared" si="748"/>
        <v>4.4716016886718737E-2</v>
      </c>
      <c r="AE1060" s="7">
        <f t="shared" si="748"/>
        <v>4.4565110121273045E-2</v>
      </c>
      <c r="AF1060" s="7">
        <f t="shared" si="748"/>
        <v>4.4420395598362729E-2</v>
      </c>
      <c r="AG1060" s="7">
        <f t="shared" si="748"/>
        <v>4.5401419053376198E-2</v>
      </c>
      <c r="AH1060" s="7">
        <f t="shared" si="748"/>
        <v>1.0473566173988182E-2</v>
      </c>
      <c r="AI1060" s="7">
        <f t="shared" si="748"/>
        <v>0</v>
      </c>
      <c r="AJ1060" s="7">
        <f t="shared" si="748"/>
        <v>0</v>
      </c>
      <c r="AK1060" s="7">
        <f t="shared" si="748"/>
        <v>0</v>
      </c>
      <c r="AL1060" s="7">
        <f t="shared" si="748"/>
        <v>0</v>
      </c>
      <c r="AM1060" s="7">
        <f t="shared" si="748"/>
        <v>0</v>
      </c>
      <c r="AN1060" s="7">
        <f t="shared" si="748"/>
        <v>0</v>
      </c>
      <c r="AO1060" s="7">
        <f t="shared" si="748"/>
        <v>0</v>
      </c>
      <c r="AP1060" s="7">
        <f t="shared" si="748"/>
        <v>0</v>
      </c>
      <c r="AQ1060" s="7">
        <f t="shared" si="748"/>
        <v>0</v>
      </c>
      <c r="AR1060" s="7">
        <f t="shared" si="748"/>
        <v>0</v>
      </c>
      <c r="AS1060" s="7">
        <f t="shared" si="748"/>
        <v>0</v>
      </c>
      <c r="AT1060" s="7">
        <f t="shared" si="748"/>
        <v>0</v>
      </c>
      <c r="AU1060" s="7">
        <f t="shared" si="748"/>
        <v>0</v>
      </c>
      <c r="AV1060" s="7">
        <f t="shared" si="748"/>
        <v>0</v>
      </c>
      <c r="AW1060" s="7">
        <f t="shared" si="748"/>
        <v>0</v>
      </c>
      <c r="AX1060" s="7">
        <f t="shared" si="748"/>
        <v>0</v>
      </c>
      <c r="AY1060" s="7">
        <f t="shared" si="748"/>
        <v>0</v>
      </c>
      <c r="AZ1060" s="7">
        <f t="shared" si="748"/>
        <v>0</v>
      </c>
      <c r="BA1060" s="7">
        <f t="shared" si="748"/>
        <v>0</v>
      </c>
      <c r="BB1060" s="7">
        <f t="shared" si="748"/>
        <v>0</v>
      </c>
      <c r="BC1060" s="7">
        <f t="shared" si="748"/>
        <v>0</v>
      </c>
      <c r="BD1060" s="7">
        <f t="shared" si="748"/>
        <v>0</v>
      </c>
    </row>
    <row r="1061" spans="3:56" ht="15" customHeight="1">
      <c r="C1061" s="21"/>
      <c r="D1061" s="95" t="str">
        <f t="shared" si="744"/>
        <v>Philippines FTAA</v>
      </c>
      <c r="E1061" s="11" t="s">
        <v>745</v>
      </c>
      <c r="F1061" s="99">
        <f t="shared" si="746"/>
        <v>4</v>
      </c>
      <c r="G1061" s="7">
        <f t="shared" ref="G1061:BD1061" si="749">G1033/SUM($G1033:$BD1033)</f>
        <v>0</v>
      </c>
      <c r="H1061" s="7">
        <f t="shared" si="749"/>
        <v>0</v>
      </c>
      <c r="I1061" s="7">
        <f t="shared" si="749"/>
        <v>0</v>
      </c>
      <c r="J1061" s="7">
        <f t="shared" si="749"/>
        <v>0</v>
      </c>
      <c r="K1061" s="7">
        <f t="shared" si="749"/>
        <v>5.6019230366728002E-3</v>
      </c>
      <c r="L1061" s="7">
        <f t="shared" si="749"/>
        <v>1.3071153752236534E-2</v>
      </c>
      <c r="M1061" s="7">
        <f t="shared" si="749"/>
        <v>4.4483750000175536E-2</v>
      </c>
      <c r="N1061" s="7">
        <f t="shared" si="749"/>
        <v>4.4896063111403851E-2</v>
      </c>
      <c r="O1061" s="7">
        <f t="shared" si="749"/>
        <v>4.5292664698230976E-2</v>
      </c>
      <c r="P1061" s="7">
        <f t="shared" si="749"/>
        <v>4.5674012377872428E-2</v>
      </c>
      <c r="Q1061" s="7">
        <f t="shared" si="749"/>
        <v>4.5674012377872428E-2</v>
      </c>
      <c r="R1061" s="7">
        <f t="shared" si="749"/>
        <v>4.5674012377872414E-2</v>
      </c>
      <c r="S1061" s="7">
        <f t="shared" si="749"/>
        <v>4.5674012377872435E-2</v>
      </c>
      <c r="T1061" s="7">
        <f t="shared" si="749"/>
        <v>4.5674012377872428E-2</v>
      </c>
      <c r="U1061" s="7">
        <f t="shared" si="749"/>
        <v>4.5674012377872414E-2</v>
      </c>
      <c r="V1061" s="7">
        <f t="shared" si="749"/>
        <v>4.5914092341436452E-2</v>
      </c>
      <c r="W1061" s="7">
        <f t="shared" si="749"/>
        <v>4.5914092341436452E-2</v>
      </c>
      <c r="X1061" s="7">
        <f t="shared" si="749"/>
        <v>4.5914092341436459E-2</v>
      </c>
      <c r="Y1061" s="7">
        <f t="shared" si="749"/>
        <v>4.5699245861336786E-2</v>
      </c>
      <c r="Z1061" s="7">
        <f t="shared" si="749"/>
        <v>4.5698746052310293E-2</v>
      </c>
      <c r="AA1061" s="7">
        <f t="shared" si="749"/>
        <v>4.5697621670465642E-2</v>
      </c>
      <c r="AB1061" s="7">
        <f t="shared" si="749"/>
        <v>4.5695687601841298E-2</v>
      </c>
      <c r="AC1061" s="7">
        <f t="shared" si="749"/>
        <v>4.5692653294523461E-2</v>
      </c>
      <c r="AD1061" s="7">
        <f t="shared" si="749"/>
        <v>4.5357162733998375E-2</v>
      </c>
      <c r="AE1061" s="7">
        <f t="shared" si="749"/>
        <v>4.5350010541994668E-2</v>
      </c>
      <c r="AF1061" s="7">
        <f t="shared" si="749"/>
        <v>4.5338228352899988E-2</v>
      </c>
      <c r="AG1061" s="7">
        <f t="shared" si="749"/>
        <v>4.826915244863865E-2</v>
      </c>
      <c r="AH1061" s="7">
        <f t="shared" si="749"/>
        <v>2.2069585551727128E-2</v>
      </c>
      <c r="AI1061" s="7">
        <f t="shared" si="749"/>
        <v>0</v>
      </c>
      <c r="AJ1061" s="7">
        <f t="shared" si="749"/>
        <v>0</v>
      </c>
      <c r="AK1061" s="7">
        <f t="shared" si="749"/>
        <v>0</v>
      </c>
      <c r="AL1061" s="7">
        <f t="shared" si="749"/>
        <v>0</v>
      </c>
      <c r="AM1061" s="7">
        <f t="shared" si="749"/>
        <v>0</v>
      </c>
      <c r="AN1061" s="7">
        <f t="shared" si="749"/>
        <v>0</v>
      </c>
      <c r="AO1061" s="7">
        <f t="shared" si="749"/>
        <v>0</v>
      </c>
      <c r="AP1061" s="7">
        <f t="shared" si="749"/>
        <v>0</v>
      </c>
      <c r="AQ1061" s="7">
        <f t="shared" si="749"/>
        <v>0</v>
      </c>
      <c r="AR1061" s="7">
        <f t="shared" si="749"/>
        <v>0</v>
      </c>
      <c r="AS1061" s="7">
        <f t="shared" si="749"/>
        <v>0</v>
      </c>
      <c r="AT1061" s="7">
        <f t="shared" si="749"/>
        <v>0</v>
      </c>
      <c r="AU1061" s="7">
        <f t="shared" si="749"/>
        <v>0</v>
      </c>
      <c r="AV1061" s="7">
        <f t="shared" si="749"/>
        <v>0</v>
      </c>
      <c r="AW1061" s="7">
        <f t="shared" si="749"/>
        <v>0</v>
      </c>
      <c r="AX1061" s="7">
        <f t="shared" si="749"/>
        <v>0</v>
      </c>
      <c r="AY1061" s="7">
        <f t="shared" si="749"/>
        <v>0</v>
      </c>
      <c r="AZ1061" s="7">
        <f t="shared" si="749"/>
        <v>0</v>
      </c>
      <c r="BA1061" s="7">
        <f t="shared" si="749"/>
        <v>0</v>
      </c>
      <c r="BB1061" s="7">
        <f t="shared" si="749"/>
        <v>0</v>
      </c>
      <c r="BC1061" s="7">
        <f t="shared" si="749"/>
        <v>0</v>
      </c>
      <c r="BD1061" s="7">
        <f t="shared" si="749"/>
        <v>0</v>
      </c>
    </row>
    <row r="1062" spans="3:56" ht="15" customHeight="1">
      <c r="C1062" s="21"/>
      <c r="D1062" s="95" t="str">
        <f t="shared" si="744"/>
        <v>Burkina Faso</v>
      </c>
      <c r="E1062" s="11" t="s">
        <v>745</v>
      </c>
      <c r="F1062" s="99">
        <f t="shared" si="746"/>
        <v>5</v>
      </c>
      <c r="G1062" s="7">
        <f t="shared" ref="G1062:BD1062" si="750">G1034/SUM($G1034:$BD1034)</f>
        <v>0</v>
      </c>
      <c r="H1062" s="7">
        <f t="shared" si="750"/>
        <v>0</v>
      </c>
      <c r="I1062" s="7">
        <f t="shared" si="750"/>
        <v>4.8444308787883413E-4</v>
      </c>
      <c r="J1062" s="7">
        <f t="shared" si="750"/>
        <v>1.9377723515153363E-3</v>
      </c>
      <c r="K1062" s="7">
        <f t="shared" si="750"/>
        <v>8.103635832228423E-3</v>
      </c>
      <c r="L1062" s="7">
        <f t="shared" si="750"/>
        <v>1.7456400780096495E-2</v>
      </c>
      <c r="M1062" s="7">
        <f t="shared" si="750"/>
        <v>3.9055729042440271E-2</v>
      </c>
      <c r="N1062" s="7">
        <f t="shared" si="750"/>
        <v>4.2779538785850502E-2</v>
      </c>
      <c r="O1062" s="7">
        <f t="shared" si="750"/>
        <v>4.3025228670991289E-2</v>
      </c>
      <c r="P1062" s="7">
        <f t="shared" si="750"/>
        <v>4.5145816630134734E-2</v>
      </c>
      <c r="Q1062" s="7">
        <f t="shared" si="750"/>
        <v>4.5024231182208753E-2</v>
      </c>
      <c r="R1062" s="7">
        <f t="shared" si="750"/>
        <v>4.5214806895217591E-2</v>
      </c>
      <c r="S1062" s="7">
        <f t="shared" si="750"/>
        <v>4.5097942758418309E-2</v>
      </c>
      <c r="T1062" s="7">
        <f t="shared" si="750"/>
        <v>4.6564250843190512E-2</v>
      </c>
      <c r="U1062" s="7">
        <f t="shared" si="750"/>
        <v>4.6564250843190498E-2</v>
      </c>
      <c r="V1062" s="7">
        <f t="shared" si="750"/>
        <v>4.6564250843190498E-2</v>
      </c>
      <c r="W1062" s="7">
        <f t="shared" si="750"/>
        <v>4.6564250843190512E-2</v>
      </c>
      <c r="X1062" s="7">
        <f t="shared" si="750"/>
        <v>4.6564250843190512E-2</v>
      </c>
      <c r="Y1062" s="7">
        <f t="shared" si="750"/>
        <v>4.6351450653451816E-2</v>
      </c>
      <c r="Z1062" s="7">
        <f t="shared" si="750"/>
        <v>4.6350955604821643E-2</v>
      </c>
      <c r="AA1062" s="7">
        <f t="shared" si="750"/>
        <v>4.6349841932073699E-2</v>
      </c>
      <c r="AB1062" s="7">
        <f t="shared" si="750"/>
        <v>4.6347926284351471E-2</v>
      </c>
      <c r="AC1062" s="7">
        <f t="shared" si="750"/>
        <v>4.634492087708271E-2</v>
      </c>
      <c r="AD1062" s="7">
        <f t="shared" si="750"/>
        <v>4.6012625673073959E-2</v>
      </c>
      <c r="AE1062" s="7">
        <f t="shared" si="750"/>
        <v>4.6005541601625684E-2</v>
      </c>
      <c r="AF1062" s="7">
        <f t="shared" si="750"/>
        <v>4.5993871631171808E-2</v>
      </c>
      <c r="AG1062" s="7">
        <f t="shared" si="750"/>
        <v>4.7609887912142095E-2</v>
      </c>
      <c r="AH1062" s="7">
        <f t="shared" si="750"/>
        <v>1.6486177597272098E-2</v>
      </c>
      <c r="AI1062" s="7">
        <f t="shared" si="750"/>
        <v>0</v>
      </c>
      <c r="AJ1062" s="7">
        <f t="shared" si="750"/>
        <v>0</v>
      </c>
      <c r="AK1062" s="7">
        <f t="shared" si="750"/>
        <v>0</v>
      </c>
      <c r="AL1062" s="7">
        <f t="shared" si="750"/>
        <v>0</v>
      </c>
      <c r="AM1062" s="7">
        <f t="shared" si="750"/>
        <v>0</v>
      </c>
      <c r="AN1062" s="7">
        <f t="shared" si="750"/>
        <v>0</v>
      </c>
      <c r="AO1062" s="7">
        <f t="shared" si="750"/>
        <v>0</v>
      </c>
      <c r="AP1062" s="7">
        <f t="shared" si="750"/>
        <v>0</v>
      </c>
      <c r="AQ1062" s="7">
        <f t="shared" si="750"/>
        <v>0</v>
      </c>
      <c r="AR1062" s="7">
        <f t="shared" si="750"/>
        <v>0</v>
      </c>
      <c r="AS1062" s="7">
        <f t="shared" si="750"/>
        <v>0</v>
      </c>
      <c r="AT1062" s="7">
        <f t="shared" si="750"/>
        <v>0</v>
      </c>
      <c r="AU1062" s="7">
        <f t="shared" si="750"/>
        <v>0</v>
      </c>
      <c r="AV1062" s="7">
        <f t="shared" si="750"/>
        <v>0</v>
      </c>
      <c r="AW1062" s="7">
        <f t="shared" si="750"/>
        <v>0</v>
      </c>
      <c r="AX1062" s="7">
        <f t="shared" si="750"/>
        <v>0</v>
      </c>
      <c r="AY1062" s="7">
        <f t="shared" si="750"/>
        <v>0</v>
      </c>
      <c r="AZ1062" s="7">
        <f t="shared" si="750"/>
        <v>0</v>
      </c>
      <c r="BA1062" s="7">
        <f t="shared" si="750"/>
        <v>0</v>
      </c>
      <c r="BB1062" s="7">
        <f t="shared" si="750"/>
        <v>0</v>
      </c>
      <c r="BC1062" s="7">
        <f t="shared" si="750"/>
        <v>0</v>
      </c>
      <c r="BD1062" s="7">
        <f t="shared" si="750"/>
        <v>0</v>
      </c>
    </row>
    <row r="1063" spans="3:56" ht="15" customHeight="1">
      <c r="C1063" s="21"/>
      <c r="D1063" s="95" t="str">
        <f t="shared" si="744"/>
        <v>DRC</v>
      </c>
      <c r="E1063" s="11" t="s">
        <v>745</v>
      </c>
      <c r="F1063" s="99">
        <f t="shared" si="746"/>
        <v>6</v>
      </c>
      <c r="G1063" s="7">
        <f t="shared" ref="G1063:BD1063" si="751">G1035/SUM($G1035:$BD1035)</f>
        <v>0</v>
      </c>
      <c r="H1063" s="7">
        <f t="shared" si="751"/>
        <v>0</v>
      </c>
      <c r="I1063" s="7">
        <f t="shared" si="751"/>
        <v>9.6581594089358523E-4</v>
      </c>
      <c r="J1063" s="7">
        <f t="shared" si="751"/>
        <v>3.8632637635743401E-3</v>
      </c>
      <c r="K1063" s="7">
        <f t="shared" si="751"/>
        <v>5.9614658584416121E-3</v>
      </c>
      <c r="L1063" s="7">
        <f t="shared" si="751"/>
        <v>3.3172874383082779E-2</v>
      </c>
      <c r="M1063" s="7">
        <f t="shared" si="751"/>
        <v>3.4454306515774025E-2</v>
      </c>
      <c r="N1063" s="7">
        <f t="shared" si="751"/>
        <v>4.200333444068835E-2</v>
      </c>
      <c r="O1063" s="7">
        <f t="shared" si="751"/>
        <v>4.2245600212314875E-2</v>
      </c>
      <c r="P1063" s="7">
        <f t="shared" si="751"/>
        <v>4.4760897230968225E-2</v>
      </c>
      <c r="Q1063" s="7">
        <f t="shared" si="751"/>
        <v>4.4523961927761202E-2</v>
      </c>
      <c r="R1063" s="7">
        <f t="shared" si="751"/>
        <v>4.429167241481316E-2</v>
      </c>
      <c r="S1063" s="7">
        <f t="shared" si="751"/>
        <v>4.406393759819742E-2</v>
      </c>
      <c r="T1063" s="7">
        <f t="shared" si="751"/>
        <v>4.3840668170142767E-2</v>
      </c>
      <c r="U1063" s="7">
        <f t="shared" si="751"/>
        <v>4.664205597315426E-2</v>
      </c>
      <c r="V1063" s="7">
        <f t="shared" si="751"/>
        <v>4.6642055973154246E-2</v>
      </c>
      <c r="W1063" s="7">
        <f t="shared" si="751"/>
        <v>4.664205597315426E-2</v>
      </c>
      <c r="X1063" s="7">
        <f t="shared" si="751"/>
        <v>4.6642055973154267E-2</v>
      </c>
      <c r="Y1063" s="7">
        <f t="shared" si="751"/>
        <v>4.6405499357651356E-2</v>
      </c>
      <c r="Z1063" s="7">
        <f t="shared" si="751"/>
        <v>4.6404949043158651E-2</v>
      </c>
      <c r="AA1063" s="7">
        <f t="shared" si="751"/>
        <v>4.6403711043059327E-2</v>
      </c>
      <c r="AB1063" s="7">
        <f t="shared" si="751"/>
        <v>4.6401581537713392E-2</v>
      </c>
      <c r="AC1063" s="7">
        <f t="shared" si="751"/>
        <v>4.6398240615073333E-2</v>
      </c>
      <c r="AD1063" s="7">
        <f t="shared" si="751"/>
        <v>4.6028848891763882E-2</v>
      </c>
      <c r="AE1063" s="7">
        <f t="shared" si="751"/>
        <v>4.6020973974134134E-2</v>
      </c>
      <c r="AF1063" s="7">
        <f t="shared" si="751"/>
        <v>4.600800120039282E-2</v>
      </c>
      <c r="AG1063" s="7">
        <f t="shared" si="751"/>
        <v>4.7308463629090157E-2</v>
      </c>
      <c r="AH1063" s="7">
        <f t="shared" si="751"/>
        <v>1.1903708358693414E-2</v>
      </c>
      <c r="AI1063" s="7">
        <f t="shared" si="751"/>
        <v>0</v>
      </c>
      <c r="AJ1063" s="7">
        <f t="shared" si="751"/>
        <v>0</v>
      </c>
      <c r="AK1063" s="7">
        <f t="shared" si="751"/>
        <v>0</v>
      </c>
      <c r="AL1063" s="7">
        <f t="shared" si="751"/>
        <v>0</v>
      </c>
      <c r="AM1063" s="7">
        <f t="shared" si="751"/>
        <v>0</v>
      </c>
      <c r="AN1063" s="7">
        <f t="shared" si="751"/>
        <v>0</v>
      </c>
      <c r="AO1063" s="7">
        <f t="shared" si="751"/>
        <v>0</v>
      </c>
      <c r="AP1063" s="7">
        <f t="shared" si="751"/>
        <v>0</v>
      </c>
      <c r="AQ1063" s="7">
        <f t="shared" si="751"/>
        <v>0</v>
      </c>
      <c r="AR1063" s="7">
        <f t="shared" si="751"/>
        <v>0</v>
      </c>
      <c r="AS1063" s="7">
        <f t="shared" si="751"/>
        <v>0</v>
      </c>
      <c r="AT1063" s="7">
        <f t="shared" si="751"/>
        <v>0</v>
      </c>
      <c r="AU1063" s="7">
        <f t="shared" si="751"/>
        <v>0</v>
      </c>
      <c r="AV1063" s="7">
        <f t="shared" si="751"/>
        <v>0</v>
      </c>
      <c r="AW1063" s="7">
        <f t="shared" si="751"/>
        <v>0</v>
      </c>
      <c r="AX1063" s="7">
        <f t="shared" si="751"/>
        <v>0</v>
      </c>
      <c r="AY1063" s="7">
        <f t="shared" si="751"/>
        <v>0</v>
      </c>
      <c r="AZ1063" s="7">
        <f t="shared" si="751"/>
        <v>0</v>
      </c>
      <c r="BA1063" s="7">
        <f t="shared" si="751"/>
        <v>0</v>
      </c>
      <c r="BB1063" s="7">
        <f t="shared" si="751"/>
        <v>0</v>
      </c>
      <c r="BC1063" s="7">
        <f t="shared" si="751"/>
        <v>0</v>
      </c>
      <c r="BD1063" s="7">
        <f t="shared" si="751"/>
        <v>0</v>
      </c>
    </row>
    <row r="1064" spans="3:56" ht="15" customHeight="1">
      <c r="C1064" s="21"/>
      <c r="D1064" s="95" t="str">
        <f t="shared" si="744"/>
        <v>Ghana</v>
      </c>
      <c r="E1064" s="11" t="s">
        <v>745</v>
      </c>
      <c r="F1064" s="99">
        <f t="shared" si="746"/>
        <v>7</v>
      </c>
      <c r="G1064" s="7">
        <f t="shared" ref="G1064:BD1064" si="752">G1036/SUM($G1036:$BD1036)</f>
        <v>0</v>
      </c>
      <c r="H1064" s="7">
        <f t="shared" si="752"/>
        <v>0</v>
      </c>
      <c r="I1064" s="7">
        <f t="shared" si="752"/>
        <v>1.1956759157709413E-3</v>
      </c>
      <c r="J1064" s="7">
        <f t="shared" si="752"/>
        <v>4.7827036630837651E-3</v>
      </c>
      <c r="K1064" s="7">
        <f t="shared" si="752"/>
        <v>6.2535201908542771E-3</v>
      </c>
      <c r="L1064" s="7">
        <f t="shared" si="752"/>
        <v>2.6207169707085882E-2</v>
      </c>
      <c r="M1064" s="7">
        <f t="shared" si="752"/>
        <v>3.2207938154097684E-2</v>
      </c>
      <c r="N1064" s="7">
        <f t="shared" si="752"/>
        <v>3.7665577845676097E-2</v>
      </c>
      <c r="O1064" s="7">
        <f t="shared" si="752"/>
        <v>3.7520833272208037E-2</v>
      </c>
      <c r="P1064" s="7">
        <f t="shared" si="752"/>
        <v>4.6678660629199731E-2</v>
      </c>
      <c r="Q1064" s="7">
        <f t="shared" si="752"/>
        <v>4.6678660629199731E-2</v>
      </c>
      <c r="R1064" s="7">
        <f t="shared" si="752"/>
        <v>4.6678660629199717E-2</v>
      </c>
      <c r="S1064" s="7">
        <f t="shared" si="752"/>
        <v>4.6678660629199731E-2</v>
      </c>
      <c r="T1064" s="7">
        <f t="shared" si="752"/>
        <v>4.6678660629199731E-2</v>
      </c>
      <c r="U1064" s="7">
        <f t="shared" si="752"/>
        <v>4.6678660629199731E-2</v>
      </c>
      <c r="V1064" s="7">
        <f t="shared" si="752"/>
        <v>4.6678660629199731E-2</v>
      </c>
      <c r="W1064" s="7">
        <f t="shared" si="752"/>
        <v>4.6678660629199731E-2</v>
      </c>
      <c r="X1064" s="7">
        <f t="shared" si="752"/>
        <v>4.6678660629199731E-2</v>
      </c>
      <c r="Y1064" s="7">
        <f t="shared" si="752"/>
        <v>4.6444409600998444E-2</v>
      </c>
      <c r="Z1064" s="7">
        <f t="shared" si="752"/>
        <v>4.6443864650118606E-2</v>
      </c>
      <c r="AA1064" s="7">
        <f t="shared" si="752"/>
        <v>4.6442638716125757E-2</v>
      </c>
      <c r="AB1064" s="7">
        <f t="shared" si="752"/>
        <v>4.6440529965897884E-2</v>
      </c>
      <c r="AC1064" s="7">
        <f t="shared" si="752"/>
        <v>4.6437221605394374E-2</v>
      </c>
      <c r="AD1064" s="7">
        <f t="shared" si="752"/>
        <v>4.6071430140165959E-2</v>
      </c>
      <c r="AE1064" s="7">
        <f t="shared" si="752"/>
        <v>4.6063631975029697E-2</v>
      </c>
      <c r="AF1064" s="7">
        <f t="shared" si="752"/>
        <v>4.6050785639783196E-2</v>
      </c>
      <c r="AG1064" s="7">
        <f t="shared" si="752"/>
        <v>4.7320545917773814E-2</v>
      </c>
      <c r="AH1064" s="7">
        <f t="shared" si="752"/>
        <v>1.6343577377138298E-2</v>
      </c>
      <c r="AI1064" s="7">
        <f t="shared" si="752"/>
        <v>0</v>
      </c>
      <c r="AJ1064" s="7">
        <f t="shared" si="752"/>
        <v>0</v>
      </c>
      <c r="AK1064" s="7">
        <f t="shared" si="752"/>
        <v>0</v>
      </c>
      <c r="AL1064" s="7">
        <f t="shared" si="752"/>
        <v>0</v>
      </c>
      <c r="AM1064" s="7">
        <f t="shared" si="752"/>
        <v>0</v>
      </c>
      <c r="AN1064" s="7">
        <f t="shared" si="752"/>
        <v>0</v>
      </c>
      <c r="AO1064" s="7">
        <f t="shared" si="752"/>
        <v>0</v>
      </c>
      <c r="AP1064" s="7">
        <f t="shared" si="752"/>
        <v>0</v>
      </c>
      <c r="AQ1064" s="7">
        <f t="shared" si="752"/>
        <v>0</v>
      </c>
      <c r="AR1064" s="7">
        <f t="shared" si="752"/>
        <v>0</v>
      </c>
      <c r="AS1064" s="7">
        <f t="shared" si="752"/>
        <v>0</v>
      </c>
      <c r="AT1064" s="7">
        <f t="shared" si="752"/>
        <v>0</v>
      </c>
      <c r="AU1064" s="7">
        <f t="shared" si="752"/>
        <v>0</v>
      </c>
      <c r="AV1064" s="7">
        <f t="shared" si="752"/>
        <v>0</v>
      </c>
      <c r="AW1064" s="7">
        <f t="shared" si="752"/>
        <v>0</v>
      </c>
      <c r="AX1064" s="7">
        <f t="shared" si="752"/>
        <v>0</v>
      </c>
      <c r="AY1064" s="7">
        <f t="shared" si="752"/>
        <v>0</v>
      </c>
      <c r="AZ1064" s="7">
        <f t="shared" si="752"/>
        <v>0</v>
      </c>
      <c r="BA1064" s="7">
        <f t="shared" si="752"/>
        <v>0</v>
      </c>
      <c r="BB1064" s="7">
        <f t="shared" si="752"/>
        <v>0</v>
      </c>
      <c r="BC1064" s="7">
        <f t="shared" si="752"/>
        <v>0</v>
      </c>
      <c r="BD1064" s="7">
        <f t="shared" si="752"/>
        <v>0</v>
      </c>
    </row>
    <row r="1065" spans="3:56" ht="15" customHeight="1">
      <c r="C1065" s="21"/>
      <c r="D1065" s="95" t="str">
        <f t="shared" si="744"/>
        <v>South Africa (gold)</v>
      </c>
      <c r="E1065" s="11" t="s">
        <v>745</v>
      </c>
      <c r="F1065" s="99">
        <f t="shared" si="746"/>
        <v>8</v>
      </c>
      <c r="G1065" s="7">
        <f t="shared" ref="G1065:BD1065" si="753">G1037/SUM($G1037:$BD1037)</f>
        <v>0</v>
      </c>
      <c r="H1065" s="7">
        <f t="shared" si="753"/>
        <v>0</v>
      </c>
      <c r="I1065" s="7">
        <f t="shared" si="753"/>
        <v>1.0441345837391926E-3</v>
      </c>
      <c r="J1065" s="7">
        <f t="shared" si="753"/>
        <v>4.1765383349567703E-3</v>
      </c>
      <c r="K1065" s="7">
        <f t="shared" si="753"/>
        <v>3.2127684350839458E-3</v>
      </c>
      <c r="L1065" s="7">
        <f t="shared" si="753"/>
        <v>1.5298479865262173E-2</v>
      </c>
      <c r="M1065" s="7">
        <f t="shared" si="753"/>
        <v>2.6265676634774443E-2</v>
      </c>
      <c r="N1065" s="7">
        <f t="shared" si="753"/>
        <v>4.3785430411760029E-2</v>
      </c>
      <c r="O1065" s="7">
        <f t="shared" si="753"/>
        <v>4.4137610311069338E-2</v>
      </c>
      <c r="P1065" s="7">
        <f t="shared" si="753"/>
        <v>4.6719848088690639E-2</v>
      </c>
      <c r="Q1065" s="7">
        <f t="shared" si="753"/>
        <v>4.6719848088690639E-2</v>
      </c>
      <c r="R1065" s="7">
        <f t="shared" si="753"/>
        <v>4.6719848088690626E-2</v>
      </c>
      <c r="S1065" s="7">
        <f t="shared" si="753"/>
        <v>4.6719848088690639E-2</v>
      </c>
      <c r="T1065" s="7">
        <f t="shared" si="753"/>
        <v>4.6719848088690639E-2</v>
      </c>
      <c r="U1065" s="7">
        <f t="shared" si="753"/>
        <v>4.6719848088690639E-2</v>
      </c>
      <c r="V1065" s="7">
        <f t="shared" si="753"/>
        <v>4.6719848088690639E-2</v>
      </c>
      <c r="W1065" s="7">
        <f t="shared" si="753"/>
        <v>4.6719848088690639E-2</v>
      </c>
      <c r="X1065" s="7">
        <f t="shared" si="753"/>
        <v>4.6719848088690646E-2</v>
      </c>
      <c r="Y1065" s="7">
        <f t="shared" si="753"/>
        <v>4.6479526203307552E-2</v>
      </c>
      <c r="Z1065" s="7">
        <f t="shared" si="753"/>
        <v>4.6478967129463186E-2</v>
      </c>
      <c r="AA1065" s="7">
        <f t="shared" si="753"/>
        <v>4.6477709424125532E-2</v>
      </c>
      <c r="AB1065" s="7">
        <f t="shared" si="753"/>
        <v>4.6475546023458929E-2</v>
      </c>
      <c r="AC1065" s="7">
        <f t="shared" si="753"/>
        <v>4.6472151923378197E-2</v>
      </c>
      <c r="AD1065" s="7">
        <f t="shared" si="753"/>
        <v>4.6061543773364147E-2</v>
      </c>
      <c r="AE1065" s="7">
        <f t="shared" si="753"/>
        <v>4.6053543510729378E-2</v>
      </c>
      <c r="AF1065" s="7">
        <f t="shared" si="753"/>
        <v>4.6040364249445416E-2</v>
      </c>
      <c r="AG1065" s="7">
        <f t="shared" si="753"/>
        <v>4.8905147497685805E-2</v>
      </c>
      <c r="AH1065" s="7">
        <f t="shared" si="753"/>
        <v>2.2156228890180141E-2</v>
      </c>
      <c r="AI1065" s="7">
        <f t="shared" si="753"/>
        <v>0</v>
      </c>
      <c r="AJ1065" s="7">
        <f t="shared" si="753"/>
        <v>0</v>
      </c>
      <c r="AK1065" s="7">
        <f t="shared" si="753"/>
        <v>0</v>
      </c>
      <c r="AL1065" s="7">
        <f t="shared" si="753"/>
        <v>0</v>
      </c>
      <c r="AM1065" s="7">
        <f t="shared" si="753"/>
        <v>0</v>
      </c>
      <c r="AN1065" s="7">
        <f t="shared" si="753"/>
        <v>0</v>
      </c>
      <c r="AO1065" s="7">
        <f t="shared" si="753"/>
        <v>0</v>
      </c>
      <c r="AP1065" s="7">
        <f t="shared" si="753"/>
        <v>0</v>
      </c>
      <c r="AQ1065" s="7">
        <f t="shared" si="753"/>
        <v>0</v>
      </c>
      <c r="AR1065" s="7">
        <f t="shared" si="753"/>
        <v>0</v>
      </c>
      <c r="AS1065" s="7">
        <f t="shared" si="753"/>
        <v>0</v>
      </c>
      <c r="AT1065" s="7">
        <f t="shared" si="753"/>
        <v>0</v>
      </c>
      <c r="AU1065" s="7">
        <f t="shared" si="753"/>
        <v>0</v>
      </c>
      <c r="AV1065" s="7">
        <f t="shared" si="753"/>
        <v>0</v>
      </c>
      <c r="AW1065" s="7">
        <f t="shared" si="753"/>
        <v>0</v>
      </c>
      <c r="AX1065" s="7">
        <f t="shared" si="753"/>
        <v>0</v>
      </c>
      <c r="AY1065" s="7">
        <f t="shared" si="753"/>
        <v>0</v>
      </c>
      <c r="AZ1065" s="7">
        <f t="shared" si="753"/>
        <v>0</v>
      </c>
      <c r="BA1065" s="7">
        <f t="shared" si="753"/>
        <v>0</v>
      </c>
      <c r="BB1065" s="7">
        <f t="shared" si="753"/>
        <v>0</v>
      </c>
      <c r="BC1065" s="7">
        <f t="shared" si="753"/>
        <v>0</v>
      </c>
      <c r="BD1065" s="7">
        <f t="shared" si="753"/>
        <v>0</v>
      </c>
    </row>
    <row r="1066" spans="3:56" ht="15" customHeight="1">
      <c r="C1066" s="21"/>
      <c r="D1066" s="95" t="str">
        <f t="shared" si="744"/>
        <v>Indonesia</v>
      </c>
      <c r="E1066" s="11" t="s">
        <v>745</v>
      </c>
      <c r="F1066" s="99">
        <f t="shared" si="746"/>
        <v>9</v>
      </c>
      <c r="G1066" s="7">
        <f t="shared" ref="G1066:BD1066" si="754">G1038/SUM($G1038:$BD1038)</f>
        <v>0</v>
      </c>
      <c r="H1066" s="7">
        <f t="shared" si="754"/>
        <v>0</v>
      </c>
      <c r="I1066" s="7">
        <f t="shared" si="754"/>
        <v>1.3779091111838246E-3</v>
      </c>
      <c r="J1066" s="7">
        <f t="shared" si="754"/>
        <v>5.5116364447352992E-3</v>
      </c>
      <c r="K1066" s="7">
        <f t="shared" si="754"/>
        <v>8.6150165024354384E-3</v>
      </c>
      <c r="L1066" s="7">
        <f t="shared" si="754"/>
        <v>3.3410407132280016E-2</v>
      </c>
      <c r="M1066" s="7">
        <f t="shared" si="754"/>
        <v>3.473127677673666E-2</v>
      </c>
      <c r="N1066" s="7">
        <f t="shared" si="754"/>
        <v>4.3079458238815267E-2</v>
      </c>
      <c r="O1066" s="7">
        <f t="shared" si="754"/>
        <v>4.3210244546481494E-2</v>
      </c>
      <c r="P1066" s="7">
        <f t="shared" si="754"/>
        <v>4.5822323617945394E-2</v>
      </c>
      <c r="Q1066" s="7">
        <f t="shared" si="754"/>
        <v>4.5696320691797326E-2</v>
      </c>
      <c r="R1066" s="7">
        <f t="shared" si="754"/>
        <v>4.5572788411260008E-2</v>
      </c>
      <c r="S1066" s="7">
        <f t="shared" si="754"/>
        <v>4.5451678332301855E-2</v>
      </c>
      <c r="T1066" s="7">
        <f t="shared" si="754"/>
        <v>4.533294296077426E-2</v>
      </c>
      <c r="U1066" s="7">
        <f t="shared" si="754"/>
        <v>4.5216535733786423E-2</v>
      </c>
      <c r="V1066" s="7">
        <f t="shared" si="754"/>
        <v>4.5102411001445394E-2</v>
      </c>
      <c r="W1066" s="7">
        <f t="shared" si="754"/>
        <v>4.4990524008954196E-2</v>
      </c>
      <c r="X1066" s="7">
        <f t="shared" si="754"/>
        <v>4.4880830879060869E-2</v>
      </c>
      <c r="Y1066" s="7">
        <f t="shared" si="754"/>
        <v>4.4547368787425885E-2</v>
      </c>
      <c r="Z1066" s="7">
        <f t="shared" si="754"/>
        <v>4.4441409605947314E-2</v>
      </c>
      <c r="AA1066" s="7">
        <f t="shared" si="754"/>
        <v>4.5763115216561998E-2</v>
      </c>
      <c r="AB1066" s="7">
        <f t="shared" si="754"/>
        <v>4.5761081464782777E-2</v>
      </c>
      <c r="AC1066" s="7">
        <f t="shared" si="754"/>
        <v>4.5757890767292198E-2</v>
      </c>
      <c r="AD1066" s="7">
        <f t="shared" si="754"/>
        <v>4.5385538501747452E-2</v>
      </c>
      <c r="AE1066" s="7">
        <f t="shared" si="754"/>
        <v>4.5378017681115893E-2</v>
      </c>
      <c r="AF1066" s="7">
        <f t="shared" si="754"/>
        <v>4.5365628230331828E-2</v>
      </c>
      <c r="AG1066" s="7">
        <f t="shared" si="754"/>
        <v>4.6629799189851565E-2</v>
      </c>
      <c r="AH1066" s="7">
        <f t="shared" si="754"/>
        <v>1.2967846164949337E-2</v>
      </c>
      <c r="AI1066" s="7">
        <f t="shared" si="754"/>
        <v>0</v>
      </c>
      <c r="AJ1066" s="7">
        <f t="shared" si="754"/>
        <v>0</v>
      </c>
      <c r="AK1066" s="7">
        <f t="shared" si="754"/>
        <v>0</v>
      </c>
      <c r="AL1066" s="7">
        <f t="shared" si="754"/>
        <v>0</v>
      </c>
      <c r="AM1066" s="7">
        <f t="shared" si="754"/>
        <v>0</v>
      </c>
      <c r="AN1066" s="7">
        <f t="shared" si="754"/>
        <v>0</v>
      </c>
      <c r="AO1066" s="7">
        <f t="shared" si="754"/>
        <v>0</v>
      </c>
      <c r="AP1066" s="7">
        <f t="shared" si="754"/>
        <v>0</v>
      </c>
      <c r="AQ1066" s="7">
        <f t="shared" si="754"/>
        <v>0</v>
      </c>
      <c r="AR1066" s="7">
        <f t="shared" si="754"/>
        <v>0</v>
      </c>
      <c r="AS1066" s="7">
        <f t="shared" si="754"/>
        <v>0</v>
      </c>
      <c r="AT1066" s="7">
        <f t="shared" si="754"/>
        <v>0</v>
      </c>
      <c r="AU1066" s="7">
        <f t="shared" si="754"/>
        <v>0</v>
      </c>
      <c r="AV1066" s="7">
        <f t="shared" si="754"/>
        <v>0</v>
      </c>
      <c r="AW1066" s="7">
        <f t="shared" si="754"/>
        <v>0</v>
      </c>
      <c r="AX1066" s="7">
        <f t="shared" si="754"/>
        <v>0</v>
      </c>
      <c r="AY1066" s="7">
        <f t="shared" si="754"/>
        <v>0</v>
      </c>
      <c r="AZ1066" s="7">
        <f t="shared" si="754"/>
        <v>0</v>
      </c>
      <c r="BA1066" s="7">
        <f t="shared" si="754"/>
        <v>0</v>
      </c>
      <c r="BB1066" s="7">
        <f t="shared" si="754"/>
        <v>0</v>
      </c>
      <c r="BC1066" s="7">
        <f t="shared" si="754"/>
        <v>0</v>
      </c>
      <c r="BD1066" s="7">
        <f t="shared" si="754"/>
        <v>0</v>
      </c>
    </row>
    <row r="1067" spans="3:56" ht="15" customHeight="1">
      <c r="C1067" s="21"/>
      <c r="D1067" s="95" t="str">
        <f t="shared" si="744"/>
        <v>Peru</v>
      </c>
      <c r="E1067" s="11" t="s">
        <v>745</v>
      </c>
      <c r="F1067" s="99">
        <f t="shared" si="746"/>
        <v>10</v>
      </c>
      <c r="G1067" s="7">
        <f t="shared" ref="G1067:BD1067" si="755">G1039/SUM($G1039:$BD1039)</f>
        <v>0</v>
      </c>
      <c r="H1067" s="7">
        <f t="shared" si="755"/>
        <v>0</v>
      </c>
      <c r="I1067" s="7">
        <f t="shared" si="755"/>
        <v>0</v>
      </c>
      <c r="J1067" s="7">
        <f t="shared" si="755"/>
        <v>0</v>
      </c>
      <c r="K1067" s="7">
        <f t="shared" si="755"/>
        <v>8.3275945858630514E-3</v>
      </c>
      <c r="L1067" s="7">
        <f t="shared" si="755"/>
        <v>4.013563458888101E-2</v>
      </c>
      <c r="M1067" s="7">
        <f t="shared" si="755"/>
        <v>4.0941554936046037E-2</v>
      </c>
      <c r="N1067" s="7">
        <f t="shared" si="755"/>
        <v>4.302934392547629E-2</v>
      </c>
      <c r="O1067" s="7">
        <f t="shared" si="755"/>
        <v>4.3047236550407784E-2</v>
      </c>
      <c r="P1067" s="7">
        <f t="shared" si="755"/>
        <v>4.3813755438309725E-2</v>
      </c>
      <c r="Q1067" s="7">
        <f t="shared" si="755"/>
        <v>4.3470484970842112E-2</v>
      </c>
      <c r="R1067" s="7">
        <f t="shared" si="755"/>
        <v>4.3133945296854236E-2</v>
      </c>
      <c r="S1067" s="7">
        <f t="shared" si="755"/>
        <v>4.2804004440003408E-2</v>
      </c>
      <c r="T1067" s="7">
        <f t="shared" si="755"/>
        <v>4.2480533011718266E-2</v>
      </c>
      <c r="U1067" s="7">
        <f t="shared" si="755"/>
        <v>4.6539167110063825E-2</v>
      </c>
      <c r="V1067" s="7">
        <f t="shared" si="755"/>
        <v>4.6539167110063819E-2</v>
      </c>
      <c r="W1067" s="7">
        <f t="shared" si="755"/>
        <v>4.6539167110063825E-2</v>
      </c>
      <c r="X1067" s="7">
        <f t="shared" si="755"/>
        <v>4.6539167110063825E-2</v>
      </c>
      <c r="Y1067" s="7">
        <f t="shared" si="755"/>
        <v>4.631251626297829E-2</v>
      </c>
      <c r="Z1067" s="7">
        <f t="shared" si="755"/>
        <v>4.6311988992812261E-2</v>
      </c>
      <c r="AA1067" s="7">
        <f t="shared" si="755"/>
        <v>4.6310802833758512E-2</v>
      </c>
      <c r="AB1067" s="7">
        <f t="shared" si="755"/>
        <v>4.6308762501090138E-2</v>
      </c>
      <c r="AC1067" s="7">
        <f t="shared" si="755"/>
        <v>4.6305561479022733E-2</v>
      </c>
      <c r="AD1067" s="7">
        <f t="shared" si="755"/>
        <v>4.5848998132071384E-2</v>
      </c>
      <c r="AE1067" s="7">
        <f t="shared" si="755"/>
        <v>4.5841452975290554E-2</v>
      </c>
      <c r="AF1067" s="7">
        <f t="shared" si="755"/>
        <v>4.582902343426392E-2</v>
      </c>
      <c r="AG1067" s="7">
        <f t="shared" si="755"/>
        <v>4.6477942695180477E-2</v>
      </c>
      <c r="AH1067" s="7">
        <f t="shared" si="755"/>
        <v>7.1121945088747562E-3</v>
      </c>
      <c r="AI1067" s="7">
        <f t="shared" si="755"/>
        <v>0</v>
      </c>
      <c r="AJ1067" s="7">
        <f t="shared" si="755"/>
        <v>0</v>
      </c>
      <c r="AK1067" s="7">
        <f t="shared" si="755"/>
        <v>0</v>
      </c>
      <c r="AL1067" s="7">
        <f t="shared" si="755"/>
        <v>0</v>
      </c>
      <c r="AM1067" s="7">
        <f t="shared" si="755"/>
        <v>0</v>
      </c>
      <c r="AN1067" s="7">
        <f t="shared" si="755"/>
        <v>0</v>
      </c>
      <c r="AO1067" s="7">
        <f t="shared" si="755"/>
        <v>0</v>
      </c>
      <c r="AP1067" s="7">
        <f t="shared" si="755"/>
        <v>0</v>
      </c>
      <c r="AQ1067" s="7">
        <f t="shared" si="755"/>
        <v>0</v>
      </c>
      <c r="AR1067" s="7">
        <f t="shared" si="755"/>
        <v>0</v>
      </c>
      <c r="AS1067" s="7">
        <f t="shared" si="755"/>
        <v>0</v>
      </c>
      <c r="AT1067" s="7">
        <f t="shared" si="755"/>
        <v>0</v>
      </c>
      <c r="AU1067" s="7">
        <f t="shared" si="755"/>
        <v>0</v>
      </c>
      <c r="AV1067" s="7">
        <f t="shared" si="755"/>
        <v>0</v>
      </c>
      <c r="AW1067" s="7">
        <f t="shared" si="755"/>
        <v>0</v>
      </c>
      <c r="AX1067" s="7">
        <f t="shared" si="755"/>
        <v>0</v>
      </c>
      <c r="AY1067" s="7">
        <f t="shared" si="755"/>
        <v>0</v>
      </c>
      <c r="AZ1067" s="7">
        <f t="shared" si="755"/>
        <v>0</v>
      </c>
      <c r="BA1067" s="7">
        <f t="shared" si="755"/>
        <v>0</v>
      </c>
      <c r="BB1067" s="7">
        <f t="shared" si="755"/>
        <v>0</v>
      </c>
      <c r="BC1067" s="7">
        <f t="shared" si="755"/>
        <v>0</v>
      </c>
      <c r="BD1067" s="7">
        <f t="shared" si="755"/>
        <v>0</v>
      </c>
    </row>
    <row r="1068" spans="3:56" ht="15" customHeight="1">
      <c r="C1068" s="21"/>
      <c r="D1068" s="95" t="str">
        <f t="shared" si="744"/>
        <v>Western Australia</v>
      </c>
      <c r="E1068" s="11" t="s">
        <v>745</v>
      </c>
      <c r="F1068" s="99">
        <f t="shared" si="746"/>
        <v>11</v>
      </c>
      <c r="G1068" s="7">
        <f t="shared" ref="G1068:BD1068" si="756">G1040/SUM($G1040:$BD1040)</f>
        <v>0</v>
      </c>
      <c r="H1068" s="7">
        <f t="shared" si="756"/>
        <v>0</v>
      </c>
      <c r="I1068" s="7">
        <f t="shared" si="756"/>
        <v>1.3225230304708736E-3</v>
      </c>
      <c r="J1068" s="7">
        <f t="shared" si="756"/>
        <v>5.2900921218834935E-3</v>
      </c>
      <c r="K1068" s="7">
        <f t="shared" si="756"/>
        <v>7.5000633578929396E-3</v>
      </c>
      <c r="L1068" s="7">
        <f t="shared" si="756"/>
        <v>4.3313744266508844E-2</v>
      </c>
      <c r="M1068" s="7">
        <f t="shared" si="756"/>
        <v>4.3257845332327148E-2</v>
      </c>
      <c r="N1068" s="7">
        <f t="shared" si="756"/>
        <v>4.3196185771450089E-2</v>
      </c>
      <c r="O1068" s="7">
        <f t="shared" si="756"/>
        <v>4.3129012982131086E-2</v>
      </c>
      <c r="P1068" s="7">
        <f t="shared" si="756"/>
        <v>4.3056566875505083E-2</v>
      </c>
      <c r="Q1068" s="7">
        <f t="shared" si="756"/>
        <v>4.2656019739619952E-2</v>
      </c>
      <c r="R1068" s="7">
        <f t="shared" si="756"/>
        <v>4.2263326469144324E-2</v>
      </c>
      <c r="S1068" s="7">
        <f t="shared" si="756"/>
        <v>4.1878333066717247E-2</v>
      </c>
      <c r="T1068" s="7">
        <f t="shared" si="756"/>
        <v>4.1500888554533849E-2</v>
      </c>
      <c r="U1068" s="7">
        <f t="shared" si="756"/>
        <v>4.6236729291696622E-2</v>
      </c>
      <c r="V1068" s="7">
        <f t="shared" si="756"/>
        <v>4.6236729291696629E-2</v>
      </c>
      <c r="W1068" s="7">
        <f t="shared" si="756"/>
        <v>4.6236729291696636E-2</v>
      </c>
      <c r="X1068" s="7">
        <f t="shared" si="756"/>
        <v>4.6236729291696636E-2</v>
      </c>
      <c r="Y1068" s="7">
        <f t="shared" si="756"/>
        <v>4.6012301141071278E-2</v>
      </c>
      <c r="Z1068" s="7">
        <f t="shared" si="756"/>
        <v>4.6011779041684638E-2</v>
      </c>
      <c r="AA1068" s="7">
        <f t="shared" si="756"/>
        <v>4.6010604514934772E-2</v>
      </c>
      <c r="AB1068" s="7">
        <f t="shared" si="756"/>
        <v>4.6008584191193164E-2</v>
      </c>
      <c r="AC1068" s="7">
        <f t="shared" si="756"/>
        <v>4.6005414560583185E-2</v>
      </c>
      <c r="AD1068" s="7">
        <f t="shared" si="756"/>
        <v>4.5654961874479219E-2</v>
      </c>
      <c r="AE1068" s="7">
        <f t="shared" si="756"/>
        <v>4.5647490710774022E-2</v>
      </c>
      <c r="AF1068" s="7">
        <f t="shared" si="756"/>
        <v>4.5635183062505323E-2</v>
      </c>
      <c r="AG1068" s="7">
        <f t="shared" si="756"/>
        <v>4.5646424874359076E-2</v>
      </c>
      <c r="AH1068" s="7">
        <f t="shared" si="756"/>
        <v>4.0557372934440115E-3</v>
      </c>
      <c r="AI1068" s="7">
        <f t="shared" si="756"/>
        <v>0</v>
      </c>
      <c r="AJ1068" s="7">
        <f t="shared" si="756"/>
        <v>0</v>
      </c>
      <c r="AK1068" s="7">
        <f t="shared" si="756"/>
        <v>0</v>
      </c>
      <c r="AL1068" s="7">
        <f t="shared" si="756"/>
        <v>0</v>
      </c>
      <c r="AM1068" s="7">
        <f t="shared" si="756"/>
        <v>0</v>
      </c>
      <c r="AN1068" s="7">
        <f t="shared" si="756"/>
        <v>0</v>
      </c>
      <c r="AO1068" s="7">
        <f t="shared" si="756"/>
        <v>0</v>
      </c>
      <c r="AP1068" s="7">
        <f t="shared" si="756"/>
        <v>0</v>
      </c>
      <c r="AQ1068" s="7">
        <f t="shared" si="756"/>
        <v>0</v>
      </c>
      <c r="AR1068" s="7">
        <f t="shared" si="756"/>
        <v>0</v>
      </c>
      <c r="AS1068" s="7">
        <f t="shared" si="756"/>
        <v>0</v>
      </c>
      <c r="AT1068" s="7">
        <f t="shared" si="756"/>
        <v>0</v>
      </c>
      <c r="AU1068" s="7">
        <f t="shared" si="756"/>
        <v>0</v>
      </c>
      <c r="AV1068" s="7">
        <f t="shared" si="756"/>
        <v>0</v>
      </c>
      <c r="AW1068" s="7">
        <f t="shared" si="756"/>
        <v>0</v>
      </c>
      <c r="AX1068" s="7">
        <f t="shared" si="756"/>
        <v>0</v>
      </c>
      <c r="AY1068" s="7">
        <f t="shared" si="756"/>
        <v>0</v>
      </c>
      <c r="AZ1068" s="7">
        <f t="shared" si="756"/>
        <v>0</v>
      </c>
      <c r="BA1068" s="7">
        <f t="shared" si="756"/>
        <v>0</v>
      </c>
      <c r="BB1068" s="7">
        <f t="shared" si="756"/>
        <v>0</v>
      </c>
      <c r="BC1068" s="7">
        <f t="shared" si="756"/>
        <v>0</v>
      </c>
      <c r="BD1068" s="7">
        <f t="shared" si="756"/>
        <v>0</v>
      </c>
    </row>
    <row r="1069" spans="3:56" ht="15" customHeight="1">
      <c r="C1069" s="21"/>
      <c r="D1069" s="95"/>
      <c r="F1069" s="99"/>
      <c r="G1069" s="19"/>
      <c r="H1069" s="19"/>
      <c r="I1069" s="19"/>
      <c r="J1069" s="19"/>
      <c r="K1069" s="19"/>
      <c r="L1069" s="19"/>
      <c r="M1069" s="19"/>
      <c r="N1069" s="19"/>
      <c r="O1069" s="19"/>
      <c r="P1069" s="19"/>
      <c r="Q1069" s="19"/>
      <c r="R1069" s="19"/>
      <c r="S1069" s="19"/>
      <c r="T1069" s="19"/>
      <c r="U1069" s="19"/>
      <c r="V1069" s="19"/>
      <c r="W1069" s="19"/>
      <c r="X1069" s="19"/>
      <c r="Y1069" s="19"/>
      <c r="Z1069" s="19"/>
      <c r="AA1069" s="19"/>
      <c r="AB1069" s="19"/>
      <c r="AC1069" s="19"/>
      <c r="AD1069" s="19"/>
      <c r="AE1069" s="19"/>
      <c r="AF1069" s="19"/>
      <c r="AG1069" s="19"/>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row>
    <row r="1070" spans="3:56" ht="15" customHeight="1">
      <c r="C1070" s="21"/>
      <c r="D1070" s="463"/>
      <c r="E1070" s="463"/>
      <c r="F1070" s="557"/>
      <c r="G1070" s="558" t="s">
        <v>734</v>
      </c>
      <c r="H1070" s="559" t="s">
        <v>735</v>
      </c>
      <c r="I1070" s="559" t="s">
        <v>736</v>
      </c>
      <c r="J1070" s="559" t="s">
        <v>737</v>
      </c>
      <c r="K1070" s="559" t="s">
        <v>738</v>
      </c>
      <c r="L1070" s="559" t="s">
        <v>739</v>
      </c>
      <c r="M1070" s="559" t="s">
        <v>740</v>
      </c>
      <c r="N1070" s="559" t="s">
        <v>741</v>
      </c>
      <c r="O1070" s="559" t="s">
        <v>742</v>
      </c>
      <c r="P1070" s="559" t="s">
        <v>743</v>
      </c>
      <c r="Q1070" s="559"/>
      <c r="R1070" s="559"/>
      <c r="S1070" s="544"/>
      <c r="T1070" s="544"/>
      <c r="U1070" s="544"/>
      <c r="V1070" s="544"/>
      <c r="W1070" s="544"/>
      <c r="X1070" s="544"/>
      <c r="Y1070" s="544"/>
      <c r="Z1070" s="544"/>
      <c r="AA1070" s="544"/>
      <c r="AB1070" s="544"/>
      <c r="AC1070" s="544"/>
      <c r="AD1070" s="544"/>
      <c r="AE1070" s="544"/>
      <c r="AF1070" s="544"/>
      <c r="AG1070" s="544"/>
      <c r="AH1070" s="544"/>
      <c r="AI1070" s="544"/>
      <c r="AJ1070" s="544"/>
      <c r="AK1070" s="544"/>
      <c r="AL1070" s="544"/>
      <c r="AM1070" s="544"/>
      <c r="AN1070" s="544"/>
      <c r="AO1070" s="544"/>
      <c r="AP1070" s="544"/>
      <c r="AQ1070" s="544"/>
      <c r="AR1070" s="544"/>
      <c r="AS1070" s="544"/>
      <c r="AT1070" s="544"/>
      <c r="AU1070" s="544"/>
      <c r="AV1070" s="544"/>
      <c r="AW1070" s="544"/>
      <c r="AX1070" s="544"/>
      <c r="AY1070" s="544"/>
      <c r="AZ1070" s="544"/>
      <c r="BA1070" s="544"/>
      <c r="BB1070" s="544"/>
      <c r="BC1070" s="544"/>
      <c r="BD1070" s="544"/>
    </row>
    <row r="1071" spans="3:56" ht="15" customHeight="1">
      <c r="C1071" s="21"/>
      <c r="D1071" s="273"/>
      <c r="E1071" s="273"/>
      <c r="F1071" s="288"/>
      <c r="G1071" s="289"/>
      <c r="H1071" s="290"/>
      <c r="I1071" s="290"/>
      <c r="J1071" s="290"/>
      <c r="K1071" s="290"/>
      <c r="L1071" s="290"/>
      <c r="M1071" s="290"/>
      <c r="N1071" s="290"/>
      <c r="O1071" s="290"/>
      <c r="P1071" s="290"/>
      <c r="Q1071" s="290"/>
      <c r="R1071" s="290"/>
      <c r="S1071" s="291"/>
      <c r="T1071" s="291"/>
      <c r="U1071" s="291"/>
      <c r="V1071" s="291"/>
      <c r="W1071" s="291"/>
      <c r="X1071" s="291"/>
      <c r="Y1071" s="291"/>
      <c r="Z1071" s="291"/>
      <c r="AA1071" s="291"/>
      <c r="AB1071" s="291"/>
      <c r="AC1071" s="291"/>
      <c r="AD1071" s="291"/>
      <c r="AE1071" s="291"/>
      <c r="AF1071" s="291"/>
      <c r="AG1071" s="291"/>
      <c r="AH1071" s="291"/>
      <c r="AI1071" s="291"/>
      <c r="AJ1071" s="291"/>
      <c r="AK1071" s="291"/>
      <c r="AL1071" s="291"/>
      <c r="AM1071" s="291"/>
      <c r="AN1071" s="291"/>
      <c r="AO1071" s="291"/>
      <c r="AP1071" s="291"/>
      <c r="AQ1071" s="291"/>
      <c r="AR1071" s="291"/>
      <c r="AS1071" s="291"/>
      <c r="AT1071" s="291"/>
      <c r="AU1071" s="291"/>
      <c r="AV1071" s="291"/>
      <c r="AW1071" s="291"/>
      <c r="AX1071" s="291"/>
      <c r="AY1071" s="291"/>
      <c r="AZ1071" s="291"/>
      <c r="BA1071" s="291"/>
      <c r="BB1071" s="291"/>
      <c r="BC1071" s="291"/>
      <c r="BD1071" s="291"/>
    </row>
    <row r="1072" spans="3:56" ht="15" customHeight="1">
      <c r="C1072" s="21"/>
      <c r="D1072" s="79" t="str">
        <f>D1030</f>
        <v>Tanzania w/o sharing</v>
      </c>
      <c r="E1072" s="11" t="s">
        <v>745</v>
      </c>
      <c r="F1072" s="80"/>
      <c r="G1072" s="7">
        <f>SUM(G1058:K1058)</f>
        <v>1.1620910508413702E-2</v>
      </c>
      <c r="H1072" s="7">
        <f>SUM(L1058:P1058)</f>
        <v>0.1803081605628942</v>
      </c>
      <c r="I1072" s="7">
        <f>SUM(Q1058:U1058)</f>
        <v>0.2330068337077304</v>
      </c>
      <c r="J1072" s="7">
        <f>SUM(V1058:Z1058)</f>
        <v>0.23255634154513938</v>
      </c>
      <c r="K1072" s="7">
        <f>SUM(AA1058:AE1058)</f>
        <v>0.2311456416339889</v>
      </c>
      <c r="L1072" s="7">
        <f>SUM(AF1058:AJ1058)</f>
        <v>0.11136211204183316</v>
      </c>
      <c r="M1072" s="7">
        <f>SUM(AK1058:AO1058)</f>
        <v>0</v>
      </c>
      <c r="N1072" s="7">
        <f>SUM(AP1058:AT1058)</f>
        <v>0</v>
      </c>
      <c r="O1072" s="7">
        <f>SUM(AU1058:AY1058)</f>
        <v>0</v>
      </c>
      <c r="P1072" s="7">
        <f>SUM(AZ1058:BD1058)</f>
        <v>0</v>
      </c>
      <c r="Q1072" s="19"/>
      <c r="R1072" s="19"/>
      <c r="S1072" s="19"/>
      <c r="T1072" s="19"/>
      <c r="U1072" s="19"/>
      <c r="V1072" s="19"/>
      <c r="W1072" s="19"/>
      <c r="X1072" s="19"/>
      <c r="Y1072" s="19"/>
      <c r="Z1072" s="19"/>
      <c r="AA1072" s="19"/>
      <c r="AB1072" s="19"/>
      <c r="AC1072" s="19"/>
      <c r="AD1072" s="19"/>
      <c r="AE1072" s="19"/>
      <c r="AF1072" s="19"/>
      <c r="AG1072" s="19"/>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row>
    <row r="1073" spans="3:56" ht="15" customHeight="1">
      <c r="C1073" s="21"/>
      <c r="D1073" s="79" t="str">
        <f t="shared" ref="D1073:D1082" si="757">D1031</f>
        <v>Tanzania w 50/50 sharing</v>
      </c>
      <c r="E1073" s="11" t="s">
        <v>745</v>
      </c>
      <c r="F1073" s="99"/>
      <c r="G1073" s="7">
        <f t="shared" ref="G1073:G1082" si="758">SUM(G1059:K1059)</f>
        <v>1.6337479078473459E-2</v>
      </c>
      <c r="H1073" s="7">
        <f t="shared" ref="H1073:H1082" si="759">SUM(L1059:P1059)</f>
        <v>0.16243231170904485</v>
      </c>
      <c r="I1073" s="7">
        <f t="shared" ref="I1073:I1082" si="760">SUM(Q1059:U1059)</f>
        <v>0.2369070366782792</v>
      </c>
      <c r="J1073" s="7">
        <f t="shared" ref="J1073:J1082" si="761">SUM(V1059:Z1059)</f>
        <v>0.23637388887830196</v>
      </c>
      <c r="K1073" s="7">
        <f t="shared" ref="K1073:K1082" si="762">SUM(AA1059:AE1059)</f>
        <v>0.23466479151935363</v>
      </c>
      <c r="L1073" s="7">
        <f t="shared" ref="L1073:L1082" si="763">SUM(AF1059:AJ1059)</f>
        <v>0.11328449213654683</v>
      </c>
      <c r="M1073" s="7">
        <f t="shared" ref="M1073:M1082" si="764">SUM(AK1059:AO1059)</f>
        <v>0</v>
      </c>
      <c r="N1073" s="7">
        <f t="shared" ref="N1073:N1082" si="765">SUM(AP1059:AT1059)</f>
        <v>0</v>
      </c>
      <c r="O1073" s="7">
        <f t="shared" ref="O1073:O1082" si="766">SUM(AU1059:AY1059)</f>
        <v>0</v>
      </c>
      <c r="P1073" s="7">
        <f t="shared" ref="P1073:P1082" si="767">SUM(AZ1059:BD1059)</f>
        <v>0</v>
      </c>
      <c r="Q1073" s="19"/>
      <c r="R1073" s="19"/>
      <c r="S1073" s="19"/>
      <c r="T1073" s="19"/>
      <c r="U1073" s="19"/>
      <c r="V1073" s="19"/>
      <c r="W1073" s="19"/>
      <c r="X1073" s="19"/>
      <c r="Y1073" s="19"/>
      <c r="Z1073" s="19"/>
      <c r="AA1073" s="19"/>
      <c r="AB1073" s="19"/>
      <c r="AC1073" s="19"/>
      <c r="AD1073" s="19"/>
      <c r="AE1073" s="19"/>
      <c r="AF1073" s="19"/>
      <c r="AG1073" s="19"/>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row>
    <row r="1074" spans="3:56" ht="15" customHeight="1">
      <c r="C1074" s="21"/>
      <c r="D1074" s="79" t="str">
        <f t="shared" si="757"/>
        <v>Ecuador</v>
      </c>
      <c r="E1074" s="11" t="s">
        <v>745</v>
      </c>
      <c r="F1074" s="99"/>
      <c r="G1074" s="7">
        <f t="shared" si="758"/>
        <v>1.3020245513864295E-2</v>
      </c>
      <c r="H1074" s="7">
        <f t="shared" si="759"/>
        <v>0.19752207192366211</v>
      </c>
      <c r="I1074" s="7">
        <f t="shared" si="760"/>
        <v>0.2317636310746248</v>
      </c>
      <c r="J1074" s="7">
        <f t="shared" si="761"/>
        <v>0.23183509019523224</v>
      </c>
      <c r="K1074" s="7">
        <f t="shared" si="762"/>
        <v>0.22556358046688949</v>
      </c>
      <c r="L1074" s="7">
        <f t="shared" si="763"/>
        <v>0.10029538082572712</v>
      </c>
      <c r="M1074" s="7">
        <f t="shared" si="764"/>
        <v>0</v>
      </c>
      <c r="N1074" s="7">
        <f t="shared" si="765"/>
        <v>0</v>
      </c>
      <c r="O1074" s="7">
        <f t="shared" si="766"/>
        <v>0</v>
      </c>
      <c r="P1074" s="7">
        <f t="shared" si="767"/>
        <v>0</v>
      </c>
      <c r="Q1074" s="19"/>
      <c r="R1074" s="19"/>
      <c r="S1074" s="19"/>
      <c r="T1074" s="19"/>
      <c r="U1074" s="19"/>
      <c r="V1074" s="19"/>
      <c r="W1074" s="19"/>
      <c r="X1074" s="19"/>
      <c r="Y1074" s="19"/>
      <c r="Z1074" s="19"/>
      <c r="AA1074" s="19"/>
      <c r="AB1074" s="19"/>
      <c r="AC1074" s="19"/>
      <c r="AD1074" s="19"/>
      <c r="AE1074" s="19"/>
      <c r="AF1074" s="19"/>
      <c r="AG1074" s="19"/>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row>
    <row r="1075" spans="3:56" ht="15" customHeight="1">
      <c r="C1075" s="21"/>
      <c r="D1075" s="79" t="str">
        <f t="shared" si="757"/>
        <v>Philippines FTAA</v>
      </c>
      <c r="E1075" s="11" t="s">
        <v>745</v>
      </c>
      <c r="F1075" s="99"/>
      <c r="G1075" s="7">
        <f t="shared" si="758"/>
        <v>5.6019230366728002E-3</v>
      </c>
      <c r="H1075" s="7">
        <f t="shared" si="759"/>
        <v>0.19341764393991934</v>
      </c>
      <c r="I1075" s="7">
        <f t="shared" si="760"/>
        <v>0.22837006188936212</v>
      </c>
      <c r="J1075" s="7">
        <f t="shared" si="761"/>
        <v>0.22914026893795642</v>
      </c>
      <c r="K1075" s="7">
        <f t="shared" si="762"/>
        <v>0.22779313584282343</v>
      </c>
      <c r="L1075" s="7">
        <f t="shared" si="763"/>
        <v>0.11567696635326576</v>
      </c>
      <c r="M1075" s="7">
        <f t="shared" si="764"/>
        <v>0</v>
      </c>
      <c r="N1075" s="7">
        <f t="shared" si="765"/>
        <v>0</v>
      </c>
      <c r="O1075" s="7">
        <f t="shared" si="766"/>
        <v>0</v>
      </c>
      <c r="P1075" s="7">
        <f t="shared" si="767"/>
        <v>0</v>
      </c>
      <c r="Q1075" s="19"/>
      <c r="R1075" s="19"/>
      <c r="S1075" s="19"/>
      <c r="T1075" s="19"/>
      <c r="U1075" s="19"/>
      <c r="V1075" s="19"/>
      <c r="W1075" s="19"/>
      <c r="X1075" s="19"/>
      <c r="Y1075" s="19"/>
      <c r="Z1075" s="19"/>
      <c r="AA1075" s="19"/>
      <c r="AB1075" s="19"/>
      <c r="AC1075" s="19"/>
      <c r="AD1075" s="19"/>
      <c r="AE1075" s="19"/>
      <c r="AF1075" s="19"/>
      <c r="AG1075" s="19"/>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row>
    <row r="1076" spans="3:56" ht="15" customHeight="1">
      <c r="C1076" s="21"/>
      <c r="D1076" s="79" t="str">
        <f t="shared" si="757"/>
        <v>Burkina Faso</v>
      </c>
      <c r="E1076" s="11" t="s">
        <v>745</v>
      </c>
      <c r="F1076" s="99"/>
      <c r="G1076" s="7">
        <f t="shared" si="758"/>
        <v>1.0525851271622593E-2</v>
      </c>
      <c r="H1076" s="7">
        <f t="shared" si="759"/>
        <v>0.1874627139095133</v>
      </c>
      <c r="I1076" s="7">
        <f t="shared" si="760"/>
        <v>0.22846548252222565</v>
      </c>
      <c r="J1076" s="7">
        <f t="shared" si="761"/>
        <v>0.23239515878784497</v>
      </c>
      <c r="K1076" s="7">
        <f t="shared" si="762"/>
        <v>0.2310608563682075</v>
      </c>
      <c r="L1076" s="7">
        <f t="shared" si="763"/>
        <v>0.110089937140586</v>
      </c>
      <c r="M1076" s="7">
        <f t="shared" si="764"/>
        <v>0</v>
      </c>
      <c r="N1076" s="7">
        <f t="shared" si="765"/>
        <v>0</v>
      </c>
      <c r="O1076" s="7">
        <f t="shared" si="766"/>
        <v>0</v>
      </c>
      <c r="P1076" s="7">
        <f t="shared" si="767"/>
        <v>0</v>
      </c>
      <c r="Q1076" s="19"/>
      <c r="R1076" s="19"/>
      <c r="S1076" s="19"/>
      <c r="T1076" s="19"/>
      <c r="U1076" s="19"/>
      <c r="V1076" s="19"/>
      <c r="W1076" s="19"/>
      <c r="X1076" s="19"/>
      <c r="Y1076" s="19"/>
      <c r="Z1076" s="19"/>
      <c r="AA1076" s="19"/>
      <c r="AB1076" s="19"/>
      <c r="AC1076" s="19"/>
      <c r="AD1076" s="19"/>
      <c r="AE1076" s="19"/>
      <c r="AF1076" s="19"/>
      <c r="AG1076" s="19"/>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row>
    <row r="1077" spans="3:56" ht="15" customHeight="1">
      <c r="C1077" s="21"/>
      <c r="D1077" s="79" t="str">
        <f t="shared" si="757"/>
        <v>DRC</v>
      </c>
      <c r="E1077" s="11" t="s">
        <v>745</v>
      </c>
      <c r="F1077" s="99"/>
      <c r="G1077" s="7">
        <f t="shared" si="758"/>
        <v>1.0790545562909537E-2</v>
      </c>
      <c r="H1077" s="7">
        <f t="shared" si="759"/>
        <v>0.19663701278282825</v>
      </c>
      <c r="I1077" s="7">
        <f t="shared" si="760"/>
        <v>0.2233622960840688</v>
      </c>
      <c r="J1077" s="7">
        <f t="shared" si="761"/>
        <v>0.23273661632027279</v>
      </c>
      <c r="K1077" s="7">
        <f t="shared" si="762"/>
        <v>0.23125335606174408</v>
      </c>
      <c r="L1077" s="7">
        <f t="shared" si="763"/>
        <v>0.10522017318817639</v>
      </c>
      <c r="M1077" s="7">
        <f t="shared" si="764"/>
        <v>0</v>
      </c>
      <c r="N1077" s="7">
        <f t="shared" si="765"/>
        <v>0</v>
      </c>
      <c r="O1077" s="7">
        <f t="shared" si="766"/>
        <v>0</v>
      </c>
      <c r="P1077" s="7">
        <f t="shared" si="767"/>
        <v>0</v>
      </c>
      <c r="Q1077" s="19"/>
      <c r="R1077" s="19"/>
      <c r="S1077" s="19"/>
      <c r="T1077" s="19"/>
      <c r="U1077" s="19"/>
      <c r="V1077" s="19"/>
      <c r="W1077" s="19"/>
      <c r="X1077" s="19"/>
      <c r="Y1077" s="19"/>
      <c r="Z1077" s="19"/>
      <c r="AA1077" s="19"/>
      <c r="AB1077" s="19"/>
      <c r="AC1077" s="19"/>
      <c r="AD1077" s="19"/>
      <c r="AE1077" s="19"/>
      <c r="AF1077" s="19"/>
      <c r="AG1077" s="19"/>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row>
    <row r="1078" spans="3:56" ht="15" customHeight="1">
      <c r="C1078" s="21"/>
      <c r="D1078" s="79" t="str">
        <f t="shared" si="757"/>
        <v>Ghana</v>
      </c>
      <c r="E1078" s="11" t="s">
        <v>745</v>
      </c>
      <c r="F1078" s="99"/>
      <c r="G1078" s="7">
        <f t="shared" si="758"/>
        <v>1.2231899769708983E-2</v>
      </c>
      <c r="H1078" s="7">
        <f t="shared" si="759"/>
        <v>0.18028017960826742</v>
      </c>
      <c r="I1078" s="7">
        <f t="shared" si="760"/>
        <v>0.23339330314599865</v>
      </c>
      <c r="J1078" s="7">
        <f t="shared" si="761"/>
        <v>0.23292425613871623</v>
      </c>
      <c r="K1078" s="7">
        <f t="shared" si="762"/>
        <v>0.23145545240261367</v>
      </c>
      <c r="L1078" s="7">
        <f t="shared" si="763"/>
        <v>0.10971490893469529</v>
      </c>
      <c r="M1078" s="7">
        <f t="shared" si="764"/>
        <v>0</v>
      </c>
      <c r="N1078" s="7">
        <f t="shared" si="765"/>
        <v>0</v>
      </c>
      <c r="O1078" s="7">
        <f t="shared" si="766"/>
        <v>0</v>
      </c>
      <c r="P1078" s="7">
        <f t="shared" si="767"/>
        <v>0</v>
      </c>
      <c r="Q1078" s="19"/>
      <c r="R1078" s="19"/>
      <c r="S1078" s="19"/>
      <c r="T1078" s="19"/>
      <c r="U1078" s="19"/>
      <c r="V1078" s="19"/>
      <c r="W1078" s="19"/>
      <c r="X1078" s="19"/>
      <c r="Y1078" s="19"/>
      <c r="Z1078" s="19"/>
      <c r="AA1078" s="19"/>
      <c r="AB1078" s="19"/>
      <c r="AC1078" s="19"/>
      <c r="AD1078" s="19"/>
      <c r="AE1078" s="19"/>
      <c r="AF1078" s="19"/>
      <c r="AG1078" s="19"/>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row>
    <row r="1079" spans="3:56" ht="15" customHeight="1">
      <c r="C1079" s="21"/>
      <c r="D1079" s="79" t="str">
        <f t="shared" si="757"/>
        <v>South Africa (gold)</v>
      </c>
      <c r="E1079" s="11" t="s">
        <v>745</v>
      </c>
      <c r="F1079" s="99"/>
      <c r="G1079" s="7">
        <f t="shared" si="758"/>
        <v>8.433441353779908E-3</v>
      </c>
      <c r="H1079" s="7">
        <f t="shared" si="759"/>
        <v>0.17620704531155662</v>
      </c>
      <c r="I1079" s="7">
        <f t="shared" si="760"/>
        <v>0.2335992404434532</v>
      </c>
      <c r="J1079" s="7">
        <f t="shared" si="761"/>
        <v>0.23311803759884264</v>
      </c>
      <c r="K1079" s="7">
        <f t="shared" si="762"/>
        <v>0.23154049465505616</v>
      </c>
      <c r="L1079" s="7">
        <f t="shared" si="763"/>
        <v>0.11710174063731137</v>
      </c>
      <c r="M1079" s="7">
        <f t="shared" si="764"/>
        <v>0</v>
      </c>
      <c r="N1079" s="7">
        <f t="shared" si="765"/>
        <v>0</v>
      </c>
      <c r="O1079" s="7">
        <f t="shared" si="766"/>
        <v>0</v>
      </c>
      <c r="P1079" s="7">
        <f t="shared" si="767"/>
        <v>0</v>
      </c>
      <c r="Q1079" s="19"/>
      <c r="R1079" s="19"/>
      <c r="S1079" s="19"/>
      <c r="T1079" s="19"/>
      <c r="U1079" s="19"/>
      <c r="V1079" s="19"/>
      <c r="W1079" s="19"/>
      <c r="X1079" s="19"/>
      <c r="Y1079" s="19"/>
      <c r="Z1079" s="19"/>
      <c r="AA1079" s="19"/>
      <c r="AB1079" s="19"/>
      <c r="AC1079" s="19"/>
      <c r="AD1079" s="19"/>
      <c r="AE1079" s="19"/>
      <c r="AF1079" s="19"/>
      <c r="AG1079" s="19"/>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row>
    <row r="1080" spans="3:56" ht="15" customHeight="1">
      <c r="C1080" s="21"/>
      <c r="D1080" s="79" t="str">
        <f t="shared" si="757"/>
        <v>Indonesia</v>
      </c>
      <c r="E1080" s="11" t="s">
        <v>745</v>
      </c>
      <c r="F1080" s="99"/>
      <c r="G1080" s="7">
        <f t="shared" si="758"/>
        <v>1.5504562058354562E-2</v>
      </c>
      <c r="H1080" s="7">
        <f t="shared" si="759"/>
        <v>0.20025371031225883</v>
      </c>
      <c r="I1080" s="7">
        <f t="shared" si="760"/>
        <v>0.22727026612991985</v>
      </c>
      <c r="J1080" s="7">
        <f t="shared" si="761"/>
        <v>0.22396254428283363</v>
      </c>
      <c r="K1080" s="7">
        <f t="shared" si="762"/>
        <v>0.22804564363150032</v>
      </c>
      <c r="L1080" s="7">
        <f t="shared" si="763"/>
        <v>0.10496327358513273</v>
      </c>
      <c r="M1080" s="7">
        <f t="shared" si="764"/>
        <v>0</v>
      </c>
      <c r="N1080" s="7">
        <f t="shared" si="765"/>
        <v>0</v>
      </c>
      <c r="O1080" s="7">
        <f t="shared" si="766"/>
        <v>0</v>
      </c>
      <c r="P1080" s="7">
        <f t="shared" si="767"/>
        <v>0</v>
      </c>
      <c r="Q1080" s="19"/>
      <c r="R1080" s="19"/>
      <c r="S1080" s="19"/>
      <c r="T1080" s="19"/>
      <c r="U1080" s="19"/>
      <c r="V1080" s="19"/>
      <c r="W1080" s="19"/>
      <c r="X1080" s="19"/>
      <c r="Y1080" s="19"/>
      <c r="Z1080" s="19"/>
      <c r="AA1080" s="19"/>
      <c r="AB1080" s="19"/>
      <c r="AC1080" s="19"/>
      <c r="AD1080" s="19"/>
      <c r="AE1080" s="19"/>
      <c r="AF1080" s="19"/>
      <c r="AG1080" s="19"/>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row>
    <row r="1081" spans="3:56" ht="15" customHeight="1">
      <c r="C1081" s="21"/>
      <c r="D1081" s="79" t="str">
        <f t="shared" si="757"/>
        <v>Peru</v>
      </c>
      <c r="E1081" s="11" t="s">
        <v>745</v>
      </c>
      <c r="F1081" s="99"/>
      <c r="G1081" s="7">
        <f t="shared" si="758"/>
        <v>8.3275945858630514E-3</v>
      </c>
      <c r="H1081" s="7">
        <f t="shared" si="759"/>
        <v>0.21096752543912084</v>
      </c>
      <c r="I1081" s="7">
        <f t="shared" si="760"/>
        <v>0.21842813482948187</v>
      </c>
      <c r="J1081" s="7">
        <f t="shared" si="761"/>
        <v>0.23224200658598199</v>
      </c>
      <c r="K1081" s="7">
        <f t="shared" si="762"/>
        <v>0.2306155779212333</v>
      </c>
      <c r="L1081" s="7">
        <f t="shared" si="763"/>
        <v>9.941916063831914E-2</v>
      </c>
      <c r="M1081" s="7">
        <f t="shared" si="764"/>
        <v>0</v>
      </c>
      <c r="N1081" s="7">
        <f t="shared" si="765"/>
        <v>0</v>
      </c>
      <c r="O1081" s="7">
        <f t="shared" si="766"/>
        <v>0</v>
      </c>
      <c r="P1081" s="7">
        <f t="shared" si="767"/>
        <v>0</v>
      </c>
      <c r="Q1081" s="19"/>
      <c r="R1081" s="19"/>
      <c r="S1081" s="19"/>
      <c r="T1081" s="19"/>
      <c r="U1081" s="19"/>
      <c r="V1081" s="19"/>
      <c r="W1081" s="19"/>
      <c r="X1081" s="19"/>
      <c r="Y1081" s="19"/>
      <c r="Z1081" s="19"/>
      <c r="AA1081" s="19"/>
      <c r="AB1081" s="19"/>
      <c r="AC1081" s="19"/>
      <c r="AD1081" s="19"/>
      <c r="AE1081" s="19"/>
      <c r="AF1081" s="19"/>
      <c r="AG1081" s="19"/>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row>
    <row r="1082" spans="3:56" ht="15" customHeight="1">
      <c r="C1082" s="21"/>
      <c r="D1082" s="79" t="str">
        <f t="shared" si="757"/>
        <v>Western Australia</v>
      </c>
      <c r="E1082" s="11" t="s">
        <v>745</v>
      </c>
      <c r="F1082" s="99"/>
      <c r="G1082" s="7">
        <f t="shared" si="758"/>
        <v>1.4112678510247306E-2</v>
      </c>
      <c r="H1082" s="7">
        <f t="shared" si="759"/>
        <v>0.21595335522792225</v>
      </c>
      <c r="I1082" s="7">
        <f t="shared" si="760"/>
        <v>0.21453529712171199</v>
      </c>
      <c r="J1082" s="7">
        <f t="shared" si="761"/>
        <v>0.2307342680578458</v>
      </c>
      <c r="K1082" s="7">
        <f t="shared" si="762"/>
        <v>0.22932705585196433</v>
      </c>
      <c r="L1082" s="7">
        <f t="shared" si="763"/>
        <v>9.5337345230308415E-2</v>
      </c>
      <c r="M1082" s="7">
        <f t="shared" si="764"/>
        <v>0</v>
      </c>
      <c r="N1082" s="7">
        <f t="shared" si="765"/>
        <v>0</v>
      </c>
      <c r="O1082" s="7">
        <f t="shared" si="766"/>
        <v>0</v>
      </c>
      <c r="P1082" s="7">
        <f t="shared" si="767"/>
        <v>0</v>
      </c>
      <c r="Q1082" s="19"/>
      <c r="R1082" s="19"/>
      <c r="S1082" s="19"/>
      <c r="T1082" s="19"/>
      <c r="U1082" s="19"/>
      <c r="V1082" s="19"/>
      <c r="W1082" s="19"/>
      <c r="X1082" s="19"/>
      <c r="Y1082" s="19"/>
      <c r="Z1082" s="19"/>
      <c r="AA1082" s="19"/>
      <c r="AB1082" s="19"/>
      <c r="AC1082" s="19"/>
      <c r="AD1082" s="19"/>
      <c r="AE1082" s="19"/>
      <c r="AF1082" s="19"/>
      <c r="AG1082" s="19"/>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row>
    <row r="1083" spans="3:56" ht="15" customHeight="1">
      <c r="C1083" s="19"/>
      <c r="F1083" s="61"/>
      <c r="G1083" s="19"/>
      <c r="H1083" s="19"/>
      <c r="I1083" s="19"/>
      <c r="J1083" s="19"/>
      <c r="K1083" s="19"/>
      <c r="L1083" s="19"/>
      <c r="M1083" s="19"/>
      <c r="N1083" s="19"/>
      <c r="O1083" s="19"/>
      <c r="P1083" s="19"/>
      <c r="Q1083" s="19"/>
      <c r="R1083" s="19"/>
      <c r="S1083" s="19"/>
    </row>
    <row r="1084" spans="3:56" ht="15" customHeight="1">
      <c r="C1084" s="20"/>
      <c r="D1084" s="463" t="s">
        <v>746</v>
      </c>
      <c r="E1084" s="463"/>
      <c r="F1084" s="556"/>
      <c r="G1084" s="544">
        <f t="shared" ref="G1084:AL1084" si="768">G$6</f>
        <v>1</v>
      </c>
      <c r="H1084" s="544">
        <f t="shared" si="768"/>
        <v>2</v>
      </c>
      <c r="I1084" s="544">
        <f t="shared" si="768"/>
        <v>3</v>
      </c>
      <c r="J1084" s="544">
        <f t="shared" si="768"/>
        <v>4</v>
      </c>
      <c r="K1084" s="544">
        <f t="shared" si="768"/>
        <v>5</v>
      </c>
      <c r="L1084" s="544">
        <f t="shared" si="768"/>
        <v>6</v>
      </c>
      <c r="M1084" s="544">
        <f t="shared" si="768"/>
        <v>7</v>
      </c>
      <c r="N1084" s="544">
        <f t="shared" si="768"/>
        <v>8</v>
      </c>
      <c r="O1084" s="544">
        <f t="shared" si="768"/>
        <v>9</v>
      </c>
      <c r="P1084" s="544">
        <f t="shared" si="768"/>
        <v>10</v>
      </c>
      <c r="Q1084" s="544">
        <f t="shared" si="768"/>
        <v>11</v>
      </c>
      <c r="R1084" s="544">
        <f t="shared" si="768"/>
        <v>12</v>
      </c>
      <c r="S1084" s="544">
        <f t="shared" si="768"/>
        <v>13</v>
      </c>
      <c r="T1084" s="544">
        <f t="shared" si="768"/>
        <v>14</v>
      </c>
      <c r="U1084" s="544">
        <f t="shared" si="768"/>
        <v>15</v>
      </c>
      <c r="V1084" s="544">
        <f t="shared" si="768"/>
        <v>16</v>
      </c>
      <c r="W1084" s="544">
        <f t="shared" si="768"/>
        <v>17</v>
      </c>
      <c r="X1084" s="544">
        <f t="shared" si="768"/>
        <v>18</v>
      </c>
      <c r="Y1084" s="544">
        <f t="shared" si="768"/>
        <v>19</v>
      </c>
      <c r="Z1084" s="544">
        <f t="shared" si="768"/>
        <v>20</v>
      </c>
      <c r="AA1084" s="544">
        <f t="shared" si="768"/>
        <v>21</v>
      </c>
      <c r="AB1084" s="544">
        <f t="shared" si="768"/>
        <v>22</v>
      </c>
      <c r="AC1084" s="544">
        <f t="shared" si="768"/>
        <v>23</v>
      </c>
      <c r="AD1084" s="544">
        <f t="shared" si="768"/>
        <v>24</v>
      </c>
      <c r="AE1084" s="544">
        <f t="shared" si="768"/>
        <v>25</v>
      </c>
      <c r="AF1084" s="544">
        <f t="shared" si="768"/>
        <v>26</v>
      </c>
      <c r="AG1084" s="544">
        <f t="shared" si="768"/>
        <v>27</v>
      </c>
      <c r="AH1084" s="544">
        <f t="shared" si="768"/>
        <v>28</v>
      </c>
      <c r="AI1084" s="544">
        <f t="shared" si="768"/>
        <v>29</v>
      </c>
      <c r="AJ1084" s="544">
        <f t="shared" si="768"/>
        <v>30</v>
      </c>
      <c r="AK1084" s="544">
        <f t="shared" si="768"/>
        <v>31</v>
      </c>
      <c r="AL1084" s="544">
        <f t="shared" si="768"/>
        <v>32</v>
      </c>
      <c r="AM1084" s="544">
        <f t="shared" ref="AM1084:BD1084" si="769">AM$6</f>
        <v>33</v>
      </c>
      <c r="AN1084" s="544">
        <f t="shared" si="769"/>
        <v>34</v>
      </c>
      <c r="AO1084" s="544">
        <f t="shared" si="769"/>
        <v>35</v>
      </c>
      <c r="AP1084" s="544">
        <f t="shared" si="769"/>
        <v>36</v>
      </c>
      <c r="AQ1084" s="544">
        <f t="shared" si="769"/>
        <v>37</v>
      </c>
      <c r="AR1084" s="544">
        <f t="shared" si="769"/>
        <v>38</v>
      </c>
      <c r="AS1084" s="544">
        <f t="shared" si="769"/>
        <v>39</v>
      </c>
      <c r="AT1084" s="544">
        <f t="shared" si="769"/>
        <v>40</v>
      </c>
      <c r="AU1084" s="544">
        <f t="shared" si="769"/>
        <v>41</v>
      </c>
      <c r="AV1084" s="544">
        <f t="shared" si="769"/>
        <v>42</v>
      </c>
      <c r="AW1084" s="544">
        <f t="shared" si="769"/>
        <v>43</v>
      </c>
      <c r="AX1084" s="544">
        <f t="shared" si="769"/>
        <v>44</v>
      </c>
      <c r="AY1084" s="544">
        <f t="shared" si="769"/>
        <v>45</v>
      </c>
      <c r="AZ1084" s="544">
        <f t="shared" si="769"/>
        <v>46</v>
      </c>
      <c r="BA1084" s="544">
        <f t="shared" si="769"/>
        <v>47</v>
      </c>
      <c r="BB1084" s="544">
        <f t="shared" si="769"/>
        <v>48</v>
      </c>
      <c r="BC1084" s="544">
        <f t="shared" si="769"/>
        <v>49</v>
      </c>
      <c r="BD1084" s="544">
        <f t="shared" si="769"/>
        <v>50</v>
      </c>
    </row>
    <row r="1085" spans="3:56" s="68" customFormat="1" ht="15" customHeight="1">
      <c r="C1085" s="21"/>
      <c r="D1085" s="79" t="str">
        <f t="shared" ref="D1085:D1096" si="770">D1029</f>
        <v>Total government revenue</v>
      </c>
      <c r="E1085" s="79"/>
      <c r="F1085" s="80"/>
      <c r="G1085" s="19">
        <f>SUM($G1029:G1029)</f>
        <v>0</v>
      </c>
      <c r="H1085" s="19">
        <f>SUM($G1029:H1029)</f>
        <v>0</v>
      </c>
      <c r="I1085" s="19">
        <f>SUM($G1029:I1029)</f>
        <v>2.8125000000000004</v>
      </c>
      <c r="J1085" s="19">
        <f>SUM($G1029:J1029)</f>
        <v>14.0625</v>
      </c>
      <c r="K1085" s="19">
        <f>SUM($G1029:K1029)</f>
        <v>38.687404844290654</v>
      </c>
      <c r="L1085" s="19">
        <f>SUM($G1029:L1029)</f>
        <v>123.50644875217267</v>
      </c>
      <c r="M1085" s="19">
        <f>SUM($G1029:M1029)</f>
        <v>226.653802629734</v>
      </c>
      <c r="N1085" s="19">
        <f>SUM($G1029:N1029)</f>
        <v>355.26507659400039</v>
      </c>
      <c r="O1085" s="19">
        <f>SUM($G1029:O1029)</f>
        <v>483.81335769053607</v>
      </c>
      <c r="P1085" s="19">
        <f>SUM($G1029:P1029)</f>
        <v>638.95489673966142</v>
      </c>
      <c r="Q1085" s="19">
        <f>SUM($G1029:Q1029)</f>
        <v>794.09643578878683</v>
      </c>
      <c r="R1085" s="19">
        <f>SUM($G1029:R1029)</f>
        <v>949.23797483791213</v>
      </c>
      <c r="S1085" s="19">
        <f>SUM($G1029:S1029)</f>
        <v>1104.3795138870375</v>
      </c>
      <c r="T1085" s="19">
        <f>SUM($G1029:T1029)</f>
        <v>1259.521052936163</v>
      </c>
      <c r="U1085" s="19">
        <f>SUM($G1029:U1029)</f>
        <v>1414.6625919852884</v>
      </c>
      <c r="V1085" s="19">
        <f>SUM($G1029:V1029)</f>
        <v>1569.8041310344138</v>
      </c>
      <c r="W1085" s="19">
        <f>SUM($G1029:W1029)</f>
        <v>1724.9456700835392</v>
      </c>
      <c r="X1085" s="19">
        <f>SUM($G1029:X1029)</f>
        <v>1880.0872091326646</v>
      </c>
      <c r="Y1085" s="19">
        <f>SUM($G1029:Y1029)</f>
        <v>2034.47974818179</v>
      </c>
      <c r="Z1085" s="19">
        <f>SUM($G1029:Z1029)</f>
        <v>2188.8705447915668</v>
      </c>
      <c r="AA1085" s="19">
        <f>SUM($G1029:AA1029)</f>
        <v>2343.2574215698378</v>
      </c>
      <c r="AB1085" s="19">
        <f>SUM($G1029:AB1029)</f>
        <v>2497.6375557782562</v>
      </c>
      <c r="AC1085" s="19">
        <f>SUM($G1029:AC1029)</f>
        <v>2652.0071117534171</v>
      </c>
      <c r="AD1085" s="19">
        <f>SUM($G1029:AD1029)</f>
        <v>2805.2070770994146</v>
      </c>
      <c r="AE1085" s="19">
        <f>SUM($G1029:AE1029)</f>
        <v>2958.3821084003753</v>
      </c>
      <c r="AF1085" s="19">
        <f>SUM($G1029:AF1029)</f>
        <v>3111.5160645130072</v>
      </c>
      <c r="AG1085" s="19">
        <f>SUM($G1029:AG1029)</f>
        <v>3269.9601387224329</v>
      </c>
      <c r="AH1085" s="19">
        <f>SUM($G1029:AH1029)</f>
        <v>3329.1199356780553</v>
      </c>
      <c r="AI1085" s="19">
        <f>SUM($G1029:AI1029)</f>
        <v>3329.1199356780553</v>
      </c>
      <c r="AJ1085" s="19">
        <f>SUM($G1029:AJ1029)</f>
        <v>3329.1199356780553</v>
      </c>
      <c r="AK1085" s="19">
        <f>SUM($G1029:AK1029)</f>
        <v>3329.1199356780553</v>
      </c>
      <c r="AL1085" s="19">
        <f>SUM($G1029:AL1029)</f>
        <v>3329.1199356780553</v>
      </c>
      <c r="AM1085" s="19">
        <f>SUM($G1029:AM1029)</f>
        <v>3329.1199356780553</v>
      </c>
      <c r="AN1085" s="19">
        <f>SUM($G1029:AN1029)</f>
        <v>3329.1199356780553</v>
      </c>
      <c r="AO1085" s="19">
        <f>SUM($G1029:AO1029)</f>
        <v>3329.1199356780553</v>
      </c>
      <c r="AP1085" s="19">
        <f>SUM($G1029:AP1029)</f>
        <v>3329.1199356780553</v>
      </c>
      <c r="AQ1085" s="19">
        <f>SUM($G1029:AQ1029)</f>
        <v>3329.1199356780553</v>
      </c>
      <c r="AR1085" s="19">
        <f>SUM($G1029:AR1029)</f>
        <v>3329.1199356780553</v>
      </c>
      <c r="AS1085" s="19">
        <f>SUM($G1029:AS1029)</f>
        <v>3329.1199356780553</v>
      </c>
      <c r="AT1085" s="19">
        <f>SUM($G1029:AT1029)</f>
        <v>3329.1199356780553</v>
      </c>
      <c r="AU1085" s="19">
        <f>SUM($G1029:AU1029)</f>
        <v>3329.1199356780553</v>
      </c>
      <c r="AV1085" s="19">
        <f>SUM($G1029:AV1029)</f>
        <v>3329.1199356780553</v>
      </c>
      <c r="AW1085" s="19">
        <f>SUM($G1029:AW1029)</f>
        <v>3329.1199356780553</v>
      </c>
      <c r="AX1085" s="19">
        <f>SUM($G1029:AX1029)</f>
        <v>3329.1199356780553</v>
      </c>
      <c r="AY1085" s="19">
        <f>SUM($G1029:AY1029)</f>
        <v>3329.1199356780553</v>
      </c>
      <c r="AZ1085" s="19">
        <f>SUM($G1029:AZ1029)</f>
        <v>3329.1199356780553</v>
      </c>
      <c r="BA1085" s="19">
        <f>SUM($G1029:BA1029)</f>
        <v>3329.1199356780553</v>
      </c>
      <c r="BB1085" s="19">
        <f>SUM($G1029:BB1029)</f>
        <v>3329.1199356780553</v>
      </c>
      <c r="BC1085" s="19">
        <f>SUM($G1029:BC1029)</f>
        <v>3329.1199356780553</v>
      </c>
      <c r="BD1085" s="19">
        <f>SUM($G1029:BD1029)</f>
        <v>3329.1199356780553</v>
      </c>
    </row>
    <row r="1086" spans="3:56" ht="15" customHeight="1">
      <c r="C1086" s="21"/>
      <c r="D1086" s="79" t="str">
        <f t="shared" si="770"/>
        <v>Tanzania w/o sharing</v>
      </c>
      <c r="F1086" s="99">
        <v>1</v>
      </c>
      <c r="G1086" s="19">
        <f>SUM($G1030:G1030)</f>
        <v>0</v>
      </c>
      <c r="H1086" s="19">
        <f>SUM($G1030:H1030)</f>
        <v>0</v>
      </c>
      <c r="I1086" s="19">
        <f>SUM($G1030:I1030)</f>
        <v>2.8125000000000004</v>
      </c>
      <c r="J1086" s="19">
        <f>SUM($G1030:J1030)</f>
        <v>14.0625</v>
      </c>
      <c r="K1086" s="19">
        <f>SUM($G1030:K1030)</f>
        <v>38.687404844290654</v>
      </c>
      <c r="L1086" s="19">
        <f>SUM($G1030:L1030)</f>
        <v>123.50644875217267</v>
      </c>
      <c r="M1086" s="19">
        <f>SUM($G1030:M1030)</f>
        <v>226.653802629734</v>
      </c>
      <c r="N1086" s="19">
        <f>SUM($G1030:N1030)</f>
        <v>355.26507659400039</v>
      </c>
      <c r="O1086" s="19">
        <f>SUM($G1030:O1030)</f>
        <v>483.81335769053607</v>
      </c>
      <c r="P1086" s="19">
        <f>SUM($G1030:P1030)</f>
        <v>638.95489673966142</v>
      </c>
      <c r="Q1086" s="19">
        <f>SUM($G1030:Q1030)</f>
        <v>794.09643578878683</v>
      </c>
      <c r="R1086" s="19">
        <f>SUM($G1030:R1030)</f>
        <v>949.23797483791213</v>
      </c>
      <c r="S1086" s="19">
        <f>SUM($G1030:S1030)</f>
        <v>1104.3795138870375</v>
      </c>
      <c r="T1086" s="19">
        <f>SUM($G1030:T1030)</f>
        <v>1259.521052936163</v>
      </c>
      <c r="U1086" s="19">
        <f>SUM($G1030:U1030)</f>
        <v>1414.6625919852884</v>
      </c>
      <c r="V1086" s="19">
        <f>SUM($G1030:V1030)</f>
        <v>1569.8041310344138</v>
      </c>
      <c r="W1086" s="19">
        <f>SUM($G1030:W1030)</f>
        <v>1724.9456700835392</v>
      </c>
      <c r="X1086" s="19">
        <f>SUM($G1030:X1030)</f>
        <v>1880.0872091326646</v>
      </c>
      <c r="Y1086" s="19">
        <f>SUM($G1030:Y1030)</f>
        <v>2034.47974818179</v>
      </c>
      <c r="Z1086" s="19">
        <f>SUM($G1030:Z1030)</f>
        <v>2188.8705447915668</v>
      </c>
      <c r="AA1086" s="19">
        <f>SUM($G1030:AA1030)</f>
        <v>2343.2574215698378</v>
      </c>
      <c r="AB1086" s="19">
        <f>SUM($G1030:AB1030)</f>
        <v>2497.6375557782562</v>
      </c>
      <c r="AC1086" s="19">
        <f>SUM($G1030:AC1030)</f>
        <v>2652.0071117534171</v>
      </c>
      <c r="AD1086" s="19">
        <f>SUM($G1030:AD1030)</f>
        <v>2805.2070770994146</v>
      </c>
      <c r="AE1086" s="19">
        <f>SUM($G1030:AE1030)</f>
        <v>2958.3821084003753</v>
      </c>
      <c r="AF1086" s="19">
        <f>SUM($G1030:AF1030)</f>
        <v>3111.5160645130072</v>
      </c>
      <c r="AG1086" s="19">
        <f>SUM($G1030:AG1030)</f>
        <v>3269.9601387224329</v>
      </c>
      <c r="AH1086" s="19">
        <f>SUM($G1030:AH1030)</f>
        <v>3329.1199356780553</v>
      </c>
      <c r="AI1086" s="19">
        <f>SUM($G1030:AI1030)</f>
        <v>3329.1199356780553</v>
      </c>
      <c r="AJ1086" s="19">
        <f>SUM($G1030:AJ1030)</f>
        <v>3329.1199356780553</v>
      </c>
      <c r="AK1086" s="19">
        <f>SUM($G1030:AK1030)</f>
        <v>3329.1199356780553</v>
      </c>
      <c r="AL1086" s="19">
        <f>SUM($G1030:AL1030)</f>
        <v>3329.1199356780553</v>
      </c>
      <c r="AM1086" s="19">
        <f>SUM($G1030:AM1030)</f>
        <v>3329.1199356780553</v>
      </c>
      <c r="AN1086" s="19">
        <f>SUM($G1030:AN1030)</f>
        <v>3329.1199356780553</v>
      </c>
      <c r="AO1086" s="19">
        <f>SUM($G1030:AO1030)</f>
        <v>3329.1199356780553</v>
      </c>
      <c r="AP1086" s="19">
        <f>SUM($G1030:AP1030)</f>
        <v>3329.1199356780553</v>
      </c>
      <c r="AQ1086" s="19">
        <f>SUM($G1030:AQ1030)</f>
        <v>3329.1199356780553</v>
      </c>
      <c r="AR1086" s="19">
        <f>SUM($G1030:AR1030)</f>
        <v>3329.1199356780553</v>
      </c>
      <c r="AS1086" s="19">
        <f>SUM($G1030:AS1030)</f>
        <v>3329.1199356780553</v>
      </c>
      <c r="AT1086" s="19">
        <f>SUM($G1030:AT1030)</f>
        <v>3329.1199356780553</v>
      </c>
      <c r="AU1086" s="19">
        <f>SUM($G1030:AU1030)</f>
        <v>3329.1199356780553</v>
      </c>
      <c r="AV1086" s="19">
        <f>SUM($G1030:AV1030)</f>
        <v>3329.1199356780553</v>
      </c>
      <c r="AW1086" s="19">
        <f>SUM($G1030:AW1030)</f>
        <v>3329.1199356780553</v>
      </c>
      <c r="AX1086" s="19">
        <f>SUM($G1030:AX1030)</f>
        <v>3329.1199356780553</v>
      </c>
      <c r="AY1086" s="19">
        <f>SUM($G1030:AY1030)</f>
        <v>3329.1199356780553</v>
      </c>
      <c r="AZ1086" s="19">
        <f>SUM($G1030:AZ1030)</f>
        <v>3329.1199356780553</v>
      </c>
      <c r="BA1086" s="19">
        <f>SUM($G1030:BA1030)</f>
        <v>3329.1199356780553</v>
      </c>
      <c r="BB1086" s="19">
        <f>SUM($G1030:BB1030)</f>
        <v>3329.1199356780553</v>
      </c>
      <c r="BC1086" s="19">
        <f>SUM($G1030:BC1030)</f>
        <v>3329.1199356780553</v>
      </c>
      <c r="BD1086" s="19">
        <f>SUM($G1030:BD1030)</f>
        <v>3329.1199356780553</v>
      </c>
    </row>
    <row r="1087" spans="3:56" ht="15" customHeight="1">
      <c r="C1087" s="21"/>
      <c r="D1087" s="79" t="str">
        <f t="shared" si="770"/>
        <v>Tanzania w 50/50 sharing</v>
      </c>
      <c r="F1087" s="99">
        <f t="shared" ref="F1087:F1096" si="771">F1086+1</f>
        <v>2</v>
      </c>
      <c r="G1087" s="19">
        <f>SUM($G1031:G1031)</f>
        <v>0</v>
      </c>
      <c r="H1087" s="19">
        <f>SUM($G1031:H1031)</f>
        <v>0</v>
      </c>
      <c r="I1087" s="19">
        <f>SUM($G1031:I1031)</f>
        <v>2.8125000000000004</v>
      </c>
      <c r="J1087" s="19">
        <f>SUM($G1031:J1031)</f>
        <v>14.0625</v>
      </c>
      <c r="K1087" s="19">
        <f>SUM($G1031:K1031)</f>
        <v>47.35287197231834</v>
      </c>
      <c r="L1087" s="19">
        <f>SUM($G1031:L1031)</f>
        <v>140.18201154476378</v>
      </c>
      <c r="M1087" s="19">
        <f>SUM($G1031:M1031)</f>
        <v>244.95803727996835</v>
      </c>
      <c r="N1087" s="19">
        <f>SUM($G1031:N1031)</f>
        <v>262.1452644391286</v>
      </c>
      <c r="O1087" s="19">
        <f>SUM($G1031:O1031)</f>
        <v>378.10468779666434</v>
      </c>
      <c r="P1087" s="19">
        <f>SUM($G1031:P1031)</f>
        <v>518.1498917316726</v>
      </c>
      <c r="Q1087" s="19">
        <f>SUM($G1031:Q1031)</f>
        <v>655.48109837969469</v>
      </c>
      <c r="R1087" s="19">
        <f>SUM($G1031:R1031)</f>
        <v>792.81230502771677</v>
      </c>
      <c r="S1087" s="19">
        <f>SUM($G1031:S1031)</f>
        <v>930.14351167573886</v>
      </c>
      <c r="T1087" s="19">
        <f>SUM($G1031:T1031)</f>
        <v>1067.474718323761</v>
      </c>
      <c r="U1087" s="19">
        <f>SUM($G1031:U1031)</f>
        <v>1204.805924971783</v>
      </c>
      <c r="V1087" s="19">
        <f>SUM($G1031:V1031)</f>
        <v>1342.1371316198051</v>
      </c>
      <c r="W1087" s="19">
        <f>SUM($G1031:W1031)</f>
        <v>1479.4683382678272</v>
      </c>
      <c r="X1087" s="19">
        <f>SUM($G1031:X1031)</f>
        <v>1616.7995449158493</v>
      </c>
      <c r="Y1087" s="19">
        <f>SUM($G1031:Y1031)</f>
        <v>1753.3817515638714</v>
      </c>
      <c r="Z1087" s="19">
        <f>SUM($G1031:Z1031)</f>
        <v>1889.9166721005306</v>
      </c>
      <c r="AA1087" s="19">
        <f>SUM($G1031:AA1031)</f>
        <v>2026.447566854968</v>
      </c>
      <c r="AB1087" s="19">
        <f>SUM($G1031:AB1031)</f>
        <v>2162.9714806903935</v>
      </c>
      <c r="AC1087" s="19">
        <f>SUM($G1031:AC1031)</f>
        <v>2299.4844063040568</v>
      </c>
      <c r="AD1087" s="19">
        <f>SUM($G1031:AD1031)</f>
        <v>2434.8270980688158</v>
      </c>
      <c r="AE1087" s="19">
        <f>SUM($G1031:AE1031)</f>
        <v>2570.0737376950729</v>
      </c>
      <c r="AF1087" s="19">
        <f>SUM($G1031:AF1031)</f>
        <v>2705.2777859941903</v>
      </c>
      <c r="AG1087" s="19">
        <f>SUM($G1031:AG1031)</f>
        <v>2845.7894547734059</v>
      </c>
      <c r="AH1087" s="19">
        <f>SUM($G1031:AH1031)</f>
        <v>2891.5312844858554</v>
      </c>
      <c r="AI1087" s="19">
        <f>SUM($G1031:AI1031)</f>
        <v>2898.4197466983319</v>
      </c>
      <c r="AJ1087" s="19">
        <f>SUM($G1031:AJ1031)</f>
        <v>2898.4197466983319</v>
      </c>
      <c r="AK1087" s="19">
        <f>SUM($G1031:AK1031)</f>
        <v>2898.4197466983319</v>
      </c>
      <c r="AL1087" s="19">
        <f>SUM($G1031:AL1031)</f>
        <v>2898.4197466983319</v>
      </c>
      <c r="AM1087" s="19">
        <f>SUM($G1031:AM1031)</f>
        <v>2898.4197466983319</v>
      </c>
      <c r="AN1087" s="19">
        <f>SUM($G1031:AN1031)</f>
        <v>2898.4197466983319</v>
      </c>
      <c r="AO1087" s="19">
        <f>SUM($G1031:AO1031)</f>
        <v>2898.4197466983319</v>
      </c>
      <c r="AP1087" s="19">
        <f>SUM($G1031:AP1031)</f>
        <v>2898.4197466983319</v>
      </c>
      <c r="AQ1087" s="19">
        <f>SUM($G1031:AQ1031)</f>
        <v>2898.4197466983319</v>
      </c>
      <c r="AR1087" s="19">
        <f>SUM($G1031:AR1031)</f>
        <v>2898.4197466983319</v>
      </c>
      <c r="AS1087" s="19">
        <f>SUM($G1031:AS1031)</f>
        <v>2898.4197466983319</v>
      </c>
      <c r="AT1087" s="19">
        <f>SUM($G1031:AT1031)</f>
        <v>2898.4197466983319</v>
      </c>
      <c r="AU1087" s="19">
        <f>SUM($G1031:AU1031)</f>
        <v>2898.4197466983319</v>
      </c>
      <c r="AV1087" s="19">
        <f>SUM($G1031:AV1031)</f>
        <v>2898.4197466983319</v>
      </c>
      <c r="AW1087" s="19">
        <f>SUM($G1031:AW1031)</f>
        <v>2898.4197466983319</v>
      </c>
      <c r="AX1087" s="19">
        <f>SUM($G1031:AX1031)</f>
        <v>2898.4197466983319</v>
      </c>
      <c r="AY1087" s="19">
        <f>SUM($G1031:AY1031)</f>
        <v>2898.4197466983319</v>
      </c>
      <c r="AZ1087" s="19">
        <f>SUM($G1031:AZ1031)</f>
        <v>2898.4197466983319</v>
      </c>
      <c r="BA1087" s="19">
        <f>SUM($G1031:BA1031)</f>
        <v>2898.4197466983319</v>
      </c>
      <c r="BB1087" s="19">
        <f>SUM($G1031:BB1031)</f>
        <v>2898.4197466983319</v>
      </c>
      <c r="BC1087" s="19">
        <f>SUM($G1031:BC1031)</f>
        <v>2898.4197466983319</v>
      </c>
      <c r="BD1087" s="19">
        <f>SUM($G1031:BD1031)</f>
        <v>2898.4197466983319</v>
      </c>
    </row>
    <row r="1088" spans="3:56" ht="15" customHeight="1">
      <c r="C1088" s="21"/>
      <c r="D1088" s="79" t="str">
        <f t="shared" si="770"/>
        <v>Ecuador</v>
      </c>
      <c r="F1088" s="99">
        <f t="shared" si="771"/>
        <v>3</v>
      </c>
      <c r="G1088" s="19">
        <f>SUM($G1032:G1032)</f>
        <v>0</v>
      </c>
      <c r="H1088" s="19">
        <f>SUM($G1032:H1032)</f>
        <v>0</v>
      </c>
      <c r="I1088" s="19">
        <f>SUM($G1032:I1032)</f>
        <v>2.8125000000000004</v>
      </c>
      <c r="J1088" s="19">
        <f>SUM($G1032:J1032)</f>
        <v>14.0625</v>
      </c>
      <c r="K1088" s="19">
        <f>SUM($G1032:K1032)</f>
        <v>41.600666836554922</v>
      </c>
      <c r="L1088" s="19">
        <f>SUM($G1032:L1032)</f>
        <v>157.27667743887605</v>
      </c>
      <c r="M1088" s="19">
        <f>SUM($G1032:M1032)</f>
        <v>274.51287566814432</v>
      </c>
      <c r="N1088" s="19">
        <f>SUM($G1032:N1032)</f>
        <v>400.63488684078413</v>
      </c>
      <c r="O1088" s="19">
        <f>SUM($G1032:O1032)</f>
        <v>528.42137085426782</v>
      </c>
      <c r="P1088" s="19">
        <f>SUM($G1032:P1032)</f>
        <v>672.69859031369515</v>
      </c>
      <c r="Q1088" s="19">
        <f>SUM($G1032:Q1032)</f>
        <v>823.08335591406251</v>
      </c>
      <c r="R1088" s="19">
        <f>SUM($G1032:R1032)</f>
        <v>971.44535789672386</v>
      </c>
      <c r="S1088" s="19">
        <f>SUM($G1032:S1032)</f>
        <v>1117.8508383240792</v>
      </c>
      <c r="T1088" s="19">
        <f>SUM($G1032:T1032)</f>
        <v>1262.3650662475507</v>
      </c>
      <c r="U1088" s="19">
        <f>SUM($G1032:U1032)</f>
        <v>1413.2008789148704</v>
      </c>
      <c r="V1088" s="19">
        <f>SUM($G1032:V1032)</f>
        <v>1563.1331874336563</v>
      </c>
      <c r="W1088" s="19">
        <f>SUM($G1032:W1032)</f>
        <v>1712.2269770210887</v>
      </c>
      <c r="X1088" s="19">
        <f>SUM($G1032:X1032)</f>
        <v>1860.5425587835989</v>
      </c>
      <c r="Y1088" s="19">
        <f>SUM($G1032:Y1032)</f>
        <v>2007.5771171027852</v>
      </c>
      <c r="Z1088" s="19">
        <f>SUM($G1032:Z1032)</f>
        <v>2153.9314847982087</v>
      </c>
      <c r="AA1088" s="19">
        <f>SUM($G1032:AA1032)</f>
        <v>2299.6527805488636</v>
      </c>
      <c r="AB1088" s="19">
        <f>SUM($G1032:AB1032)</f>
        <v>2444.7840484577905</v>
      </c>
      <c r="AC1088" s="19">
        <f>SUM($G1032:AC1032)</f>
        <v>2589.3642065525669</v>
      </c>
      <c r="AD1088" s="19">
        <f>SUM($G1032:AD1032)</f>
        <v>2732.2352544741552</v>
      </c>
      <c r="AE1088" s="19">
        <f>SUM($G1032:AE1032)</f>
        <v>2874.6241438937395</v>
      </c>
      <c r="AF1088" s="19">
        <f>SUM($G1032:AF1032)</f>
        <v>3016.550659493445</v>
      </c>
      <c r="AG1088" s="19">
        <f>SUM($G1032:AG1032)</f>
        <v>3161.6116190533207</v>
      </c>
      <c r="AH1088" s="19">
        <f>SUM($G1032:AH1032)</f>
        <v>3195.0754532437545</v>
      </c>
      <c r="AI1088" s="19">
        <f>SUM($G1032:AI1032)</f>
        <v>3195.0754532437545</v>
      </c>
      <c r="AJ1088" s="19">
        <f>SUM($G1032:AJ1032)</f>
        <v>3195.0754532437545</v>
      </c>
      <c r="AK1088" s="19">
        <f>SUM($G1032:AK1032)</f>
        <v>3195.0754532437545</v>
      </c>
      <c r="AL1088" s="19">
        <f>SUM($G1032:AL1032)</f>
        <v>3195.0754532437545</v>
      </c>
      <c r="AM1088" s="19">
        <f>SUM($G1032:AM1032)</f>
        <v>3195.0754532437545</v>
      </c>
      <c r="AN1088" s="19">
        <f>SUM($G1032:AN1032)</f>
        <v>3195.0754532437545</v>
      </c>
      <c r="AO1088" s="19">
        <f>SUM($G1032:AO1032)</f>
        <v>3195.0754532437545</v>
      </c>
      <c r="AP1088" s="19">
        <f>SUM($G1032:AP1032)</f>
        <v>3195.0754532437545</v>
      </c>
      <c r="AQ1088" s="19">
        <f>SUM($G1032:AQ1032)</f>
        <v>3195.0754532437545</v>
      </c>
      <c r="AR1088" s="19">
        <f>SUM($G1032:AR1032)</f>
        <v>3195.0754532437545</v>
      </c>
      <c r="AS1088" s="19">
        <f>SUM($G1032:AS1032)</f>
        <v>3195.0754532437545</v>
      </c>
      <c r="AT1088" s="19">
        <f>SUM($G1032:AT1032)</f>
        <v>3195.0754532437545</v>
      </c>
      <c r="AU1088" s="19">
        <f>SUM($G1032:AU1032)</f>
        <v>3195.0754532437545</v>
      </c>
      <c r="AV1088" s="19">
        <f>SUM($G1032:AV1032)</f>
        <v>3195.0754532437545</v>
      </c>
      <c r="AW1088" s="19">
        <f>SUM($G1032:AW1032)</f>
        <v>3195.0754532437545</v>
      </c>
      <c r="AX1088" s="19">
        <f>SUM($G1032:AX1032)</f>
        <v>3195.0754532437545</v>
      </c>
      <c r="AY1088" s="19">
        <f>SUM($G1032:AY1032)</f>
        <v>3195.0754532437545</v>
      </c>
      <c r="AZ1088" s="19">
        <f>SUM($G1032:AZ1032)</f>
        <v>3195.0754532437545</v>
      </c>
      <c r="BA1088" s="19">
        <f>SUM($G1032:BA1032)</f>
        <v>3195.0754532437545</v>
      </c>
      <c r="BB1088" s="19">
        <f>SUM($G1032:BB1032)</f>
        <v>3195.0754532437545</v>
      </c>
      <c r="BC1088" s="19">
        <f>SUM($G1032:BC1032)</f>
        <v>3195.0754532437545</v>
      </c>
      <c r="BD1088" s="19">
        <f>SUM($G1032:BD1032)</f>
        <v>3195.0754532437545</v>
      </c>
    </row>
    <row r="1089" spans="3:56" ht="15" customHeight="1">
      <c r="C1089" s="21"/>
      <c r="D1089" s="79" t="str">
        <f t="shared" si="770"/>
        <v>Philippines FTAA</v>
      </c>
      <c r="F1089" s="99">
        <f t="shared" si="771"/>
        <v>4</v>
      </c>
      <c r="G1089" s="19">
        <f>SUM($G1033:G1033)</f>
        <v>0</v>
      </c>
      <c r="H1089" s="19">
        <f>SUM($G1033:H1033)</f>
        <v>0</v>
      </c>
      <c r="I1089" s="19">
        <f>SUM($G1033:I1033)</f>
        <v>0</v>
      </c>
      <c r="J1089" s="19">
        <f>SUM($G1033:J1033)</f>
        <v>0</v>
      </c>
      <c r="K1089" s="19">
        <f>SUM($G1033:K1033)</f>
        <v>16.800000000000004</v>
      </c>
      <c r="L1089" s="19">
        <f>SUM($G1033:L1033)</f>
        <v>56.000000000000014</v>
      </c>
      <c r="M1089" s="19">
        <f>SUM($G1033:M1033)</f>
        <v>189.4054386521554</v>
      </c>
      <c r="N1089" s="19">
        <f>SUM($G1033:N1033)</f>
        <v>324.04739201957716</v>
      </c>
      <c r="O1089" s="19">
        <f>SUM($G1033:O1033)</f>
        <v>459.87874170948982</v>
      </c>
      <c r="P1089" s="19">
        <f>SUM($G1033:P1033)</f>
        <v>596.8537417094899</v>
      </c>
      <c r="Q1089" s="19">
        <f>SUM($G1033:Q1033)</f>
        <v>733.82874170948992</v>
      </c>
      <c r="R1089" s="19">
        <f>SUM($G1033:R1033)</f>
        <v>870.80374170948994</v>
      </c>
      <c r="S1089" s="19">
        <f>SUM($G1033:S1033)</f>
        <v>1007.77874170949</v>
      </c>
      <c r="T1089" s="19">
        <f>SUM($G1033:T1033)</f>
        <v>1144.75374170949</v>
      </c>
      <c r="U1089" s="19">
        <f>SUM($G1033:U1033)</f>
        <v>1281.7287417094899</v>
      </c>
      <c r="V1089" s="19">
        <f>SUM($G1033:V1033)</f>
        <v>1419.4237343551354</v>
      </c>
      <c r="W1089" s="19">
        <f>SUM($G1033:W1033)</f>
        <v>1557.1187270007808</v>
      </c>
      <c r="X1089" s="19">
        <f>SUM($G1033:X1033)</f>
        <v>1694.8137196464263</v>
      </c>
      <c r="Y1089" s="19">
        <f>SUM($G1033:Y1033)</f>
        <v>1831.8643941102534</v>
      </c>
      <c r="Z1089" s="19">
        <f>SUM($G1033:Z1033)</f>
        <v>1968.9135696617268</v>
      </c>
      <c r="AA1089" s="19">
        <f>SUM($G1033:AA1033)</f>
        <v>2105.9593732256048</v>
      </c>
      <c r="AB1089" s="19">
        <f>SUM($G1033:AB1033)</f>
        <v>2242.9993765753998</v>
      </c>
      <c r="AC1089" s="19">
        <f>SUM($G1033:AC1033)</f>
        <v>2380.0302801281059</v>
      </c>
      <c r="AD1089" s="19">
        <f>SUM($G1033:AD1033)</f>
        <v>2516.055057502369</v>
      </c>
      <c r="AE1089" s="19">
        <f>SUM($G1033:AE1033)</f>
        <v>2652.058385666267</v>
      </c>
      <c r="AF1089" s="19">
        <f>SUM($G1033:AF1033)</f>
        <v>2788.0263793967042</v>
      </c>
      <c r="AG1089" s="19">
        <f>SUM($G1033:AG1033)</f>
        <v>2932.7841270180938</v>
      </c>
      <c r="AH1089" s="19">
        <f>SUM($G1033:AH1033)</f>
        <v>2998.9701554304424</v>
      </c>
      <c r="AI1089" s="19">
        <f>SUM($G1033:AI1033)</f>
        <v>2998.9701554304424</v>
      </c>
      <c r="AJ1089" s="19">
        <f>SUM($G1033:AJ1033)</f>
        <v>2998.9701554304424</v>
      </c>
      <c r="AK1089" s="19">
        <f>SUM($G1033:AK1033)</f>
        <v>2998.9701554304424</v>
      </c>
      <c r="AL1089" s="19">
        <f>SUM($G1033:AL1033)</f>
        <v>2998.9701554304424</v>
      </c>
      <c r="AM1089" s="19">
        <f>SUM($G1033:AM1033)</f>
        <v>2998.9701554304424</v>
      </c>
      <c r="AN1089" s="19">
        <f>SUM($G1033:AN1033)</f>
        <v>2998.9701554304424</v>
      </c>
      <c r="AO1089" s="19">
        <f>SUM($G1033:AO1033)</f>
        <v>2998.9701554304424</v>
      </c>
      <c r="AP1089" s="19">
        <f>SUM($G1033:AP1033)</f>
        <v>2998.9701554304424</v>
      </c>
      <c r="AQ1089" s="19">
        <f>SUM($G1033:AQ1033)</f>
        <v>2998.9701554304424</v>
      </c>
      <c r="AR1089" s="19">
        <f>SUM($G1033:AR1033)</f>
        <v>2998.9701554304424</v>
      </c>
      <c r="AS1089" s="19">
        <f>SUM($G1033:AS1033)</f>
        <v>2998.9701554304424</v>
      </c>
      <c r="AT1089" s="19">
        <f>SUM($G1033:AT1033)</f>
        <v>2998.9701554304424</v>
      </c>
      <c r="AU1089" s="19">
        <f>SUM($G1033:AU1033)</f>
        <v>2998.9701554304424</v>
      </c>
      <c r="AV1089" s="19">
        <f>SUM($G1033:AV1033)</f>
        <v>2998.9701554304424</v>
      </c>
      <c r="AW1089" s="19">
        <f>SUM($G1033:AW1033)</f>
        <v>2998.9701554304424</v>
      </c>
      <c r="AX1089" s="19">
        <f>SUM($G1033:AX1033)</f>
        <v>2998.9701554304424</v>
      </c>
      <c r="AY1089" s="19">
        <f>SUM($G1033:AY1033)</f>
        <v>2998.9701554304424</v>
      </c>
      <c r="AZ1089" s="19">
        <f>SUM($G1033:AZ1033)</f>
        <v>2998.9701554304424</v>
      </c>
      <c r="BA1089" s="19">
        <f>SUM($G1033:BA1033)</f>
        <v>2998.9701554304424</v>
      </c>
      <c r="BB1089" s="19">
        <f>SUM($G1033:BB1033)</f>
        <v>2998.9701554304424</v>
      </c>
      <c r="BC1089" s="19">
        <f>SUM($G1033:BC1033)</f>
        <v>2998.9701554304424</v>
      </c>
      <c r="BD1089" s="19">
        <f>SUM($G1033:BD1033)</f>
        <v>2998.9701554304424</v>
      </c>
    </row>
    <row r="1090" spans="3:56" ht="15" customHeight="1">
      <c r="C1090" s="21"/>
      <c r="D1090" s="79" t="str">
        <f t="shared" si="770"/>
        <v>Burkina Faso</v>
      </c>
      <c r="F1090" s="99">
        <f t="shared" si="771"/>
        <v>5</v>
      </c>
      <c r="G1090" s="19">
        <f>SUM($G1034:G1034)</f>
        <v>0</v>
      </c>
      <c r="H1090" s="19">
        <f>SUM($G1034:H1034)</f>
        <v>0</v>
      </c>
      <c r="I1090" s="19">
        <f>SUM($G1034:I1034)</f>
        <v>1.4062500000000002</v>
      </c>
      <c r="J1090" s="19">
        <f>SUM($G1034:J1034)</f>
        <v>7.03125</v>
      </c>
      <c r="K1090" s="19">
        <f>SUM($G1034:K1034)</f>
        <v>30.554628027681659</v>
      </c>
      <c r="L1090" s="19">
        <f>SUM($G1034:L1034)</f>
        <v>81.227378266509533</v>
      </c>
      <c r="M1090" s="19">
        <f>SUM($G1034:M1034)</f>
        <v>194.59904222483277</v>
      </c>
      <c r="N1090" s="19">
        <f>SUM($G1034:N1034)</f>
        <v>318.78024724730756</v>
      </c>
      <c r="O1090" s="19">
        <f>SUM($G1034:O1034)</f>
        <v>443.67464523222515</v>
      </c>
      <c r="P1090" s="19">
        <f>SUM($G1034:P1034)</f>
        <v>574.72472361007124</v>
      </c>
      <c r="Q1090" s="19">
        <f>SUM($G1034:Q1034)</f>
        <v>705.42186159012044</v>
      </c>
      <c r="R1090" s="19">
        <f>SUM($G1034:R1034)</f>
        <v>836.67220613482948</v>
      </c>
      <c r="S1090" s="19">
        <f>SUM($G1034:S1034)</f>
        <v>967.58331538753851</v>
      </c>
      <c r="T1090" s="19">
        <f>SUM($G1034:T1034)</f>
        <v>1102.7508497927654</v>
      </c>
      <c r="U1090" s="19">
        <f>SUM($G1034:U1034)</f>
        <v>1237.9183841979923</v>
      </c>
      <c r="V1090" s="19">
        <f>SUM($G1034:V1034)</f>
        <v>1373.0859186032192</v>
      </c>
      <c r="W1090" s="19">
        <f>SUM($G1034:W1034)</f>
        <v>1508.2534530084461</v>
      </c>
      <c r="X1090" s="19">
        <f>SUM($G1034:X1034)</f>
        <v>1643.4209874136729</v>
      </c>
      <c r="Y1090" s="19">
        <f>SUM($G1034:Y1034)</f>
        <v>1777.9708016484453</v>
      </c>
      <c r="Z1090" s="19">
        <f>SUM($G1034:Z1034)</f>
        <v>1912.5191788472612</v>
      </c>
      <c r="AA1090" s="19">
        <f>SUM($G1034:AA1034)</f>
        <v>2047.0643232570435</v>
      </c>
      <c r="AB1090" s="19">
        <f>SUM($G1034:AB1034)</f>
        <v>2181.603906890593</v>
      </c>
      <c r="AC1090" s="19">
        <f>SUM($G1034:AC1034)</f>
        <v>2316.1347663745414</v>
      </c>
      <c r="AD1090" s="19">
        <f>SUM($G1034:AD1034)</f>
        <v>2449.7010334381844</v>
      </c>
      <c r="AE1090" s="19">
        <f>SUM($G1034:AE1034)</f>
        <v>2583.2467367334025</v>
      </c>
      <c r="AF1090" s="19">
        <f>SUM($G1034:AF1034)</f>
        <v>2716.7585642311092</v>
      </c>
      <c r="AG1090" s="19">
        <f>SUM($G1034:AG1034)</f>
        <v>2854.9613924923215</v>
      </c>
      <c r="AH1090" s="19">
        <f>SUM($G1034:AH1034)</f>
        <v>2902.8177616432886</v>
      </c>
      <c r="AI1090" s="19">
        <f>SUM($G1034:AI1034)</f>
        <v>2902.8177616432886</v>
      </c>
      <c r="AJ1090" s="19">
        <f>SUM($G1034:AJ1034)</f>
        <v>2902.8177616432886</v>
      </c>
      <c r="AK1090" s="19">
        <f>SUM($G1034:AK1034)</f>
        <v>2902.8177616432886</v>
      </c>
      <c r="AL1090" s="19">
        <f>SUM($G1034:AL1034)</f>
        <v>2902.8177616432886</v>
      </c>
      <c r="AM1090" s="19">
        <f>SUM($G1034:AM1034)</f>
        <v>2902.8177616432886</v>
      </c>
      <c r="AN1090" s="19">
        <f>SUM($G1034:AN1034)</f>
        <v>2902.8177616432886</v>
      </c>
      <c r="AO1090" s="19">
        <f>SUM($G1034:AO1034)</f>
        <v>2902.8177616432886</v>
      </c>
      <c r="AP1090" s="19">
        <f>SUM($G1034:AP1034)</f>
        <v>2902.8177616432886</v>
      </c>
      <c r="AQ1090" s="19">
        <f>SUM($G1034:AQ1034)</f>
        <v>2902.8177616432886</v>
      </c>
      <c r="AR1090" s="19">
        <f>SUM($G1034:AR1034)</f>
        <v>2902.8177616432886</v>
      </c>
      <c r="AS1090" s="19">
        <f>SUM($G1034:AS1034)</f>
        <v>2902.8177616432886</v>
      </c>
      <c r="AT1090" s="19">
        <f>SUM($G1034:AT1034)</f>
        <v>2902.8177616432886</v>
      </c>
      <c r="AU1090" s="19">
        <f>SUM($G1034:AU1034)</f>
        <v>2902.8177616432886</v>
      </c>
      <c r="AV1090" s="19">
        <f>SUM($G1034:AV1034)</f>
        <v>2902.8177616432886</v>
      </c>
      <c r="AW1090" s="19">
        <f>SUM($G1034:AW1034)</f>
        <v>2902.8177616432886</v>
      </c>
      <c r="AX1090" s="19">
        <f>SUM($G1034:AX1034)</f>
        <v>2902.8177616432886</v>
      </c>
      <c r="AY1090" s="19">
        <f>SUM($G1034:AY1034)</f>
        <v>2902.8177616432886</v>
      </c>
      <c r="AZ1090" s="19">
        <f>SUM($G1034:AZ1034)</f>
        <v>2902.8177616432886</v>
      </c>
      <c r="BA1090" s="19">
        <f>SUM($G1034:BA1034)</f>
        <v>2902.8177616432886</v>
      </c>
      <c r="BB1090" s="19">
        <f>SUM($G1034:BB1034)</f>
        <v>2902.8177616432886</v>
      </c>
      <c r="BC1090" s="19">
        <f>SUM($G1034:BC1034)</f>
        <v>2902.8177616432886</v>
      </c>
      <c r="BD1090" s="19">
        <f>SUM($G1034:BD1034)</f>
        <v>2902.8177616432886</v>
      </c>
    </row>
    <row r="1091" spans="3:56" ht="15" customHeight="1">
      <c r="C1091" s="21"/>
      <c r="D1091" s="79" t="str">
        <f t="shared" si="770"/>
        <v>DRC</v>
      </c>
      <c r="F1091" s="99">
        <f t="shared" si="771"/>
        <v>6</v>
      </c>
      <c r="G1091" s="19">
        <f>SUM($G1035:G1035)</f>
        <v>0</v>
      </c>
      <c r="H1091" s="19">
        <f>SUM($G1035:H1035)</f>
        <v>0</v>
      </c>
      <c r="I1091" s="19">
        <f>SUM($G1035:I1035)</f>
        <v>2.8125000000000004</v>
      </c>
      <c r="J1091" s="19">
        <f>SUM($G1035:J1035)</f>
        <v>14.0625</v>
      </c>
      <c r="K1091" s="19">
        <f>SUM($G1035:K1035)</f>
        <v>31.422560045555205</v>
      </c>
      <c r="L1091" s="19">
        <f>SUM($G1035:L1035)</f>
        <v>128.02348083393977</v>
      </c>
      <c r="M1091" s="19">
        <f>SUM($G1035:M1035)</f>
        <v>228.35599034497437</v>
      </c>
      <c r="N1091" s="19">
        <f>SUM($G1035:N1035)</f>
        <v>350.67161293154771</v>
      </c>
      <c r="O1091" s="19">
        <f>SUM($G1035:O1035)</f>
        <v>473.69272447709307</v>
      </c>
      <c r="P1091" s="19">
        <f>SUM($G1035:P1035)</f>
        <v>604.03849547940547</v>
      </c>
      <c r="Q1091" s="19">
        <f>SUM($G1035:Q1035)</f>
        <v>733.69430008951565</v>
      </c>
      <c r="R1091" s="19">
        <f>SUM($G1035:R1035)</f>
        <v>862.67366706021198</v>
      </c>
      <c r="S1091" s="19">
        <f>SUM($G1035:S1035)</f>
        <v>990.98985987462015</v>
      </c>
      <c r="T1091" s="19">
        <f>SUM($G1035:T1035)</f>
        <v>1118.6558819475692</v>
      </c>
      <c r="U1091" s="19">
        <f>SUM($G1035:U1035)</f>
        <v>1254.4796728689805</v>
      </c>
      <c r="V1091" s="19">
        <f>SUM($G1035:V1035)</f>
        <v>1390.3034637903918</v>
      </c>
      <c r="W1091" s="19">
        <f>SUM($G1035:W1035)</f>
        <v>1526.1272547118031</v>
      </c>
      <c r="X1091" s="19">
        <f>SUM($G1035:X1035)</f>
        <v>1661.9510456332143</v>
      </c>
      <c r="Y1091" s="19">
        <f>SUM($G1035:Y1035)</f>
        <v>1797.0859729182619</v>
      </c>
      <c r="Z1091" s="19">
        <f>SUM($G1035:Z1035)</f>
        <v>1932.2192976624472</v>
      </c>
      <c r="AA1091" s="19">
        <f>SUM($G1035:AA1035)</f>
        <v>2067.3490172939687</v>
      </c>
      <c r="AB1091" s="19">
        <f>SUM($G1035:AB1035)</f>
        <v>2202.4725357089524</v>
      </c>
      <c r="AC1091" s="19">
        <f>SUM($G1035:AC1035)</f>
        <v>2337.5863252050731</v>
      </c>
      <c r="AD1091" s="19">
        <f>SUM($G1035:AD1035)</f>
        <v>2471.6244291820185</v>
      </c>
      <c r="AE1091" s="19">
        <f>SUM($G1035:AE1035)</f>
        <v>2605.6396010402282</v>
      </c>
      <c r="AF1091" s="19">
        <f>SUM($G1035:AF1035)</f>
        <v>2739.6169955905652</v>
      </c>
      <c r="AG1091" s="19">
        <f>SUM($G1035:AG1035)</f>
        <v>2877.3813959520999</v>
      </c>
      <c r="AH1091" s="19">
        <f>SUM($G1035:AH1035)</f>
        <v>2912.0455367487925</v>
      </c>
      <c r="AI1091" s="19">
        <f>SUM($G1035:AI1035)</f>
        <v>2912.0455367487925</v>
      </c>
      <c r="AJ1091" s="19">
        <f>SUM($G1035:AJ1035)</f>
        <v>2912.0455367487925</v>
      </c>
      <c r="AK1091" s="19">
        <f>SUM($G1035:AK1035)</f>
        <v>2912.0455367487925</v>
      </c>
      <c r="AL1091" s="19">
        <f>SUM($G1035:AL1035)</f>
        <v>2912.0455367487925</v>
      </c>
      <c r="AM1091" s="19">
        <f>SUM($G1035:AM1035)</f>
        <v>2912.0455367487925</v>
      </c>
      <c r="AN1091" s="19">
        <f>SUM($G1035:AN1035)</f>
        <v>2912.0455367487925</v>
      </c>
      <c r="AO1091" s="19">
        <f>SUM($G1035:AO1035)</f>
        <v>2912.0455367487925</v>
      </c>
      <c r="AP1091" s="19">
        <f>SUM($G1035:AP1035)</f>
        <v>2912.0455367487925</v>
      </c>
      <c r="AQ1091" s="19">
        <f>SUM($G1035:AQ1035)</f>
        <v>2912.0455367487925</v>
      </c>
      <c r="AR1091" s="19">
        <f>SUM($G1035:AR1035)</f>
        <v>2912.0455367487925</v>
      </c>
      <c r="AS1091" s="19">
        <f>SUM($G1035:AS1035)</f>
        <v>2912.0455367487925</v>
      </c>
      <c r="AT1091" s="19">
        <f>SUM($G1035:AT1035)</f>
        <v>2912.0455367487925</v>
      </c>
      <c r="AU1091" s="19">
        <f>SUM($G1035:AU1035)</f>
        <v>2912.0455367487925</v>
      </c>
      <c r="AV1091" s="19">
        <f>SUM($G1035:AV1035)</f>
        <v>2912.0455367487925</v>
      </c>
      <c r="AW1091" s="19">
        <f>SUM($G1035:AW1035)</f>
        <v>2912.0455367487925</v>
      </c>
      <c r="AX1091" s="19">
        <f>SUM($G1035:AX1035)</f>
        <v>2912.0455367487925</v>
      </c>
      <c r="AY1091" s="19">
        <f>SUM($G1035:AY1035)</f>
        <v>2912.0455367487925</v>
      </c>
      <c r="AZ1091" s="19">
        <f>SUM($G1035:AZ1035)</f>
        <v>2912.0455367487925</v>
      </c>
      <c r="BA1091" s="19">
        <f>SUM($G1035:BA1035)</f>
        <v>2912.0455367487925</v>
      </c>
      <c r="BB1091" s="19">
        <f>SUM($G1035:BB1035)</f>
        <v>2912.0455367487925</v>
      </c>
      <c r="BC1091" s="19">
        <f>SUM($G1035:BC1035)</f>
        <v>2912.0455367487925</v>
      </c>
      <c r="BD1091" s="19">
        <f>SUM($G1035:BD1035)</f>
        <v>2912.0455367487925</v>
      </c>
    </row>
    <row r="1092" spans="3:56" ht="15" customHeight="1">
      <c r="C1092" s="21"/>
      <c r="D1092" s="79" t="str">
        <f t="shared" si="770"/>
        <v>Ghana</v>
      </c>
      <c r="F1092" s="99">
        <f t="shared" si="771"/>
        <v>7</v>
      </c>
      <c r="G1092" s="19">
        <f>SUM($G1036:G1036)</f>
        <v>0</v>
      </c>
      <c r="H1092" s="19">
        <f>SUM($G1036:H1036)</f>
        <v>0</v>
      </c>
      <c r="I1092" s="19">
        <f>SUM($G1036:I1036)</f>
        <v>3.7500000000000004</v>
      </c>
      <c r="J1092" s="19">
        <f>SUM($G1036:J1036)</f>
        <v>18.750000000000004</v>
      </c>
      <c r="K1092" s="19">
        <f>SUM($G1036:K1036)</f>
        <v>38.362923875432529</v>
      </c>
      <c r="L1092" s="19">
        <f>SUM($G1036:L1036)</f>
        <v>120.55650585304194</v>
      </c>
      <c r="M1092" s="19">
        <f>SUM($G1036:M1036)</f>
        <v>221.57030606828727</v>
      </c>
      <c r="N1092" s="19">
        <f>SUM($G1036:N1036)</f>
        <v>339.70090906718906</v>
      </c>
      <c r="O1092" s="19">
        <f>SUM($G1036:O1036)</f>
        <v>457.37754946356131</v>
      </c>
      <c r="P1092" s="19">
        <f>SUM($G1036:P1036)</f>
        <v>603.77589624855489</v>
      </c>
      <c r="Q1092" s="19">
        <f>SUM($G1036:Q1036)</f>
        <v>750.17424303354846</v>
      </c>
      <c r="R1092" s="19">
        <f>SUM($G1036:R1036)</f>
        <v>896.57258981854193</v>
      </c>
      <c r="S1092" s="19">
        <f>SUM($G1036:S1036)</f>
        <v>1042.9709366035354</v>
      </c>
      <c r="T1092" s="19">
        <f>SUM($G1036:T1036)</f>
        <v>1189.3692833885289</v>
      </c>
      <c r="U1092" s="19">
        <f>SUM($G1036:U1036)</f>
        <v>1335.7676301735223</v>
      </c>
      <c r="V1092" s="19">
        <f>SUM($G1036:V1036)</f>
        <v>1482.1659769585158</v>
      </c>
      <c r="W1092" s="19">
        <f>SUM($G1036:W1036)</f>
        <v>1628.5643237435092</v>
      </c>
      <c r="X1092" s="19">
        <f>SUM($G1036:X1036)</f>
        <v>1774.9626705285027</v>
      </c>
      <c r="Y1092" s="19">
        <f>SUM($G1036:Y1036)</f>
        <v>1920.6263354953144</v>
      </c>
      <c r="Z1092" s="19">
        <f>SUM($G1036:Z1036)</f>
        <v>2066.2882913319409</v>
      </c>
      <c r="AA1092" s="19">
        <f>SUM($G1036:AA1036)</f>
        <v>2211.9464022701191</v>
      </c>
      <c r="AB1092" s="19">
        <f>SUM($G1036:AB1036)</f>
        <v>2357.5978995320911</v>
      </c>
      <c r="AC1092" s="19">
        <f>SUM($G1036:AC1036)</f>
        <v>2503.2390207785188</v>
      </c>
      <c r="AD1092" s="19">
        <f>SUM($G1036:AD1036)</f>
        <v>2647.7329097553038</v>
      </c>
      <c r="AE1092" s="19">
        <f>SUM($G1036:AE1036)</f>
        <v>2792.2023413361717</v>
      </c>
      <c r="AF1092" s="19">
        <f>SUM($G1036:AF1036)</f>
        <v>2936.6314829383427</v>
      </c>
      <c r="AG1092" s="19">
        <f>SUM($G1036:AG1036)</f>
        <v>3085.0429754264514</v>
      </c>
      <c r="AH1092" s="19">
        <f>SUM($G1036:AH1036)</f>
        <v>3136.3013593713613</v>
      </c>
      <c r="AI1092" s="19">
        <f>SUM($G1036:AI1036)</f>
        <v>3136.3013593713613</v>
      </c>
      <c r="AJ1092" s="19">
        <f>SUM($G1036:AJ1036)</f>
        <v>3136.3013593713613</v>
      </c>
      <c r="AK1092" s="19">
        <f>SUM($G1036:AK1036)</f>
        <v>3136.3013593713613</v>
      </c>
      <c r="AL1092" s="19">
        <f>SUM($G1036:AL1036)</f>
        <v>3136.3013593713613</v>
      </c>
      <c r="AM1092" s="19">
        <f>SUM($G1036:AM1036)</f>
        <v>3136.3013593713613</v>
      </c>
      <c r="AN1092" s="19">
        <f>SUM($G1036:AN1036)</f>
        <v>3136.3013593713613</v>
      </c>
      <c r="AO1092" s="19">
        <f>SUM($G1036:AO1036)</f>
        <v>3136.3013593713613</v>
      </c>
      <c r="AP1092" s="19">
        <f>SUM($G1036:AP1036)</f>
        <v>3136.3013593713613</v>
      </c>
      <c r="AQ1092" s="19">
        <f>SUM($G1036:AQ1036)</f>
        <v>3136.3013593713613</v>
      </c>
      <c r="AR1092" s="19">
        <f>SUM($G1036:AR1036)</f>
        <v>3136.3013593713613</v>
      </c>
      <c r="AS1092" s="19">
        <f>SUM($G1036:AS1036)</f>
        <v>3136.3013593713613</v>
      </c>
      <c r="AT1092" s="19">
        <f>SUM($G1036:AT1036)</f>
        <v>3136.3013593713613</v>
      </c>
      <c r="AU1092" s="19">
        <f>SUM($G1036:AU1036)</f>
        <v>3136.3013593713613</v>
      </c>
      <c r="AV1092" s="19">
        <f>SUM($G1036:AV1036)</f>
        <v>3136.3013593713613</v>
      </c>
      <c r="AW1092" s="19">
        <f>SUM($G1036:AW1036)</f>
        <v>3136.3013593713613</v>
      </c>
      <c r="AX1092" s="19">
        <f>SUM($G1036:AX1036)</f>
        <v>3136.3013593713613</v>
      </c>
      <c r="AY1092" s="19">
        <f>SUM($G1036:AY1036)</f>
        <v>3136.3013593713613</v>
      </c>
      <c r="AZ1092" s="19">
        <f>SUM($G1036:AZ1036)</f>
        <v>3136.3013593713613</v>
      </c>
      <c r="BA1092" s="19">
        <f>SUM($G1036:BA1036)</f>
        <v>3136.3013593713613</v>
      </c>
      <c r="BB1092" s="19">
        <f>SUM($G1036:BB1036)</f>
        <v>3136.3013593713613</v>
      </c>
      <c r="BC1092" s="19">
        <f>SUM($G1036:BC1036)</f>
        <v>3136.3013593713613</v>
      </c>
      <c r="BD1092" s="19">
        <f>SUM($G1036:BD1036)</f>
        <v>3136.3013593713613</v>
      </c>
    </row>
    <row r="1093" spans="3:56" ht="15" customHeight="1">
      <c r="C1093" s="21"/>
      <c r="D1093" s="79" t="str">
        <f t="shared" si="770"/>
        <v>South Africa (gold)</v>
      </c>
      <c r="F1093" s="99">
        <f t="shared" si="771"/>
        <v>8</v>
      </c>
      <c r="G1093" s="19">
        <f>SUM($G1037:G1037)</f>
        <v>0</v>
      </c>
      <c r="H1093" s="19">
        <f>SUM($G1037:H1037)</f>
        <v>0</v>
      </c>
      <c r="I1093" s="19">
        <f>SUM($G1037:I1037)</f>
        <v>3.2625000000000002</v>
      </c>
      <c r="J1093" s="19">
        <f>SUM($G1037:J1037)</f>
        <v>16.3125</v>
      </c>
      <c r="K1093" s="19">
        <f>SUM($G1037:K1037)</f>
        <v>26.351107266435989</v>
      </c>
      <c r="L1093" s="19">
        <f>SUM($G1037:L1037)</f>
        <v>74.152694664947873</v>
      </c>
      <c r="M1093" s="19">
        <f>SUM($G1037:M1037)</f>
        <v>156.22235441520473</v>
      </c>
      <c r="N1093" s="19">
        <f>SUM($G1037:N1037)</f>
        <v>293.03418781583906</v>
      </c>
      <c r="O1093" s="19">
        <f>SUM($G1037:O1037)</f>
        <v>430.94644154483944</v>
      </c>
      <c r="P1093" s="19">
        <f>SUM($G1037:P1037)</f>
        <v>576.92714821150616</v>
      </c>
      <c r="Q1093" s="19">
        <f>SUM($G1037:Q1037)</f>
        <v>722.90785487817288</v>
      </c>
      <c r="R1093" s="19">
        <f>SUM($G1037:R1037)</f>
        <v>868.8885615448396</v>
      </c>
      <c r="S1093" s="19">
        <f>SUM($G1037:S1037)</f>
        <v>1014.8692682115063</v>
      </c>
      <c r="T1093" s="19">
        <f>SUM($G1037:T1037)</f>
        <v>1160.849974878173</v>
      </c>
      <c r="U1093" s="19">
        <f>SUM($G1037:U1037)</f>
        <v>1306.8306815448398</v>
      </c>
      <c r="V1093" s="19">
        <f>SUM($G1037:V1037)</f>
        <v>1452.8113882115065</v>
      </c>
      <c r="W1093" s="19">
        <f>SUM($G1037:W1037)</f>
        <v>1598.7920948781732</v>
      </c>
      <c r="X1093" s="19">
        <f>SUM($G1037:X1037)</f>
        <v>1744.7728015448399</v>
      </c>
      <c r="Y1093" s="19">
        <f>SUM($G1037:Y1037)</f>
        <v>1890.0025991205976</v>
      </c>
      <c r="Z1093" s="19">
        <f>SUM($G1037:Z1037)</f>
        <v>2035.2306498157848</v>
      </c>
      <c r="AA1093" s="19">
        <f>SUM($G1037:AA1037)</f>
        <v>2180.4547706883918</v>
      </c>
      <c r="AB1093" s="19">
        <f>SUM($G1037:AB1037)</f>
        <v>2325.6721318053264</v>
      </c>
      <c r="AC1093" s="19">
        <f>SUM($G1037:AC1037)</f>
        <v>2470.878887726642</v>
      </c>
      <c r="AD1093" s="19">
        <f>SUM($G1037:AD1037)</f>
        <v>2614.8026585708581</v>
      </c>
      <c r="AE1093" s="19">
        <f>SUM($G1037:AE1037)</f>
        <v>2758.7014318168217</v>
      </c>
      <c r="AF1093" s="19">
        <f>SUM($G1037:AF1037)</f>
        <v>2902.5590251798385</v>
      </c>
      <c r="AG1093" s="19">
        <f>SUM($G1037:AG1037)</f>
        <v>3055.3679122677636</v>
      </c>
      <c r="AH1093" s="19">
        <f>SUM($G1037:AH1037)</f>
        <v>3124.5972030890207</v>
      </c>
      <c r="AI1093" s="19">
        <f>SUM($G1037:AI1037)</f>
        <v>3124.5972030890207</v>
      </c>
      <c r="AJ1093" s="19">
        <f>SUM($G1037:AJ1037)</f>
        <v>3124.5972030890207</v>
      </c>
      <c r="AK1093" s="19">
        <f>SUM($G1037:AK1037)</f>
        <v>3124.5972030890207</v>
      </c>
      <c r="AL1093" s="19">
        <f>SUM($G1037:AL1037)</f>
        <v>3124.5972030890207</v>
      </c>
      <c r="AM1093" s="19">
        <f>SUM($G1037:AM1037)</f>
        <v>3124.5972030890207</v>
      </c>
      <c r="AN1093" s="19">
        <f>SUM($G1037:AN1037)</f>
        <v>3124.5972030890207</v>
      </c>
      <c r="AO1093" s="19">
        <f>SUM($G1037:AO1037)</f>
        <v>3124.5972030890207</v>
      </c>
      <c r="AP1093" s="19">
        <f>SUM($G1037:AP1037)</f>
        <v>3124.5972030890207</v>
      </c>
      <c r="AQ1093" s="19">
        <f>SUM($G1037:AQ1037)</f>
        <v>3124.5972030890207</v>
      </c>
      <c r="AR1093" s="19">
        <f>SUM($G1037:AR1037)</f>
        <v>3124.5972030890207</v>
      </c>
      <c r="AS1093" s="19">
        <f>SUM($G1037:AS1037)</f>
        <v>3124.5972030890207</v>
      </c>
      <c r="AT1093" s="19">
        <f>SUM($G1037:AT1037)</f>
        <v>3124.5972030890207</v>
      </c>
      <c r="AU1093" s="19">
        <f>SUM($G1037:AU1037)</f>
        <v>3124.5972030890207</v>
      </c>
      <c r="AV1093" s="19">
        <f>SUM($G1037:AV1037)</f>
        <v>3124.5972030890207</v>
      </c>
      <c r="AW1093" s="19">
        <f>SUM($G1037:AW1037)</f>
        <v>3124.5972030890207</v>
      </c>
      <c r="AX1093" s="19">
        <f>SUM($G1037:AX1037)</f>
        <v>3124.5972030890207</v>
      </c>
      <c r="AY1093" s="19">
        <f>SUM($G1037:AY1037)</f>
        <v>3124.5972030890207</v>
      </c>
      <c r="AZ1093" s="19">
        <f>SUM($G1037:AZ1037)</f>
        <v>3124.5972030890207</v>
      </c>
      <c r="BA1093" s="19">
        <f>SUM($G1037:BA1037)</f>
        <v>3124.5972030890207</v>
      </c>
      <c r="BB1093" s="19">
        <f>SUM($G1037:BB1037)</f>
        <v>3124.5972030890207</v>
      </c>
      <c r="BC1093" s="19">
        <f>SUM($G1037:BC1037)</f>
        <v>3124.5972030890207</v>
      </c>
      <c r="BD1093" s="19">
        <f>SUM($G1037:BD1037)</f>
        <v>3124.5972030890207</v>
      </c>
    </row>
    <row r="1094" spans="3:56" ht="15" customHeight="1">
      <c r="C1094" s="21"/>
      <c r="D1094" s="79" t="str">
        <f t="shared" si="770"/>
        <v>Indonesia</v>
      </c>
      <c r="F1094" s="99">
        <f t="shared" si="771"/>
        <v>9</v>
      </c>
      <c r="G1094" s="19">
        <f>SUM($G1038:G1038)</f>
        <v>0</v>
      </c>
      <c r="H1094" s="19">
        <f>SUM($G1038:H1038)</f>
        <v>0</v>
      </c>
      <c r="I1094" s="19">
        <f>SUM($G1038:I1038)</f>
        <v>3.8812500000000001</v>
      </c>
      <c r="J1094" s="19">
        <f>SUM($G1038:J1038)</f>
        <v>19.406250000000004</v>
      </c>
      <c r="K1094" s="19">
        <f>SUM($G1038:K1038)</f>
        <v>43.672750982311001</v>
      </c>
      <c r="L1094" s="19">
        <f>SUM($G1038:L1038)</f>
        <v>137.78210959650352</v>
      </c>
      <c r="M1094" s="19">
        <f>SUM($G1038:M1038)</f>
        <v>235.61205127814003</v>
      </c>
      <c r="N1094" s="19">
        <f>SUM($G1038:N1038)</f>
        <v>356.95688159554084</v>
      </c>
      <c r="O1094" s="19">
        <f>SUM($G1038:O1038)</f>
        <v>478.67010657156573</v>
      </c>
      <c r="P1094" s="19">
        <f>SUM($G1038:P1038)</f>
        <v>607.7409517373643</v>
      </c>
      <c r="Q1094" s="19">
        <f>SUM($G1038:Q1038)</f>
        <v>736.45687591951969</v>
      </c>
      <c r="R1094" s="19">
        <f>SUM($G1038:R1038)</f>
        <v>864.82483835300536</v>
      </c>
      <c r="S1094" s="19">
        <f>SUM($G1038:S1038)</f>
        <v>992.85166181720706</v>
      </c>
      <c r="T1094" s="19">
        <f>SUM($G1038:T1038)</f>
        <v>1120.5440353115225</v>
      </c>
      <c r="U1094" s="19">
        <f>SUM($G1038:U1038)</f>
        <v>1247.9085166784985</v>
      </c>
      <c r="V1094" s="19">
        <f>SUM($G1038:V1038)</f>
        <v>1374.9515351755335</v>
      </c>
      <c r="W1094" s="19">
        <f>SUM($G1038:W1038)</f>
        <v>1501.6793939961563</v>
      </c>
      <c r="X1094" s="19">
        <f>SUM($G1038:X1038)</f>
        <v>1628.0982727418648</v>
      </c>
      <c r="Y1094" s="19">
        <f>SUM($G1038:Y1038)</f>
        <v>1753.577866209137</v>
      </c>
      <c r="Z1094" s="19">
        <f>SUM($G1038:Z1038)</f>
        <v>1878.758997267114</v>
      </c>
      <c r="AA1094" s="19">
        <f>SUM($G1038:AA1038)</f>
        <v>2007.6630661150814</v>
      </c>
      <c r="AB1094" s="19">
        <f>SUM($G1038:AB1038)</f>
        <v>2136.5614063565472</v>
      </c>
      <c r="AC1094" s="19">
        <f>SUM($G1038:AC1038)</f>
        <v>2265.4507591440984</v>
      </c>
      <c r="AD1094" s="19">
        <f>SUM($G1038:AD1038)</f>
        <v>2393.2912820640508</v>
      </c>
      <c r="AE1094" s="19">
        <f>SUM($G1038:AE1038)</f>
        <v>2521.1106205787046</v>
      </c>
      <c r="AF1094" s="19">
        <f>SUM($G1038:AF1038)</f>
        <v>2648.8950608874716</v>
      </c>
      <c r="AG1094" s="19">
        <f>SUM($G1038:AG1038)</f>
        <v>2780.2403772342964</v>
      </c>
      <c r="AH1094" s="19">
        <f>SUM($G1038:AH1038)</f>
        <v>2816.7677885992357</v>
      </c>
      <c r="AI1094" s="19">
        <f>SUM($G1038:AI1038)</f>
        <v>2816.7677885992357</v>
      </c>
      <c r="AJ1094" s="19">
        <f>SUM($G1038:AJ1038)</f>
        <v>2816.7677885992357</v>
      </c>
      <c r="AK1094" s="19">
        <f>SUM($G1038:AK1038)</f>
        <v>2816.7677885992357</v>
      </c>
      <c r="AL1094" s="19">
        <f>SUM($G1038:AL1038)</f>
        <v>2816.7677885992357</v>
      </c>
      <c r="AM1094" s="19">
        <f>SUM($G1038:AM1038)</f>
        <v>2816.7677885992357</v>
      </c>
      <c r="AN1094" s="19">
        <f>SUM($G1038:AN1038)</f>
        <v>2816.7677885992357</v>
      </c>
      <c r="AO1094" s="19">
        <f>SUM($G1038:AO1038)</f>
        <v>2816.7677885992357</v>
      </c>
      <c r="AP1094" s="19">
        <f>SUM($G1038:AP1038)</f>
        <v>2816.7677885992357</v>
      </c>
      <c r="AQ1094" s="19">
        <f>SUM($G1038:AQ1038)</f>
        <v>2816.7677885992357</v>
      </c>
      <c r="AR1094" s="19">
        <f>SUM($G1038:AR1038)</f>
        <v>2816.7677885992357</v>
      </c>
      <c r="AS1094" s="19">
        <f>SUM($G1038:AS1038)</f>
        <v>2816.7677885992357</v>
      </c>
      <c r="AT1094" s="19">
        <f>SUM($G1038:AT1038)</f>
        <v>2816.7677885992357</v>
      </c>
      <c r="AU1094" s="19">
        <f>SUM($G1038:AU1038)</f>
        <v>2816.7677885992357</v>
      </c>
      <c r="AV1094" s="19">
        <f>SUM($G1038:AV1038)</f>
        <v>2816.7677885992357</v>
      </c>
      <c r="AW1094" s="19">
        <f>SUM($G1038:AW1038)</f>
        <v>2816.7677885992357</v>
      </c>
      <c r="AX1094" s="19">
        <f>SUM($G1038:AX1038)</f>
        <v>2816.7677885992357</v>
      </c>
      <c r="AY1094" s="19">
        <f>SUM($G1038:AY1038)</f>
        <v>2816.7677885992357</v>
      </c>
      <c r="AZ1094" s="19">
        <f>SUM($G1038:AZ1038)</f>
        <v>2816.7677885992357</v>
      </c>
      <c r="BA1094" s="19">
        <f>SUM($G1038:BA1038)</f>
        <v>2816.7677885992357</v>
      </c>
      <c r="BB1094" s="19">
        <f>SUM($G1038:BB1038)</f>
        <v>2816.7677885992357</v>
      </c>
      <c r="BC1094" s="19">
        <f>SUM($G1038:BC1038)</f>
        <v>2816.7677885992357</v>
      </c>
      <c r="BD1094" s="19">
        <f>SUM($G1038:BD1038)</f>
        <v>2816.7677885992357</v>
      </c>
    </row>
    <row r="1095" spans="3:56" ht="15" customHeight="1">
      <c r="C1095" s="21"/>
      <c r="D1095" s="79" t="str">
        <f t="shared" si="770"/>
        <v>Peru</v>
      </c>
      <c r="F1095" s="99">
        <f t="shared" si="771"/>
        <v>10</v>
      </c>
      <c r="G1095" s="19">
        <f>SUM($G1039:G1039)</f>
        <v>0</v>
      </c>
      <c r="H1095" s="19">
        <f>SUM($G1039:H1039)</f>
        <v>0</v>
      </c>
      <c r="I1095" s="19">
        <f>SUM($G1039:I1039)</f>
        <v>0</v>
      </c>
      <c r="J1095" s="19">
        <f>SUM($G1039:J1039)</f>
        <v>0</v>
      </c>
      <c r="K1095" s="19">
        <f>SUM($G1039:K1039)</f>
        <v>19.304138172535282</v>
      </c>
      <c r="L1095" s="19">
        <f>SUM($G1039:L1039)</f>
        <v>112.3422691427221</v>
      </c>
      <c r="M1095" s="19">
        <f>SUM($G1039:M1039)</f>
        <v>207.24859837560319</v>
      </c>
      <c r="N1095" s="19">
        <f>SUM($G1039:N1039)</f>
        <v>306.99461651402703</v>
      </c>
      <c r="O1095" s="19">
        <f>SUM($G1039:O1039)</f>
        <v>406.78211141988777</v>
      </c>
      <c r="P1095" s="19">
        <f>SUM($G1039:P1039)</f>
        <v>508.34646834410813</v>
      </c>
      <c r="Q1095" s="19">
        <f>SUM($G1039:Q1039)</f>
        <v>609.11509242300065</v>
      </c>
      <c r="R1095" s="19">
        <f>SUM($G1039:R1039)</f>
        <v>709.10358626137565</v>
      </c>
      <c r="S1095" s="19">
        <f>SUM($G1039:S1039)</f>
        <v>808.32724653061587</v>
      </c>
      <c r="T1095" s="19">
        <f>SUM($G1039:T1039)</f>
        <v>906.80106996737095</v>
      </c>
      <c r="U1095" s="19">
        <f>SUM($G1039:U1039)</f>
        <v>1014.6831844320335</v>
      </c>
      <c r="V1095" s="19">
        <f>SUM($G1039:V1039)</f>
        <v>1122.565298896696</v>
      </c>
      <c r="W1095" s="19">
        <f>SUM($G1039:W1039)</f>
        <v>1230.4474133613585</v>
      </c>
      <c r="X1095" s="19">
        <f>SUM($G1039:X1039)</f>
        <v>1338.3295278260209</v>
      </c>
      <c r="Y1095" s="19">
        <f>SUM($G1039:Y1039)</f>
        <v>1445.6862445634106</v>
      </c>
      <c r="Z1095" s="19">
        <f>SUM($G1039:Z1039)</f>
        <v>1553.0417390395537</v>
      </c>
      <c r="AA1095" s="19">
        <f>SUM($G1039:AA1039)</f>
        <v>1660.3944838887751</v>
      </c>
      <c r="AB1095" s="19">
        <f>SUM($G1039:AB1039)</f>
        <v>1767.7424990572533</v>
      </c>
      <c r="AC1095" s="19">
        <f>SUM($G1039:AC1039)</f>
        <v>1875.0830939590933</v>
      </c>
      <c r="AD1095" s="19">
        <f>SUM($G1039:AD1039)</f>
        <v>1981.3653325921223</v>
      </c>
      <c r="AE1095" s="19">
        <f>SUM($G1039:AE1039)</f>
        <v>2087.6300808505266</v>
      </c>
      <c r="AF1095" s="19">
        <f>SUM($G1039:AF1039)</f>
        <v>2193.8660162776955</v>
      </c>
      <c r="AG1095" s="19">
        <f>SUM($G1039:AG1039)</f>
        <v>2301.6062068587858</v>
      </c>
      <c r="AH1095" s="19">
        <f>SUM($G1039:AH1039)</f>
        <v>2318.0929347000206</v>
      </c>
      <c r="AI1095" s="19">
        <f>SUM($G1039:AI1039)</f>
        <v>2318.0929347000206</v>
      </c>
      <c r="AJ1095" s="19">
        <f>SUM($G1039:AJ1039)</f>
        <v>2318.0929347000206</v>
      </c>
      <c r="AK1095" s="19">
        <f>SUM($G1039:AK1039)</f>
        <v>2318.0929347000206</v>
      </c>
      <c r="AL1095" s="19">
        <f>SUM($G1039:AL1039)</f>
        <v>2318.0929347000206</v>
      </c>
      <c r="AM1095" s="19">
        <f>SUM($G1039:AM1039)</f>
        <v>2318.0929347000206</v>
      </c>
      <c r="AN1095" s="19">
        <f>SUM($G1039:AN1039)</f>
        <v>2318.0929347000206</v>
      </c>
      <c r="AO1095" s="19">
        <f>SUM($G1039:AO1039)</f>
        <v>2318.0929347000206</v>
      </c>
      <c r="AP1095" s="19">
        <f>SUM($G1039:AP1039)</f>
        <v>2318.0929347000206</v>
      </c>
      <c r="AQ1095" s="19">
        <f>SUM($G1039:AQ1039)</f>
        <v>2318.0929347000206</v>
      </c>
      <c r="AR1095" s="19">
        <f>SUM($G1039:AR1039)</f>
        <v>2318.0929347000206</v>
      </c>
      <c r="AS1095" s="19">
        <f>SUM($G1039:AS1039)</f>
        <v>2318.0929347000206</v>
      </c>
      <c r="AT1095" s="19">
        <f>SUM($G1039:AT1039)</f>
        <v>2318.0929347000206</v>
      </c>
      <c r="AU1095" s="19">
        <f>SUM($G1039:AU1039)</f>
        <v>2318.0929347000206</v>
      </c>
      <c r="AV1095" s="19">
        <f>SUM($G1039:AV1039)</f>
        <v>2318.0929347000206</v>
      </c>
      <c r="AW1095" s="19">
        <f>SUM($G1039:AW1039)</f>
        <v>2318.0929347000206</v>
      </c>
      <c r="AX1095" s="19">
        <f>SUM($G1039:AX1039)</f>
        <v>2318.0929347000206</v>
      </c>
      <c r="AY1095" s="19">
        <f>SUM($G1039:AY1039)</f>
        <v>2318.0929347000206</v>
      </c>
      <c r="AZ1095" s="19">
        <f>SUM($G1039:AZ1039)</f>
        <v>2318.0929347000206</v>
      </c>
      <c r="BA1095" s="19">
        <f>SUM($G1039:BA1039)</f>
        <v>2318.0929347000206</v>
      </c>
      <c r="BB1095" s="19">
        <f>SUM($G1039:BB1039)</f>
        <v>2318.0929347000206</v>
      </c>
      <c r="BC1095" s="19">
        <f>SUM($G1039:BC1039)</f>
        <v>2318.0929347000206</v>
      </c>
      <c r="BD1095" s="19">
        <f>SUM($G1039:BD1039)</f>
        <v>2318.0929347000206</v>
      </c>
    </row>
    <row r="1096" spans="3:56" ht="15" customHeight="1">
      <c r="C1096" s="21"/>
      <c r="D1096" s="79" t="str">
        <f t="shared" si="770"/>
        <v>Western Australia</v>
      </c>
      <c r="F1096" s="99">
        <f t="shared" si="771"/>
        <v>11</v>
      </c>
      <c r="G1096" s="19">
        <f>SUM($G1040:G1040)</f>
        <v>0</v>
      </c>
      <c r="H1096" s="19">
        <f>SUM($G1040:H1040)</f>
        <v>0</v>
      </c>
      <c r="I1096" s="19">
        <f>SUM($G1040:I1040)</f>
        <v>2.8125000000000004</v>
      </c>
      <c r="J1096" s="19">
        <f>SUM($G1040:J1040)</f>
        <v>14.0625</v>
      </c>
      <c r="K1096" s="19">
        <f>SUM($G1040:K1040)</f>
        <v>30.012262467700523</v>
      </c>
      <c r="L1096" s="19">
        <f>SUM($G1040:L1040)</f>
        <v>122.12400868521868</v>
      </c>
      <c r="M1096" s="19">
        <f>SUM($G1040:M1040)</f>
        <v>214.11687927731197</v>
      </c>
      <c r="N1096" s="19">
        <f>SUM($G1040:N1040)</f>
        <v>305.97862359714293</v>
      </c>
      <c r="O1096" s="19">
        <f>SUM($G1040:O1040)</f>
        <v>397.69751711921316</v>
      </c>
      <c r="P1096" s="19">
        <f>SUM($G1040:P1040)</f>
        <v>489.26234551712969</v>
      </c>
      <c r="Q1096" s="19">
        <f>SUM($G1040:Q1040)</f>
        <v>579.9753635543027</v>
      </c>
      <c r="R1096" s="19">
        <f>SUM($G1040:R1040)</f>
        <v>669.85327339466846</v>
      </c>
      <c r="S1096" s="19">
        <f>SUM($G1040:S1040)</f>
        <v>758.91244970875255</v>
      </c>
      <c r="T1096" s="19">
        <f>SUM($G1040:T1040)</f>
        <v>847.1689460951095</v>
      </c>
      <c r="U1096" s="19">
        <f>SUM($G1040:U1040)</f>
        <v>945.49676204746902</v>
      </c>
      <c r="V1096" s="19">
        <f>SUM($G1040:V1040)</f>
        <v>1043.8245779998285</v>
      </c>
      <c r="W1096" s="19">
        <f>SUM($G1040:W1040)</f>
        <v>1142.152393952188</v>
      </c>
      <c r="X1096" s="19">
        <f>SUM($G1040:X1040)</f>
        <v>1240.4802099045476</v>
      </c>
      <c r="Y1096" s="19">
        <f>SUM($G1040:Y1040)</f>
        <v>1338.3307531296343</v>
      </c>
      <c r="Z1096" s="19">
        <f>SUM($G1040:Z1040)</f>
        <v>1436.1801860492737</v>
      </c>
      <c r="AA1096" s="19">
        <f>SUM($G1040:AA1040)</f>
        <v>1534.027121200324</v>
      </c>
      <c r="AB1096" s="19">
        <f>SUM($G1040:AB1040)</f>
        <v>1631.869759896498</v>
      </c>
      <c r="AC1096" s="19">
        <f>SUM($G1040:AC1040)</f>
        <v>1729.7056580022359</v>
      </c>
      <c r="AD1096" s="19">
        <f>SUM($G1040:AD1040)</f>
        <v>1826.796277457275</v>
      </c>
      <c r="AE1096" s="19">
        <f>SUM($G1040:AE1040)</f>
        <v>1923.8710086083402</v>
      </c>
      <c r="AF1096" s="19">
        <f>SUM($G1040:AF1040)</f>
        <v>2020.9195661049901</v>
      </c>
      <c r="AG1096" s="19">
        <f>SUM($G1040:AG1040)</f>
        <v>2117.9920306301833</v>
      </c>
      <c r="AH1096" s="19">
        <f>SUM($G1040:AH1040)</f>
        <v>2126.6170306301833</v>
      </c>
      <c r="AI1096" s="19">
        <f>SUM($G1040:AI1040)</f>
        <v>2126.6170306301833</v>
      </c>
      <c r="AJ1096" s="19">
        <f>SUM($G1040:AJ1040)</f>
        <v>2126.6170306301833</v>
      </c>
      <c r="AK1096" s="19">
        <f>SUM($G1040:AK1040)</f>
        <v>2126.6170306301833</v>
      </c>
      <c r="AL1096" s="19">
        <f>SUM($G1040:AL1040)</f>
        <v>2126.6170306301833</v>
      </c>
      <c r="AM1096" s="19">
        <f>SUM($G1040:AM1040)</f>
        <v>2126.6170306301833</v>
      </c>
      <c r="AN1096" s="19">
        <f>SUM($G1040:AN1040)</f>
        <v>2126.6170306301833</v>
      </c>
      <c r="AO1096" s="19">
        <f>SUM($G1040:AO1040)</f>
        <v>2126.6170306301833</v>
      </c>
      <c r="AP1096" s="19">
        <f>SUM($G1040:AP1040)</f>
        <v>2126.6170306301833</v>
      </c>
      <c r="AQ1096" s="19">
        <f>SUM($G1040:AQ1040)</f>
        <v>2126.6170306301833</v>
      </c>
      <c r="AR1096" s="19">
        <f>SUM($G1040:AR1040)</f>
        <v>2126.6170306301833</v>
      </c>
      <c r="AS1096" s="19">
        <f>SUM($G1040:AS1040)</f>
        <v>2126.6170306301833</v>
      </c>
      <c r="AT1096" s="19">
        <f>SUM($G1040:AT1040)</f>
        <v>2126.6170306301833</v>
      </c>
      <c r="AU1096" s="19">
        <f>SUM($G1040:AU1040)</f>
        <v>2126.6170306301833</v>
      </c>
      <c r="AV1096" s="19">
        <f>SUM($G1040:AV1040)</f>
        <v>2126.6170306301833</v>
      </c>
      <c r="AW1096" s="19">
        <f>SUM($G1040:AW1040)</f>
        <v>2126.6170306301833</v>
      </c>
      <c r="AX1096" s="19">
        <f>SUM($G1040:AX1040)</f>
        <v>2126.6170306301833</v>
      </c>
      <c r="AY1096" s="19">
        <f>SUM($G1040:AY1040)</f>
        <v>2126.6170306301833</v>
      </c>
      <c r="AZ1096" s="19">
        <f>SUM($G1040:AZ1040)</f>
        <v>2126.6170306301833</v>
      </c>
      <c r="BA1096" s="19">
        <f>SUM($G1040:BA1040)</f>
        <v>2126.6170306301833</v>
      </c>
      <c r="BB1096" s="19">
        <f>SUM($G1040:BB1040)</f>
        <v>2126.6170306301833</v>
      </c>
      <c r="BC1096" s="19">
        <f>SUM($G1040:BC1040)</f>
        <v>2126.6170306301833</v>
      </c>
      <c r="BD1096" s="19">
        <f>SUM($G1040:BD1040)</f>
        <v>2126.6170306301833</v>
      </c>
    </row>
    <row r="1097" spans="3:56" ht="15" customHeight="1">
      <c r="C1097" s="19"/>
      <c r="F1097" s="61"/>
      <c r="G1097" s="19"/>
      <c r="H1097" s="19"/>
      <c r="I1097" s="19"/>
      <c r="J1097" s="19"/>
      <c r="K1097" s="19"/>
      <c r="L1097" s="19"/>
      <c r="M1097" s="19"/>
      <c r="N1097" s="19"/>
      <c r="O1097" s="19"/>
      <c r="P1097" s="19"/>
      <c r="Q1097" s="19"/>
      <c r="R1097" s="19"/>
      <c r="S1097" s="19"/>
    </row>
    <row r="1098" spans="3:56" ht="15" customHeight="1">
      <c r="C1098" s="20"/>
      <c r="D1098" s="463" t="s">
        <v>747</v>
      </c>
      <c r="E1098" s="463"/>
      <c r="F1098" s="556"/>
      <c r="G1098" s="544">
        <v>5</v>
      </c>
      <c r="H1098" s="544">
        <v>10</v>
      </c>
      <c r="I1098" s="544"/>
      <c r="J1098" s="544"/>
      <c r="K1098" s="544"/>
      <c r="L1098" s="544"/>
      <c r="M1098" s="544"/>
      <c r="N1098" s="544"/>
      <c r="O1098" s="544"/>
      <c r="P1098" s="544"/>
      <c r="Q1098" s="544"/>
      <c r="R1098" s="544"/>
      <c r="S1098" s="544"/>
      <c r="T1098" s="544"/>
      <c r="U1098" s="544"/>
      <c r="V1098" s="544"/>
      <c r="W1098" s="544"/>
      <c r="X1098" s="544"/>
      <c r="Y1098" s="544"/>
      <c r="Z1098" s="544"/>
      <c r="AA1098" s="544"/>
      <c r="AB1098" s="544"/>
      <c r="AC1098" s="544"/>
      <c r="AD1098" s="544"/>
      <c r="AE1098" s="544"/>
      <c r="AF1098" s="544"/>
      <c r="AG1098" s="544"/>
      <c r="AH1098" s="544"/>
      <c r="AI1098" s="544"/>
      <c r="AJ1098" s="544"/>
      <c r="AK1098" s="544"/>
      <c r="AL1098" s="544"/>
      <c r="AM1098" s="544"/>
      <c r="AN1098" s="544"/>
      <c r="AO1098" s="544"/>
      <c r="AP1098" s="544"/>
      <c r="AQ1098" s="544"/>
      <c r="AR1098" s="544"/>
      <c r="AS1098" s="544"/>
      <c r="AT1098" s="544"/>
      <c r="AU1098" s="544"/>
      <c r="AV1098" s="544"/>
      <c r="AW1098" s="544"/>
      <c r="AX1098" s="544"/>
      <c r="AY1098" s="544"/>
      <c r="AZ1098" s="544"/>
      <c r="BA1098" s="544"/>
      <c r="BB1098" s="544"/>
      <c r="BC1098" s="544"/>
      <c r="BD1098" s="544"/>
    </row>
    <row r="1099" spans="3:56" ht="15" customHeight="1">
      <c r="C1099" s="19"/>
      <c r="D1099" s="79" t="str">
        <f t="shared" ref="D1099:D1109" si="772">D1030</f>
        <v>Tanzania w/o sharing</v>
      </c>
      <c r="E1099" s="79"/>
      <c r="G1099" s="7">
        <f t="shared" ref="G1099:G1109" si="773">K1085/$BD1085</f>
        <v>1.16209105084137E-2</v>
      </c>
      <c r="H1099" s="7">
        <f t="shared" ref="H1099:H1109" si="774">P1085/$BD1085</f>
        <v>0.19192907107130788</v>
      </c>
      <c r="I1099" s="19"/>
      <c r="J1099" s="19"/>
      <c r="K1099" s="19"/>
      <c r="L1099" s="19"/>
      <c r="M1099" s="19"/>
      <c r="N1099" s="19"/>
      <c r="O1099" s="19"/>
      <c r="P1099" s="19"/>
      <c r="Q1099" s="19"/>
      <c r="R1099" s="19"/>
      <c r="S1099" s="19"/>
    </row>
    <row r="1100" spans="3:56" ht="15" customHeight="1">
      <c r="C1100" s="19"/>
      <c r="D1100" s="79" t="str">
        <f t="shared" si="772"/>
        <v>Tanzania w 50/50 sharing</v>
      </c>
      <c r="F1100" s="61"/>
      <c r="G1100" s="7">
        <f t="shared" si="773"/>
        <v>1.16209105084137E-2</v>
      </c>
      <c r="H1100" s="7">
        <f t="shared" si="774"/>
        <v>0.19192907107130788</v>
      </c>
      <c r="I1100" s="19"/>
      <c r="J1100" s="19"/>
      <c r="K1100" s="19"/>
      <c r="L1100" s="19"/>
      <c r="M1100" s="19"/>
      <c r="N1100" s="19"/>
      <c r="O1100" s="19"/>
      <c r="P1100" s="19"/>
      <c r="Q1100" s="19"/>
      <c r="R1100" s="19"/>
      <c r="S1100" s="19"/>
    </row>
    <row r="1101" spans="3:56" ht="15" customHeight="1">
      <c r="C1101" s="19"/>
      <c r="D1101" s="79" t="str">
        <f t="shared" si="772"/>
        <v>Ecuador</v>
      </c>
      <c r="F1101" s="61"/>
      <c r="G1101" s="7">
        <f t="shared" si="773"/>
        <v>1.6337479078473459E-2</v>
      </c>
      <c r="H1101" s="7">
        <f t="shared" si="774"/>
        <v>0.17876979078751831</v>
      </c>
      <c r="I1101" s="19"/>
      <c r="J1101" s="19"/>
      <c r="K1101" s="19"/>
      <c r="L1101" s="19"/>
      <c r="M1101" s="19"/>
      <c r="N1101" s="19"/>
      <c r="O1101" s="19"/>
      <c r="P1101" s="19"/>
      <c r="Q1101" s="19"/>
      <c r="R1101" s="19"/>
      <c r="S1101" s="19"/>
    </row>
    <row r="1102" spans="3:56" ht="15" customHeight="1">
      <c r="C1102" s="19"/>
      <c r="D1102" s="79" t="str">
        <f t="shared" si="772"/>
        <v>Philippines FTAA</v>
      </c>
      <c r="F1102" s="61"/>
      <c r="G1102" s="7">
        <f t="shared" si="773"/>
        <v>1.3020245513864295E-2</v>
      </c>
      <c r="H1102" s="7">
        <f t="shared" si="774"/>
        <v>0.21054231743752641</v>
      </c>
      <c r="I1102" s="19"/>
      <c r="J1102" s="19"/>
      <c r="K1102" s="19"/>
      <c r="L1102" s="19"/>
      <c r="M1102" s="19"/>
      <c r="N1102" s="19"/>
      <c r="O1102" s="19"/>
      <c r="P1102" s="19"/>
      <c r="Q1102" s="19"/>
      <c r="R1102" s="19"/>
      <c r="S1102" s="19"/>
    </row>
    <row r="1103" spans="3:56" ht="15" customHeight="1">
      <c r="C1103" s="19"/>
      <c r="D1103" s="79" t="str">
        <f t="shared" si="772"/>
        <v>Burkina Faso</v>
      </c>
      <c r="F1103" s="61"/>
      <c r="G1103" s="7">
        <f t="shared" si="773"/>
        <v>5.6019230366728002E-3</v>
      </c>
      <c r="H1103" s="7">
        <f t="shared" si="774"/>
        <v>0.19901956697659215</v>
      </c>
      <c r="I1103" s="19"/>
      <c r="J1103" s="19"/>
      <c r="K1103" s="19"/>
      <c r="L1103" s="19"/>
      <c r="M1103" s="19"/>
      <c r="N1103" s="19"/>
      <c r="O1103" s="19"/>
      <c r="P1103" s="19"/>
      <c r="Q1103" s="19"/>
      <c r="R1103" s="19"/>
      <c r="S1103" s="19"/>
    </row>
    <row r="1104" spans="3:56" ht="15" customHeight="1">
      <c r="C1104" s="19"/>
      <c r="D1104" s="79" t="str">
        <f t="shared" si="772"/>
        <v>DRC</v>
      </c>
      <c r="F1104" s="61"/>
      <c r="G1104" s="7">
        <f t="shared" si="773"/>
        <v>1.0525851271622593E-2</v>
      </c>
      <c r="H1104" s="7">
        <f t="shared" si="774"/>
        <v>0.19798856518113589</v>
      </c>
      <c r="I1104" s="19"/>
      <c r="J1104" s="19"/>
      <c r="K1104" s="19"/>
      <c r="L1104" s="19"/>
      <c r="M1104" s="19"/>
      <c r="N1104" s="19"/>
      <c r="O1104" s="19"/>
      <c r="P1104" s="19"/>
      <c r="Q1104" s="19"/>
      <c r="R1104" s="19"/>
      <c r="S1104" s="19"/>
    </row>
    <row r="1105" spans="1:57" ht="15" customHeight="1">
      <c r="C1105" s="19"/>
      <c r="D1105" s="79" t="str">
        <f t="shared" si="772"/>
        <v>Ghana</v>
      </c>
      <c r="F1105" s="61"/>
      <c r="G1105" s="7">
        <f t="shared" si="773"/>
        <v>1.0790545562909537E-2</v>
      </c>
      <c r="H1105" s="7">
        <f t="shared" si="774"/>
        <v>0.20742755834573778</v>
      </c>
      <c r="I1105" s="19"/>
      <c r="J1105" s="19"/>
      <c r="K1105" s="19"/>
      <c r="L1105" s="19"/>
      <c r="M1105" s="19"/>
      <c r="N1105" s="19"/>
      <c r="O1105" s="19"/>
      <c r="P1105" s="19"/>
      <c r="Q1105" s="19"/>
      <c r="R1105" s="19"/>
      <c r="S1105" s="19"/>
    </row>
    <row r="1106" spans="1:57" ht="15" customHeight="1">
      <c r="C1106" s="19"/>
      <c r="D1106" s="79" t="str">
        <f t="shared" si="772"/>
        <v>South Africa (gold)</v>
      </c>
      <c r="F1106" s="61"/>
      <c r="G1106" s="7">
        <f t="shared" si="773"/>
        <v>1.2231899769708985E-2</v>
      </c>
      <c r="H1106" s="7">
        <f t="shared" si="774"/>
        <v>0.19251207937797643</v>
      </c>
      <c r="I1106" s="19"/>
      <c r="J1106" s="19"/>
      <c r="K1106" s="19"/>
      <c r="L1106" s="19"/>
      <c r="M1106" s="19"/>
      <c r="N1106" s="19"/>
      <c r="O1106" s="19"/>
      <c r="P1106" s="19"/>
      <c r="Q1106" s="19"/>
      <c r="R1106" s="19"/>
      <c r="S1106" s="19"/>
    </row>
    <row r="1107" spans="1:57" ht="15" customHeight="1">
      <c r="C1107" s="19"/>
      <c r="D1107" s="79" t="str">
        <f t="shared" si="772"/>
        <v>Indonesia</v>
      </c>
      <c r="F1107" s="61"/>
      <c r="G1107" s="7">
        <f t="shared" si="773"/>
        <v>8.4334413537799097E-3</v>
      </c>
      <c r="H1107" s="7">
        <f t="shared" si="774"/>
        <v>0.18464048666533653</v>
      </c>
      <c r="I1107" s="19"/>
      <c r="J1107" s="19"/>
      <c r="K1107" s="19"/>
      <c r="L1107" s="19"/>
      <c r="M1107" s="19"/>
      <c r="N1107" s="19"/>
      <c r="O1107" s="19"/>
      <c r="P1107" s="19"/>
      <c r="Q1107" s="19"/>
      <c r="R1107" s="19"/>
      <c r="S1107" s="19"/>
    </row>
    <row r="1108" spans="1:57" ht="15" customHeight="1">
      <c r="C1108" s="19"/>
      <c r="D1108" s="79" t="str">
        <f t="shared" si="772"/>
        <v>Peru</v>
      </c>
      <c r="F1108" s="61"/>
      <c r="G1108" s="7">
        <f t="shared" si="773"/>
        <v>1.5504562058354565E-2</v>
      </c>
      <c r="H1108" s="7">
        <f t="shared" si="774"/>
        <v>0.2157582723706134</v>
      </c>
      <c r="I1108" s="19"/>
      <c r="J1108" s="19"/>
      <c r="K1108" s="19"/>
      <c r="L1108" s="19"/>
      <c r="M1108" s="19"/>
      <c r="N1108" s="19"/>
      <c r="O1108" s="19"/>
      <c r="P1108" s="19"/>
      <c r="Q1108" s="19"/>
      <c r="R1108" s="19"/>
      <c r="S1108" s="19"/>
    </row>
    <row r="1109" spans="1:57" ht="15" customHeight="1">
      <c r="C1109" s="19"/>
      <c r="D1109" s="79" t="str">
        <f t="shared" si="772"/>
        <v>Western Australia</v>
      </c>
      <c r="F1109" s="61"/>
      <c r="G1109" s="7">
        <f t="shared" si="773"/>
        <v>8.3275945858630514E-3</v>
      </c>
      <c r="H1109" s="7">
        <f t="shared" si="774"/>
        <v>0.21929512002498389</v>
      </c>
      <c r="I1109" s="19"/>
      <c r="J1109" s="19"/>
      <c r="K1109" s="19"/>
      <c r="L1109" s="19"/>
      <c r="M1109" s="19"/>
      <c r="N1109" s="19"/>
      <c r="O1109" s="19"/>
      <c r="P1109" s="19"/>
      <c r="Q1109" s="19"/>
      <c r="R1109" s="19"/>
      <c r="S1109" s="19"/>
    </row>
    <row r="1110" spans="1:57" ht="15" customHeight="1">
      <c r="C1110" s="19"/>
      <c r="F1110" s="61"/>
      <c r="G1110" s="19"/>
      <c r="H1110" s="19"/>
      <c r="I1110" s="19"/>
      <c r="J1110" s="19"/>
      <c r="K1110" s="19"/>
      <c r="L1110" s="19"/>
      <c r="M1110" s="19"/>
      <c r="N1110" s="19"/>
      <c r="O1110" s="19"/>
      <c r="P1110" s="19"/>
      <c r="Q1110" s="19"/>
      <c r="R1110" s="19"/>
      <c r="S1110" s="19"/>
    </row>
    <row r="1111" spans="1:57" ht="15" customHeight="1">
      <c r="C1111" s="82"/>
      <c r="D1111" s="463" t="s">
        <v>748</v>
      </c>
      <c r="E1111" s="463"/>
      <c r="F1111" s="556"/>
      <c r="G1111" s="556"/>
      <c r="H1111" s="556"/>
      <c r="I1111" s="556"/>
      <c r="J1111" s="556"/>
      <c r="K1111" s="556"/>
      <c r="L1111" s="556"/>
      <c r="M1111" s="556"/>
      <c r="N1111" s="556"/>
      <c r="O1111" s="556"/>
      <c r="P1111" s="556"/>
      <c r="Q1111" s="556"/>
      <c r="R1111" s="556"/>
      <c r="S1111" s="556"/>
      <c r="T1111" s="556"/>
      <c r="U1111" s="556"/>
      <c r="V1111" s="556"/>
      <c r="W1111" s="556"/>
      <c r="X1111" s="556"/>
      <c r="Y1111" s="556"/>
      <c r="Z1111" s="556"/>
      <c r="AA1111" s="556"/>
      <c r="AB1111" s="556"/>
      <c r="AC1111" s="556"/>
      <c r="AD1111" s="556"/>
      <c r="AE1111" s="556"/>
      <c r="AF1111" s="556"/>
      <c r="AG1111" s="556"/>
      <c r="AH1111" s="556"/>
      <c r="AI1111" s="556"/>
      <c r="AJ1111" s="464"/>
      <c r="AK1111" s="464"/>
      <c r="AL1111" s="464"/>
      <c r="AM1111" s="464"/>
      <c r="AN1111" s="464"/>
      <c r="AO1111" s="464"/>
      <c r="AP1111" s="464"/>
      <c r="AQ1111" s="464"/>
      <c r="AR1111" s="464"/>
      <c r="AS1111" s="464"/>
      <c r="AT1111" s="464"/>
      <c r="AU1111" s="464"/>
      <c r="AV1111" s="464"/>
      <c r="AW1111" s="464"/>
      <c r="AX1111" s="464"/>
      <c r="AY1111" s="464"/>
      <c r="AZ1111" s="464"/>
      <c r="BA1111" s="464"/>
      <c r="BB1111" s="464"/>
      <c r="BC1111" s="464"/>
      <c r="BD1111" s="464"/>
    </row>
    <row r="1112" spans="1:57" ht="15" customHeight="1">
      <c r="A1112" s="147"/>
      <c r="B1112" s="132"/>
      <c r="C1112" s="169"/>
      <c r="D1112" s="170"/>
      <c r="E1112" s="170"/>
      <c r="F1112" s="171"/>
      <c r="G1112" s="171"/>
      <c r="H1112" s="171"/>
      <c r="I1112" s="171"/>
      <c r="J1112" s="171"/>
      <c r="K1112" s="171"/>
      <c r="L1112" s="171"/>
      <c r="M1112" s="171"/>
      <c r="N1112" s="171"/>
      <c r="O1112" s="171"/>
      <c r="P1112" s="171"/>
      <c r="Q1112" s="171"/>
      <c r="R1112" s="171"/>
      <c r="S1112" s="171"/>
      <c r="T1112" s="171"/>
      <c r="U1112" s="171"/>
      <c r="V1112" s="171"/>
      <c r="W1112" s="171"/>
      <c r="X1112" s="171"/>
      <c r="Y1112" s="171"/>
      <c r="Z1112" s="171"/>
      <c r="AA1112" s="171"/>
      <c r="AB1112" s="171"/>
      <c r="AC1112" s="171"/>
      <c r="AD1112" s="171"/>
      <c r="AE1112" s="171"/>
      <c r="AF1112" s="171"/>
      <c r="AG1112" s="171"/>
      <c r="AH1112" s="171"/>
      <c r="AI1112" s="171"/>
      <c r="AJ1112" s="132"/>
      <c r="AK1112" s="132"/>
      <c r="AL1112" s="132"/>
      <c r="AM1112" s="132"/>
      <c r="AN1112" s="132"/>
      <c r="AO1112" s="132"/>
      <c r="AP1112" s="132"/>
      <c r="AQ1112" s="132"/>
      <c r="AR1112" s="132"/>
      <c r="AS1112" s="132"/>
      <c r="AT1112" s="132"/>
      <c r="AU1112" s="132"/>
      <c r="AV1112" s="132"/>
      <c r="AW1112" s="132"/>
      <c r="AX1112" s="132"/>
      <c r="AY1112" s="132"/>
      <c r="AZ1112" s="132"/>
      <c r="BA1112" s="132"/>
      <c r="BB1112" s="132"/>
      <c r="BC1112" s="132"/>
      <c r="BD1112" s="132"/>
      <c r="BE1112" s="132"/>
    </row>
    <row r="1113" spans="1:57" s="147" customFormat="1" ht="15" customHeight="1">
      <c r="A1113" s="10"/>
      <c r="B1113" s="10"/>
      <c r="C1113" s="10"/>
      <c r="D1113" s="88" t="s">
        <v>749</v>
      </c>
      <c r="E1113" s="11" t="s">
        <v>750</v>
      </c>
      <c r="F1113" s="6"/>
      <c r="G1113" s="6">
        <f t="shared" ref="G1113:U1113" si="775">H1113-$E$1275</f>
        <v>-0.49999999999999989</v>
      </c>
      <c r="H1113" s="6">
        <f t="shared" si="775"/>
        <v>-0.39999999999999991</v>
      </c>
      <c r="I1113" s="6">
        <f t="shared" si="775"/>
        <v>-0.29999999999999988</v>
      </c>
      <c r="J1113" s="6">
        <f t="shared" si="775"/>
        <v>-0.19999999999999987</v>
      </c>
      <c r="K1113" s="6">
        <f t="shared" si="775"/>
        <v>-9.9999999999999867E-2</v>
      </c>
      <c r="L1113" s="6">
        <f t="shared" si="775"/>
        <v>1.3877787807814457E-16</v>
      </c>
      <c r="M1113" s="6">
        <f t="shared" si="775"/>
        <v>0.10000000000000014</v>
      </c>
      <c r="N1113" s="6">
        <f t="shared" si="775"/>
        <v>0.20000000000000015</v>
      </c>
      <c r="O1113" s="6">
        <f t="shared" si="775"/>
        <v>0.30000000000000016</v>
      </c>
      <c r="P1113" s="6">
        <f t="shared" si="775"/>
        <v>0.40000000000000013</v>
      </c>
      <c r="Q1113" s="6">
        <f t="shared" si="775"/>
        <v>0.50000000000000011</v>
      </c>
      <c r="R1113" s="6">
        <f t="shared" si="775"/>
        <v>0.60000000000000009</v>
      </c>
      <c r="S1113" s="6">
        <f t="shared" si="775"/>
        <v>0.70000000000000007</v>
      </c>
      <c r="T1113" s="6">
        <f t="shared" si="775"/>
        <v>0.8</v>
      </c>
      <c r="U1113" s="6">
        <f t="shared" si="775"/>
        <v>0.9</v>
      </c>
      <c r="V1113" s="6">
        <v>1</v>
      </c>
      <c r="W1113" s="6">
        <f t="shared" ref="W1113:AI1113" si="776">V1113+$E$1275</f>
        <v>1.1000000000000001</v>
      </c>
      <c r="X1113" s="6">
        <f t="shared" si="776"/>
        <v>1.2000000000000002</v>
      </c>
      <c r="Y1113" s="6">
        <f t="shared" si="776"/>
        <v>1.3000000000000003</v>
      </c>
      <c r="Z1113" s="6">
        <f t="shared" si="776"/>
        <v>1.4000000000000004</v>
      </c>
      <c r="AA1113" s="6">
        <f t="shared" si="776"/>
        <v>1.5000000000000004</v>
      </c>
      <c r="AB1113" s="6">
        <f t="shared" si="776"/>
        <v>1.6000000000000005</v>
      </c>
      <c r="AC1113" s="6">
        <f t="shared" si="776"/>
        <v>1.7000000000000006</v>
      </c>
      <c r="AD1113" s="6">
        <f t="shared" si="776"/>
        <v>1.8000000000000007</v>
      </c>
      <c r="AE1113" s="6">
        <f t="shared" si="776"/>
        <v>1.9000000000000008</v>
      </c>
      <c r="AF1113" s="6">
        <f t="shared" si="776"/>
        <v>2.0000000000000009</v>
      </c>
      <c r="AG1113" s="6">
        <f t="shared" si="776"/>
        <v>2.100000000000001</v>
      </c>
      <c r="AH1113" s="6">
        <f t="shared" si="776"/>
        <v>2.2000000000000011</v>
      </c>
      <c r="AI1113" s="6">
        <f t="shared" si="776"/>
        <v>2.3000000000000012</v>
      </c>
      <c r="AJ1113" s="11"/>
      <c r="AK1113" s="11"/>
      <c r="AL1113" s="11"/>
      <c r="AM1113" s="11"/>
      <c r="AN1113" s="10"/>
      <c r="AO1113" s="10"/>
      <c r="AP1113" s="10"/>
      <c r="AQ1113" s="10"/>
      <c r="AR1113" s="10"/>
      <c r="AS1113" s="10"/>
      <c r="AT1113" s="10"/>
      <c r="AU1113" s="10"/>
      <c r="AV1113" s="10"/>
      <c r="AW1113" s="10"/>
      <c r="AX1113" s="10"/>
      <c r="AY1113" s="10"/>
      <c r="AZ1113" s="10"/>
      <c r="BA1113" s="10"/>
      <c r="BB1113" s="10"/>
      <c r="BC1113" s="10"/>
      <c r="BD1113" s="10"/>
      <c r="BE1113" s="10"/>
    </row>
    <row r="1114" spans="1:57" s="147" customFormat="1" ht="15" customHeight="1">
      <c r="A1114" s="10"/>
      <c r="B1114" s="10"/>
      <c r="C1114" s="10"/>
      <c r="D1114" s="10"/>
      <c r="E1114" s="11" t="s">
        <v>751</v>
      </c>
      <c r="F1114" s="6"/>
      <c r="G1114" s="445">
        <f t="shared" ref="G1114:T1114" si="777">$V$1114*G1113</f>
        <v>-799.99999999999977</v>
      </c>
      <c r="H1114" s="445">
        <f t="shared" si="777"/>
        <v>-639.99999999999989</v>
      </c>
      <c r="I1114" s="445">
        <f t="shared" si="777"/>
        <v>-479.99999999999983</v>
      </c>
      <c r="J1114" s="445">
        <f t="shared" si="777"/>
        <v>-319.99999999999977</v>
      </c>
      <c r="K1114" s="445">
        <f t="shared" si="777"/>
        <v>-159.99999999999977</v>
      </c>
      <c r="L1114" s="445">
        <f t="shared" si="777"/>
        <v>2.2204460492503131E-13</v>
      </c>
      <c r="M1114" s="445">
        <f t="shared" si="777"/>
        <v>160.00000000000023</v>
      </c>
      <c r="N1114" s="445">
        <f t="shared" si="777"/>
        <v>320.00000000000023</v>
      </c>
      <c r="O1114" s="445">
        <f t="shared" si="777"/>
        <v>480.00000000000023</v>
      </c>
      <c r="P1114" s="445">
        <f t="shared" si="777"/>
        <v>640.00000000000023</v>
      </c>
      <c r="Q1114" s="445">
        <f t="shared" si="777"/>
        <v>800.00000000000023</v>
      </c>
      <c r="R1114" s="445">
        <f t="shared" si="777"/>
        <v>960.00000000000011</v>
      </c>
      <c r="S1114" s="445">
        <f t="shared" si="777"/>
        <v>1120</v>
      </c>
      <c r="T1114" s="445">
        <f t="shared" si="777"/>
        <v>1280</v>
      </c>
      <c r="U1114" s="445">
        <f>$V$1114*U1113</f>
        <v>1440</v>
      </c>
      <c r="V1114" s="445">
        <f>Mineral_price</f>
        <v>1600</v>
      </c>
      <c r="W1114" s="445">
        <f>$V$1114*W1113</f>
        <v>1760.0000000000002</v>
      </c>
      <c r="X1114" s="445">
        <f t="shared" ref="X1114:AI1114" si="778">$V$1114*X1113</f>
        <v>1920.0000000000002</v>
      </c>
      <c r="Y1114" s="445">
        <f t="shared" si="778"/>
        <v>2080.0000000000005</v>
      </c>
      <c r="Z1114" s="445">
        <f t="shared" si="778"/>
        <v>2240.0000000000005</v>
      </c>
      <c r="AA1114" s="445">
        <f t="shared" si="778"/>
        <v>2400.0000000000009</v>
      </c>
      <c r="AB1114" s="445">
        <f t="shared" si="778"/>
        <v>2560.0000000000009</v>
      </c>
      <c r="AC1114" s="445">
        <f t="shared" si="778"/>
        <v>2720.0000000000009</v>
      </c>
      <c r="AD1114" s="445">
        <f t="shared" si="778"/>
        <v>2880.0000000000009</v>
      </c>
      <c r="AE1114" s="445">
        <f t="shared" si="778"/>
        <v>3040.0000000000014</v>
      </c>
      <c r="AF1114" s="445">
        <f t="shared" si="778"/>
        <v>3200.0000000000014</v>
      </c>
      <c r="AG1114" s="445">
        <f t="shared" si="778"/>
        <v>3360.0000000000014</v>
      </c>
      <c r="AH1114" s="445">
        <f t="shared" si="778"/>
        <v>3520.0000000000018</v>
      </c>
      <c r="AI1114" s="445">
        <f t="shared" si="778"/>
        <v>3680.0000000000018</v>
      </c>
      <c r="AJ1114" s="11"/>
      <c r="AK1114" s="11"/>
      <c r="AL1114" s="11"/>
      <c r="AM1114" s="11"/>
      <c r="AN1114" s="10"/>
      <c r="AO1114" s="10"/>
      <c r="AP1114" s="10"/>
      <c r="AQ1114" s="10"/>
      <c r="AR1114" s="10"/>
      <c r="AS1114" s="10"/>
      <c r="AT1114" s="10"/>
      <c r="AU1114" s="10"/>
      <c r="AV1114" s="10"/>
      <c r="AW1114" s="10"/>
      <c r="AX1114" s="10"/>
      <c r="AY1114" s="10"/>
      <c r="AZ1114" s="10"/>
      <c r="BA1114" s="10"/>
      <c r="BB1114" s="10"/>
      <c r="BC1114" s="10"/>
      <c r="BD1114" s="10"/>
      <c r="BE1114" s="10"/>
    </row>
    <row r="1115" spans="1:57" s="147" customFormat="1" ht="15" customHeight="1">
      <c r="A1115" s="10"/>
      <c r="B1115" s="10"/>
      <c r="C1115" s="10"/>
      <c r="D1115" s="10"/>
      <c r="E1115" s="11" t="s">
        <v>752</v>
      </c>
      <c r="F1115" s="6">
        <f>C27</f>
        <v>0.41824065307800207</v>
      </c>
      <c r="G1115" s="6">
        <f t="dataTable" ref="G1115:AI1115" dt2D="0" dtr="1" r1="E1277"/>
        <v>0</v>
      </c>
      <c r="H1115" s="6">
        <v>0</v>
      </c>
      <c r="I1115" s="6">
        <v>0</v>
      </c>
      <c r="J1115" s="6">
        <v>0</v>
      </c>
      <c r="K1115" s="6">
        <v>0</v>
      </c>
      <c r="L1115" s="6">
        <v>0</v>
      </c>
      <c r="M1115" s="6">
        <v>0</v>
      </c>
      <c r="N1115" s="6">
        <v>0</v>
      </c>
      <c r="O1115" s="6">
        <v>0</v>
      </c>
      <c r="P1115" s="6">
        <v>0</v>
      </c>
      <c r="Q1115" s="6">
        <v>0</v>
      </c>
      <c r="R1115" s="6">
        <v>8.3162247347744689E-2</v>
      </c>
      <c r="S1115" s="6">
        <v>0.18913173877342926</v>
      </c>
      <c r="T1115" s="6">
        <v>0.27472633985892525</v>
      </c>
      <c r="U1115" s="6">
        <v>0.35007694667750777</v>
      </c>
      <c r="V1115" s="6">
        <v>0.41824065307800207</v>
      </c>
      <c r="W1115" s="6">
        <v>0.4807549821042163</v>
      </c>
      <c r="X1115" s="6">
        <v>0.53861285514841417</v>
      </c>
      <c r="Y1115" s="6">
        <v>0.59253323622366949</v>
      </c>
      <c r="Z1115" s="6">
        <v>0.64306708896494524</v>
      </c>
      <c r="AA1115" s="6">
        <v>0.6906508542935037</v>
      </c>
      <c r="AB1115" s="6">
        <v>0.73563813944461076</v>
      </c>
      <c r="AC1115" s="6">
        <v>0.77832036721358633</v>
      </c>
      <c r="AD1115" s="6">
        <v>0.81894103856365352</v>
      </c>
      <c r="AE1115" s="6">
        <v>0.85770597469537102</v>
      </c>
      <c r="AF1115" s="6">
        <v>0.89479088312476573</v>
      </c>
      <c r="AG1115" s="6">
        <v>0.93034707161796182</v>
      </c>
      <c r="AH1115" s="6">
        <v>0.96450584244164261</v>
      </c>
      <c r="AI1115" s="6">
        <v>0.99738192368516398</v>
      </c>
      <c r="AJ1115" s="11"/>
      <c r="AK1115" s="11"/>
      <c r="AL1115" s="11"/>
      <c r="AM1115" s="11"/>
      <c r="AN1115" s="10"/>
      <c r="AO1115" s="10"/>
      <c r="AP1115" s="10"/>
      <c r="AQ1115" s="10"/>
      <c r="AR1115" s="10"/>
      <c r="AS1115" s="10"/>
      <c r="AT1115" s="10"/>
      <c r="AU1115" s="10"/>
      <c r="AV1115" s="10"/>
      <c r="AW1115" s="10"/>
      <c r="AX1115" s="10"/>
      <c r="AY1115" s="10"/>
      <c r="AZ1115" s="10"/>
      <c r="BA1115" s="10"/>
      <c r="BB1115" s="10"/>
      <c r="BC1115" s="10"/>
      <c r="BD1115" s="10"/>
      <c r="BE1115" s="10"/>
    </row>
    <row r="1116" spans="1:57" s="147" customFormat="1" ht="15" customHeight="1">
      <c r="A1116" s="10"/>
      <c r="B1116" s="10"/>
      <c r="C1116" s="10"/>
      <c r="D1116" s="10"/>
      <c r="E1116" s="11"/>
      <c r="F1116" s="6"/>
      <c r="G1116" s="6"/>
      <c r="H1116" s="6"/>
      <c r="I1116" s="6"/>
      <c r="J1116" s="6"/>
      <c r="K1116" s="6"/>
      <c r="L1116" s="6"/>
      <c r="M1116" s="6"/>
      <c r="N1116" s="6"/>
      <c r="O1116" s="6"/>
      <c r="P1116" s="6"/>
      <c r="Q1116" s="6"/>
      <c r="R1116" s="6"/>
      <c r="S1116" s="6"/>
      <c r="T1116" s="6"/>
      <c r="U1116" s="6"/>
      <c r="V1116" s="6"/>
      <c r="W1116" s="6"/>
      <c r="X1116" s="6"/>
      <c r="Y1116" s="6"/>
      <c r="Z1116" s="6"/>
      <c r="AA1116" s="6"/>
      <c r="AB1116" s="6"/>
      <c r="AC1116" s="6"/>
      <c r="AD1116" s="6"/>
      <c r="AE1116" s="6"/>
      <c r="AF1116" s="6"/>
      <c r="AG1116" s="6"/>
      <c r="AH1116" s="6"/>
      <c r="AI1116" s="6"/>
      <c r="AJ1116" s="11"/>
      <c r="AK1116" s="11"/>
      <c r="AL1116" s="11"/>
      <c r="AM1116" s="11"/>
      <c r="AN1116" s="10"/>
      <c r="AO1116" s="10"/>
      <c r="AP1116" s="10"/>
      <c r="AQ1116" s="10"/>
      <c r="AR1116" s="10"/>
      <c r="AS1116" s="10"/>
      <c r="AT1116" s="10"/>
      <c r="AU1116" s="10"/>
      <c r="AV1116" s="10"/>
      <c r="AW1116" s="10"/>
      <c r="AX1116" s="10"/>
      <c r="AY1116" s="10"/>
      <c r="AZ1116" s="10"/>
      <c r="BA1116" s="10"/>
      <c r="BB1116" s="10"/>
      <c r="BC1116" s="10"/>
      <c r="BD1116" s="10"/>
      <c r="BE1116" s="10"/>
    </row>
    <row r="1117" spans="1:57" s="169" customFormat="1" ht="15" customHeight="1">
      <c r="A1117" s="10"/>
      <c r="B1117" s="11"/>
      <c r="C1117" s="82"/>
      <c r="D1117" s="88" t="s">
        <v>753</v>
      </c>
      <c r="E1117" s="11" t="s">
        <v>750</v>
      </c>
      <c r="F1117" s="6"/>
      <c r="G1117" s="6">
        <f t="shared" ref="G1117:P1117" si="779">H1117-$E$1276</f>
        <v>1.3877787807814457E-16</v>
      </c>
      <c r="H1117" s="6">
        <f t="shared" si="779"/>
        <v>0.10000000000000014</v>
      </c>
      <c r="I1117" s="6">
        <f t="shared" si="779"/>
        <v>0.20000000000000015</v>
      </c>
      <c r="J1117" s="6">
        <f t="shared" si="779"/>
        <v>0.30000000000000016</v>
      </c>
      <c r="K1117" s="6">
        <f t="shared" si="779"/>
        <v>0.40000000000000013</v>
      </c>
      <c r="L1117" s="6">
        <f t="shared" si="779"/>
        <v>0.50000000000000011</v>
      </c>
      <c r="M1117" s="6">
        <f t="shared" si="779"/>
        <v>0.60000000000000009</v>
      </c>
      <c r="N1117" s="6">
        <f t="shared" si="779"/>
        <v>0.70000000000000007</v>
      </c>
      <c r="O1117" s="6">
        <f t="shared" si="779"/>
        <v>0.8</v>
      </c>
      <c r="P1117" s="6">
        <f t="shared" si="779"/>
        <v>0.9</v>
      </c>
      <c r="Q1117" s="6">
        <v>1</v>
      </c>
      <c r="R1117" s="6">
        <f t="shared" ref="R1117:AI1117" si="780">Q1117+$E$1276</f>
        <v>1.1000000000000001</v>
      </c>
      <c r="S1117" s="6">
        <f t="shared" si="780"/>
        <v>1.2000000000000002</v>
      </c>
      <c r="T1117" s="6">
        <f t="shared" si="780"/>
        <v>1.3000000000000003</v>
      </c>
      <c r="U1117" s="6">
        <f t="shared" si="780"/>
        <v>1.4000000000000004</v>
      </c>
      <c r="V1117" s="6">
        <f t="shared" si="780"/>
        <v>1.5000000000000004</v>
      </c>
      <c r="W1117" s="6">
        <f t="shared" si="780"/>
        <v>1.6000000000000005</v>
      </c>
      <c r="X1117" s="6">
        <f t="shared" si="780"/>
        <v>1.7000000000000006</v>
      </c>
      <c r="Y1117" s="6">
        <f t="shared" si="780"/>
        <v>1.8000000000000007</v>
      </c>
      <c r="Z1117" s="6">
        <f t="shared" si="780"/>
        <v>1.9000000000000008</v>
      </c>
      <c r="AA1117" s="6">
        <f t="shared" si="780"/>
        <v>2.0000000000000009</v>
      </c>
      <c r="AB1117" s="6">
        <f t="shared" si="780"/>
        <v>2.100000000000001</v>
      </c>
      <c r="AC1117" s="6">
        <f t="shared" si="780"/>
        <v>2.2000000000000011</v>
      </c>
      <c r="AD1117" s="6">
        <f t="shared" si="780"/>
        <v>2.3000000000000012</v>
      </c>
      <c r="AE1117" s="6">
        <f t="shared" si="780"/>
        <v>2.4000000000000012</v>
      </c>
      <c r="AF1117" s="6">
        <f t="shared" si="780"/>
        <v>2.5000000000000013</v>
      </c>
      <c r="AG1117" s="6">
        <f t="shared" si="780"/>
        <v>2.6000000000000014</v>
      </c>
      <c r="AH1117" s="6">
        <f t="shared" si="780"/>
        <v>2.7000000000000015</v>
      </c>
      <c r="AI1117" s="6">
        <f t="shared" si="780"/>
        <v>2.8000000000000016</v>
      </c>
      <c r="AJ1117" s="11"/>
      <c r="AK1117" s="11"/>
      <c r="AL1117" s="11"/>
      <c r="AM1117" s="11"/>
      <c r="AN1117" s="82"/>
      <c r="AO1117" s="82"/>
      <c r="AP1117" s="82"/>
      <c r="AQ1117" s="82"/>
      <c r="AR1117" s="82"/>
      <c r="AS1117" s="82"/>
      <c r="AT1117" s="82"/>
      <c r="AU1117" s="82"/>
      <c r="AV1117" s="82"/>
      <c r="AW1117" s="82"/>
      <c r="AX1117" s="82"/>
      <c r="AY1117" s="82"/>
      <c r="AZ1117" s="82"/>
      <c r="BA1117" s="82"/>
      <c r="BB1117" s="82"/>
      <c r="BC1117" s="82"/>
      <c r="BD1117" s="82"/>
      <c r="BE1117" s="82"/>
    </row>
    <row r="1118" spans="1:57" s="147" customFormat="1" ht="15" customHeight="1">
      <c r="A1118" s="10"/>
      <c r="B1118" s="10"/>
      <c r="C1118" s="10"/>
      <c r="D1118" s="10"/>
      <c r="E1118" s="11" t="s">
        <v>751</v>
      </c>
      <c r="F1118" s="6"/>
      <c r="G1118" s="445">
        <f>$Q$1118*G1117</f>
        <v>9.7144514654701197E-14</v>
      </c>
      <c r="H1118" s="445">
        <f t="shared" ref="H1118:P1118" si="781">$Q$1118*H1117</f>
        <v>70.000000000000099</v>
      </c>
      <c r="I1118" s="445">
        <f t="shared" si="781"/>
        <v>140.00000000000011</v>
      </c>
      <c r="J1118" s="445">
        <f t="shared" si="781"/>
        <v>210.00000000000011</v>
      </c>
      <c r="K1118" s="445">
        <f t="shared" si="781"/>
        <v>280.00000000000011</v>
      </c>
      <c r="L1118" s="445">
        <f t="shared" si="781"/>
        <v>350.00000000000006</v>
      </c>
      <c r="M1118" s="445">
        <f t="shared" si="781"/>
        <v>420.00000000000006</v>
      </c>
      <c r="N1118" s="445">
        <f t="shared" si="781"/>
        <v>490.00000000000006</v>
      </c>
      <c r="O1118" s="445">
        <f t="shared" si="781"/>
        <v>560</v>
      </c>
      <c r="P1118" s="445">
        <f t="shared" si="781"/>
        <v>630</v>
      </c>
      <c r="Q1118" s="445">
        <f>Inputs!E229</f>
        <v>700</v>
      </c>
      <c r="R1118" s="445">
        <f>$Q$1118*R1117</f>
        <v>770.00000000000011</v>
      </c>
      <c r="S1118" s="445">
        <f t="shared" ref="S1118:AI1118" si="782">$Q$1118*S1117</f>
        <v>840.00000000000011</v>
      </c>
      <c r="T1118" s="445">
        <f t="shared" si="782"/>
        <v>910.00000000000023</v>
      </c>
      <c r="U1118" s="445">
        <f t="shared" si="782"/>
        <v>980.00000000000023</v>
      </c>
      <c r="V1118" s="445">
        <f t="shared" si="782"/>
        <v>1050.0000000000002</v>
      </c>
      <c r="W1118" s="445">
        <f t="shared" si="782"/>
        <v>1120.0000000000005</v>
      </c>
      <c r="X1118" s="445">
        <f t="shared" si="782"/>
        <v>1190.0000000000005</v>
      </c>
      <c r="Y1118" s="445">
        <f t="shared" si="782"/>
        <v>1260.0000000000005</v>
      </c>
      <c r="Z1118" s="445">
        <f t="shared" si="782"/>
        <v>1330.0000000000005</v>
      </c>
      <c r="AA1118" s="445">
        <f t="shared" si="782"/>
        <v>1400.0000000000007</v>
      </c>
      <c r="AB1118" s="445">
        <f t="shared" si="782"/>
        <v>1470.0000000000007</v>
      </c>
      <c r="AC1118" s="445">
        <f t="shared" si="782"/>
        <v>1540.0000000000007</v>
      </c>
      <c r="AD1118" s="445">
        <f t="shared" si="782"/>
        <v>1610.0000000000009</v>
      </c>
      <c r="AE1118" s="445">
        <f t="shared" si="782"/>
        <v>1680.0000000000009</v>
      </c>
      <c r="AF1118" s="445">
        <f t="shared" si="782"/>
        <v>1750.0000000000009</v>
      </c>
      <c r="AG1118" s="445">
        <f t="shared" si="782"/>
        <v>1820.0000000000009</v>
      </c>
      <c r="AH1118" s="445">
        <f t="shared" si="782"/>
        <v>1890.0000000000011</v>
      </c>
      <c r="AI1118" s="445">
        <f t="shared" si="782"/>
        <v>1960.0000000000011</v>
      </c>
      <c r="AJ1118" s="11"/>
      <c r="AK1118" s="11"/>
      <c r="AL1118" s="11"/>
      <c r="AM1118" s="11"/>
      <c r="AN1118" s="10"/>
      <c r="AO1118" s="10"/>
      <c r="AP1118" s="10"/>
      <c r="AQ1118" s="10"/>
      <c r="AR1118" s="10"/>
      <c r="AS1118" s="10"/>
      <c r="AT1118" s="10"/>
      <c r="AU1118" s="10"/>
      <c r="AV1118" s="10"/>
      <c r="AW1118" s="10"/>
      <c r="AX1118" s="10"/>
      <c r="AY1118" s="10"/>
      <c r="AZ1118" s="10"/>
      <c r="BA1118" s="10"/>
      <c r="BB1118" s="10"/>
      <c r="BC1118" s="10"/>
      <c r="BD1118" s="10"/>
      <c r="BE1118" s="10"/>
    </row>
    <row r="1119" spans="1:57" s="147" customFormat="1" ht="15" customHeight="1">
      <c r="A1119" s="10"/>
      <c r="B1119" s="10"/>
      <c r="C1119" s="10"/>
      <c r="D1119" s="10"/>
      <c r="E1119" s="11" t="s">
        <v>752</v>
      </c>
      <c r="F1119" s="6">
        <f>C27</f>
        <v>0.41824065307800207</v>
      </c>
      <c r="G1119" s="6">
        <f t="dataTable" ref="G1119:AI1119" dt2D="0" dtr="1" r1="E1278" ca="1"/>
        <v>0.66123616491285264</v>
      </c>
      <c r="H1119" s="6">
        <v>0.63999921206031729</v>
      </c>
      <c r="I1119" s="6">
        <v>0.61819395857774806</v>
      </c>
      <c r="J1119" s="6">
        <v>0.59578579354881644</v>
      </c>
      <c r="K1119" s="6">
        <v>0.57273662634647859</v>
      </c>
      <c r="L1119" s="6">
        <v>0.54900435230792199</v>
      </c>
      <c r="M1119" s="6">
        <v>0.52454219162541005</v>
      </c>
      <c r="N1119" s="6">
        <v>0.49929785387206849</v>
      </c>
      <c r="O1119" s="6">
        <v>0.47321245384310928</v>
      </c>
      <c r="P1119" s="6">
        <v>0.4462190576857552</v>
      </c>
      <c r="Q1119" s="6">
        <v>0.41824065307800207</v>
      </c>
      <c r="R1119" s="6">
        <v>0.38918717682226744</v>
      </c>
      <c r="S1119" s="6">
        <v>0.35895091650871835</v>
      </c>
      <c r="T1119" s="6">
        <v>0.3273989547617373</v>
      </c>
      <c r="U1119" s="6">
        <v>0.29435993156121598</v>
      </c>
      <c r="V1119" s="6">
        <v>0.25959924551809266</v>
      </c>
      <c r="W1119" s="6">
        <v>0.22276914860494101</v>
      </c>
      <c r="X1119" s="6">
        <v>0.18329965767918077</v>
      </c>
      <c r="Y1119" s="6">
        <v>0.14013253417875737</v>
      </c>
      <c r="Z1119" s="6">
        <v>9.0951905187195425E-2</v>
      </c>
      <c r="AA1119" s="6">
        <v>2.9121042865244418E-2</v>
      </c>
      <c r="AB1119" s="6">
        <v>-8.6577358188575149E-2</v>
      </c>
      <c r="AC1119" s="6">
        <v>0</v>
      </c>
      <c r="AD1119" s="6">
        <v>0</v>
      </c>
      <c r="AE1119" s="6">
        <v>0</v>
      </c>
      <c r="AF1119" s="6">
        <v>0</v>
      </c>
      <c r="AG1119" s="6">
        <v>0</v>
      </c>
      <c r="AH1119" s="6">
        <v>0</v>
      </c>
      <c r="AI1119" s="6">
        <v>0</v>
      </c>
      <c r="AJ1119" s="11"/>
      <c r="AK1119" s="11"/>
      <c r="AL1119" s="11"/>
      <c r="AM1119" s="11"/>
      <c r="AN1119" s="10"/>
      <c r="AO1119" s="10"/>
      <c r="AP1119" s="10"/>
      <c r="AQ1119" s="10"/>
      <c r="AR1119" s="10"/>
      <c r="AS1119" s="10"/>
      <c r="AT1119" s="10"/>
      <c r="AU1119" s="10"/>
      <c r="AV1119" s="10"/>
      <c r="AW1119" s="10"/>
      <c r="AX1119" s="10"/>
      <c r="AY1119" s="10"/>
      <c r="AZ1119" s="10"/>
      <c r="BA1119" s="10"/>
      <c r="BB1119" s="10"/>
      <c r="BC1119" s="10"/>
      <c r="BD1119" s="10"/>
      <c r="BE1119" s="10"/>
    </row>
    <row r="1120" spans="1:57" s="169" customFormat="1" ht="15" customHeight="1">
      <c r="A1120" s="10"/>
      <c r="B1120" s="11"/>
      <c r="C1120" s="82"/>
      <c r="D1120" s="82"/>
      <c r="E1120" s="82"/>
      <c r="F1120" s="444"/>
      <c r="G1120" s="6"/>
      <c r="H1120" s="6"/>
      <c r="I1120" s="6"/>
      <c r="J1120" s="6"/>
      <c r="K1120" s="6"/>
      <c r="L1120" s="6"/>
      <c r="M1120" s="6"/>
      <c r="N1120" s="6"/>
      <c r="O1120" s="6"/>
      <c r="P1120" s="6"/>
      <c r="Q1120" s="6"/>
      <c r="R1120" s="6"/>
      <c r="S1120" s="6"/>
      <c r="T1120" s="6"/>
      <c r="U1120" s="6"/>
      <c r="V1120" s="6"/>
      <c r="W1120" s="6"/>
      <c r="X1120" s="6"/>
      <c r="Y1120" s="6"/>
      <c r="Z1120" s="6"/>
      <c r="AA1120" s="6"/>
      <c r="AB1120" s="6"/>
      <c r="AC1120" s="6"/>
      <c r="AD1120" s="6"/>
      <c r="AE1120" s="6"/>
      <c r="AF1120" s="6"/>
      <c r="AG1120" s="6"/>
      <c r="AH1120" s="6"/>
      <c r="AI1120" s="6"/>
      <c r="AJ1120" s="11"/>
      <c r="AK1120" s="11"/>
      <c r="AL1120" s="11"/>
      <c r="AM1120" s="11"/>
      <c r="AN1120" s="82"/>
      <c r="AO1120" s="82"/>
      <c r="AP1120" s="82"/>
      <c r="AQ1120" s="82"/>
      <c r="AR1120" s="82"/>
      <c r="AS1120" s="82"/>
      <c r="AT1120" s="82"/>
      <c r="AU1120" s="82"/>
      <c r="AV1120" s="82"/>
      <c r="AW1120" s="82"/>
      <c r="AX1120" s="82"/>
      <c r="AY1120" s="82"/>
      <c r="AZ1120" s="82"/>
      <c r="BA1120" s="82"/>
      <c r="BB1120" s="82"/>
      <c r="BC1120" s="82"/>
      <c r="BD1120" s="82"/>
      <c r="BE1120" s="82"/>
    </row>
    <row r="1121" spans="3:56" ht="15" customHeight="1">
      <c r="C1121" s="82"/>
      <c r="D1121" s="463" t="s">
        <v>754</v>
      </c>
      <c r="E1121" s="463"/>
      <c r="F1121" s="556"/>
      <c r="G1121" s="556"/>
      <c r="H1121" s="556"/>
      <c r="I1121" s="556"/>
      <c r="J1121" s="556"/>
      <c r="K1121" s="556"/>
      <c r="L1121" s="556"/>
      <c r="M1121" s="556"/>
      <c r="N1121" s="556"/>
      <c r="O1121" s="556"/>
      <c r="P1121" s="556"/>
      <c r="Q1121" s="556"/>
      <c r="R1121" s="556"/>
      <c r="S1121" s="556"/>
      <c r="T1121" s="556"/>
      <c r="U1121" s="556"/>
      <c r="V1121" s="556"/>
      <c r="W1121" s="556"/>
      <c r="X1121" s="556"/>
      <c r="Y1121" s="556"/>
      <c r="Z1121" s="556"/>
      <c r="AA1121" s="556"/>
      <c r="AB1121" s="556"/>
      <c r="AC1121" s="556"/>
      <c r="AD1121" s="556"/>
      <c r="AE1121" s="556"/>
      <c r="AF1121" s="556"/>
      <c r="AG1121" s="556"/>
      <c r="AH1121" s="556"/>
      <c r="AI1121" s="556"/>
      <c r="AJ1121" s="464"/>
      <c r="AK1121" s="464"/>
      <c r="AL1121" s="464"/>
      <c r="AM1121" s="464"/>
      <c r="AN1121" s="464"/>
      <c r="AO1121" s="464"/>
      <c r="AP1121" s="464"/>
      <c r="AQ1121" s="464"/>
      <c r="AR1121" s="464"/>
      <c r="AS1121" s="464"/>
      <c r="AT1121" s="464"/>
      <c r="AU1121" s="464"/>
      <c r="AV1121" s="464"/>
      <c r="AW1121" s="464"/>
      <c r="AX1121" s="464"/>
      <c r="AY1121" s="464"/>
      <c r="AZ1121" s="464"/>
      <c r="BA1121" s="464"/>
      <c r="BB1121" s="464"/>
      <c r="BC1121" s="464"/>
      <c r="BD1121" s="464"/>
    </row>
    <row r="1122" spans="3:56" ht="15" customHeight="1">
      <c r="C1122" s="446"/>
      <c r="E1122" s="11" t="s">
        <v>298</v>
      </c>
      <c r="F1122" s="447">
        <f>I948</f>
        <v>739.97843951251195</v>
      </c>
      <c r="G1122" s="442">
        <f>G1114</f>
        <v>-799.99999999999977</v>
      </c>
      <c r="H1122" s="442">
        <f t="shared" ref="H1122:AI1122" si="783">H1114</f>
        <v>-639.99999999999989</v>
      </c>
      <c r="I1122" s="442">
        <f t="shared" si="783"/>
        <v>-479.99999999999983</v>
      </c>
      <c r="J1122" s="442">
        <f t="shared" si="783"/>
        <v>-319.99999999999977</v>
      </c>
      <c r="K1122" s="442">
        <f t="shared" si="783"/>
        <v>-159.99999999999977</v>
      </c>
      <c r="L1122" s="442">
        <f t="shared" si="783"/>
        <v>2.2204460492503131E-13</v>
      </c>
      <c r="M1122" s="442">
        <f t="shared" si="783"/>
        <v>160.00000000000023</v>
      </c>
      <c r="N1122" s="442">
        <f t="shared" si="783"/>
        <v>320.00000000000023</v>
      </c>
      <c r="O1122" s="442">
        <f t="shared" si="783"/>
        <v>480.00000000000023</v>
      </c>
      <c r="P1122" s="442">
        <f t="shared" si="783"/>
        <v>640.00000000000023</v>
      </c>
      <c r="Q1122" s="442">
        <f t="shared" si="783"/>
        <v>800.00000000000023</v>
      </c>
      <c r="R1122" s="442">
        <f t="shared" si="783"/>
        <v>960.00000000000011</v>
      </c>
      <c r="S1122" s="442">
        <f t="shared" si="783"/>
        <v>1120</v>
      </c>
      <c r="T1122" s="442">
        <f t="shared" si="783"/>
        <v>1280</v>
      </c>
      <c r="U1122" s="442">
        <f t="shared" si="783"/>
        <v>1440</v>
      </c>
      <c r="V1122" s="442">
        <f t="shared" si="783"/>
        <v>1600</v>
      </c>
      <c r="W1122" s="442">
        <f t="shared" si="783"/>
        <v>1760.0000000000002</v>
      </c>
      <c r="X1122" s="442">
        <f t="shared" si="783"/>
        <v>1920.0000000000002</v>
      </c>
      <c r="Y1122" s="442">
        <f t="shared" si="783"/>
        <v>2080.0000000000005</v>
      </c>
      <c r="Z1122" s="442">
        <f t="shared" si="783"/>
        <v>2240.0000000000005</v>
      </c>
      <c r="AA1122" s="442">
        <f t="shared" si="783"/>
        <v>2400.0000000000009</v>
      </c>
      <c r="AB1122" s="442">
        <f t="shared" si="783"/>
        <v>2560.0000000000009</v>
      </c>
      <c r="AC1122" s="442">
        <f t="shared" si="783"/>
        <v>2720.0000000000009</v>
      </c>
      <c r="AD1122" s="442">
        <f t="shared" si="783"/>
        <v>2880.0000000000009</v>
      </c>
      <c r="AE1122" s="442">
        <f t="shared" si="783"/>
        <v>3040.0000000000014</v>
      </c>
      <c r="AF1122" s="442">
        <f t="shared" si="783"/>
        <v>3200.0000000000014</v>
      </c>
      <c r="AG1122" s="442">
        <f t="shared" si="783"/>
        <v>3360.0000000000014</v>
      </c>
      <c r="AH1122" s="442">
        <f t="shared" si="783"/>
        <v>3520.0000000000018</v>
      </c>
      <c r="AI1122" s="442">
        <f t="shared" si="783"/>
        <v>3680.0000000000018</v>
      </c>
    </row>
    <row r="1123" spans="3:56" ht="15" customHeight="1">
      <c r="C1123" s="67"/>
      <c r="D1123" s="88" t="str">
        <f t="array" ref="D1123:D1133">TRANSPOSE(Inputs!$G$15:$Q$15)</f>
        <v>Tanzania w/o sharing</v>
      </c>
      <c r="E1123" s="11" t="s">
        <v>289</v>
      </c>
      <c r="F1123" s="99">
        <v>1</v>
      </c>
      <c r="G1123" s="164">
        <f t="dataTable" ref="G1123:AI1133" dt2D="1" dtr="1" r1="E1277" r2="F992" ca="1"/>
        <v>-51.113050294031432</v>
      </c>
      <c r="H1123" s="164">
        <v>-26.352407482060723</v>
      </c>
      <c r="I1123" s="164">
        <v>-1.5917646700899843</v>
      </c>
      <c r="J1123" s="164">
        <v>23.168878141880743</v>
      </c>
      <c r="K1123" s="164">
        <v>47.92952095385148</v>
      </c>
      <c r="L1123" s="164">
        <v>72.69016376582222</v>
      </c>
      <c r="M1123" s="164">
        <v>97.450806577792946</v>
      </c>
      <c r="N1123" s="146">
        <v>122.21144938976363</v>
      </c>
      <c r="O1123" s="146">
        <v>146.9720922017344</v>
      </c>
      <c r="P1123" s="146">
        <v>171.73273501370508</v>
      </c>
      <c r="Q1123" s="146">
        <v>197.27664364130013</v>
      </c>
      <c r="R1123" s="146">
        <v>230.36357778630611</v>
      </c>
      <c r="S1123" s="146">
        <v>325.18315310913482</v>
      </c>
      <c r="T1123" s="146">
        <v>458.52026380337333</v>
      </c>
      <c r="U1123" s="146">
        <v>598.38039718841344</v>
      </c>
      <c r="V1123" s="146">
        <v>739.97843951251195</v>
      </c>
      <c r="W1123" s="146">
        <v>881.88255872660943</v>
      </c>
      <c r="X1123" s="146">
        <v>1023.8874333259897</v>
      </c>
      <c r="Y1123" s="146">
        <v>1166.4941398470162</v>
      </c>
      <c r="Z1123" s="146">
        <v>1309.189175324748</v>
      </c>
      <c r="AA1123" s="146">
        <v>1451.8842108024796</v>
      </c>
      <c r="AB1123" s="146">
        <v>1594.5792462802112</v>
      </c>
      <c r="AC1123" s="146">
        <v>1737.2742817579431</v>
      </c>
      <c r="AD1123" s="146">
        <v>1879.969317235674</v>
      </c>
      <c r="AE1123" s="146">
        <v>2022.6643527134058</v>
      </c>
      <c r="AF1123" s="146">
        <v>2165.359388191137</v>
      </c>
      <c r="AG1123" s="146">
        <v>2308.0544236688684</v>
      </c>
      <c r="AH1123" s="146">
        <v>2450.7494591466007</v>
      </c>
      <c r="AI1123" s="146">
        <v>2593.444494624332</v>
      </c>
    </row>
    <row r="1124" spans="3:56" ht="15" customHeight="1">
      <c r="C1124" s="67"/>
      <c r="D1124" s="88" t="str">
        <v>Tanzania w 50/50 sharing</v>
      </c>
      <c r="E1124" s="11" t="s">
        <v>289</v>
      </c>
      <c r="F1124" s="99">
        <f t="shared" ref="F1124:F1133" si="784">F1123+1</f>
        <v>2</v>
      </c>
      <c r="G1124" s="164">
        <v>3.2533050839264055</v>
      </c>
      <c r="H1124" s="164">
        <v>5.6995253550291727</v>
      </c>
      <c r="I1124" s="164">
        <v>8.1457456261319443</v>
      </c>
      <c r="J1124" s="164">
        <v>13.291826718909302</v>
      </c>
      <c r="K1124" s="164">
        <v>26.643850644691941</v>
      </c>
      <c r="L1124" s="164">
        <v>40.304224293626689</v>
      </c>
      <c r="M1124" s="164">
        <v>54.032716127050236</v>
      </c>
      <c r="N1124" s="146">
        <v>67.761207960473783</v>
      </c>
      <c r="O1124" s="146">
        <v>81.489699793897316</v>
      </c>
      <c r="P1124" s="146">
        <v>95.218191627320849</v>
      </c>
      <c r="Q1124" s="146">
        <v>115.73913968138184</v>
      </c>
      <c r="R1124" s="146">
        <v>141.28929526563985</v>
      </c>
      <c r="S1124" s="146">
        <v>268.72646163645948</v>
      </c>
      <c r="T1124" s="146">
        <v>369.82486906424299</v>
      </c>
      <c r="U1124" s="146">
        <v>492.95569760672987</v>
      </c>
      <c r="V1124" s="146">
        <v>624.2812107478627</v>
      </c>
      <c r="W1124" s="146">
        <v>763.76241770140098</v>
      </c>
      <c r="X1124" s="146">
        <v>903.34438004022206</v>
      </c>
      <c r="Y1124" s="146">
        <v>1037.2451498721332</v>
      </c>
      <c r="Z1124" s="146">
        <v>1177.4797346643666</v>
      </c>
      <c r="AA1124" s="146">
        <v>1317.7143194566004</v>
      </c>
      <c r="AB1124" s="146">
        <v>1457.9489042488335</v>
      </c>
      <c r="AC1124" s="146">
        <v>1598.1834890410664</v>
      </c>
      <c r="AD1124" s="146">
        <v>1738.4180738333</v>
      </c>
      <c r="AE1124" s="146">
        <v>1878.6526586255334</v>
      </c>
      <c r="AF1124" s="146">
        <v>2018.8872434177672</v>
      </c>
      <c r="AG1124" s="146">
        <v>2159.1218282099999</v>
      </c>
      <c r="AH1124" s="146">
        <v>2299.3564130022337</v>
      </c>
      <c r="AI1124" s="146">
        <v>2439.5909977944666</v>
      </c>
    </row>
    <row r="1125" spans="3:56" ht="15" customHeight="1">
      <c r="C1125" s="67"/>
      <c r="D1125" s="88" t="str">
        <v>Ecuador</v>
      </c>
      <c r="E1125" s="11" t="s">
        <v>289</v>
      </c>
      <c r="F1125" s="99">
        <f t="shared" si="784"/>
        <v>3</v>
      </c>
      <c r="G1125" s="164">
        <v>-28.504347293991927</v>
      </c>
      <c r="H1125" s="164">
        <v>-10.818173856869985</v>
      </c>
      <c r="I1125" s="164">
        <v>6.8679995802519676</v>
      </c>
      <c r="J1125" s="164">
        <v>24.554173017373927</v>
      </c>
      <c r="K1125" s="164">
        <v>42.240346454495878</v>
      </c>
      <c r="L1125" s="164">
        <v>59.926519891617829</v>
      </c>
      <c r="M1125" s="164">
        <v>77.612693328739766</v>
      </c>
      <c r="N1125" s="146">
        <v>95.298866765861732</v>
      </c>
      <c r="O1125" s="146">
        <v>112.98504020298365</v>
      </c>
      <c r="P1125" s="146">
        <v>130.67121364010555</v>
      </c>
      <c r="Q1125" s="146">
        <v>150.31555161628825</v>
      </c>
      <c r="R1125" s="146">
        <v>195.60538904493208</v>
      </c>
      <c r="S1125" s="146">
        <v>334.81357598711872</v>
      </c>
      <c r="T1125" s="146">
        <v>500.34256536264121</v>
      </c>
      <c r="U1125" s="146">
        <v>675.36761392423</v>
      </c>
      <c r="V1125" s="146">
        <v>856.64606938120687</v>
      </c>
      <c r="W1125" s="146">
        <v>1040.6315573691318</v>
      </c>
      <c r="X1125" s="146">
        <v>1226.0890071243477</v>
      </c>
      <c r="Y1125" s="146">
        <v>1412.6133591166717</v>
      </c>
      <c r="Z1125" s="146">
        <v>1599.4138464958842</v>
      </c>
      <c r="AA1125" s="146">
        <v>1787.5880233405514</v>
      </c>
      <c r="AB1125" s="146">
        <v>1975.9318405344504</v>
      </c>
      <c r="AC1125" s="146">
        <v>2164.2756577283494</v>
      </c>
      <c r="AD1125" s="146">
        <v>2352.6194749222473</v>
      </c>
      <c r="AE1125" s="146">
        <v>2540.9632921161469</v>
      </c>
      <c r="AF1125" s="146">
        <v>2729.3071093100457</v>
      </c>
      <c r="AG1125" s="146">
        <v>2918.2146973666031</v>
      </c>
      <c r="AH1125" s="146">
        <v>3107.2017391994414</v>
      </c>
      <c r="AI1125" s="146">
        <v>3296.1887810322801</v>
      </c>
    </row>
    <row r="1126" spans="3:56" ht="15" customHeight="1">
      <c r="C1126" s="67"/>
      <c r="D1126" s="88" t="str">
        <v>Philippines FTAA</v>
      </c>
      <c r="E1126" s="11" t="s">
        <v>289</v>
      </c>
      <c r="F1126" s="99">
        <f t="shared" si="784"/>
        <v>4</v>
      </c>
      <c r="G1126" s="164">
        <v>-108.60284515073349</v>
      </c>
      <c r="H1126" s="164">
        <v>-83.84220233876276</v>
      </c>
      <c r="I1126" s="164">
        <v>-59.081559526792034</v>
      </c>
      <c r="J1126" s="164">
        <v>-34.320916714821301</v>
      </c>
      <c r="K1126" s="164">
        <v>-9.5602739028505646</v>
      </c>
      <c r="L1126" s="164">
        <v>15.200368909120158</v>
      </c>
      <c r="M1126" s="164">
        <v>39.961011721090877</v>
      </c>
      <c r="N1126" s="146">
        <v>64.721654533061624</v>
      </c>
      <c r="O1126" s="146">
        <v>89.482297345032336</v>
      </c>
      <c r="P1126" s="146">
        <v>114.24294015700308</v>
      </c>
      <c r="Q1126" s="146">
        <v>140.57011460022227</v>
      </c>
      <c r="R1126" s="146">
        <v>181.39331826737182</v>
      </c>
      <c r="S1126" s="146">
        <v>299.15188852682024</v>
      </c>
      <c r="T1126" s="146">
        <v>427.35111461310697</v>
      </c>
      <c r="U1126" s="146">
        <v>623.82239609261944</v>
      </c>
      <c r="V1126" s="146">
        <v>773.57379683309648</v>
      </c>
      <c r="W1126" s="146">
        <v>999.61573256505096</v>
      </c>
      <c r="X1126" s="146">
        <v>1169.4287680769028</v>
      </c>
      <c r="Y1126" s="146">
        <v>1339.2418035887545</v>
      </c>
      <c r="Z1126" s="146">
        <v>1509.0548391006066</v>
      </c>
      <c r="AA1126" s="146">
        <v>1678.8678746124594</v>
      </c>
      <c r="AB1126" s="146">
        <v>1848.6809101243109</v>
      </c>
      <c r="AC1126" s="146">
        <v>2018.4939456361635</v>
      </c>
      <c r="AD1126" s="146">
        <v>2188.3069811480154</v>
      </c>
      <c r="AE1126" s="146">
        <v>2358.1200166598683</v>
      </c>
      <c r="AF1126" s="146">
        <v>2527.9330521717193</v>
      </c>
      <c r="AG1126" s="146">
        <v>2779.9162814017855</v>
      </c>
      <c r="AH1126" s="146">
        <v>2956.7780157730053</v>
      </c>
      <c r="AI1126" s="146">
        <v>3133.6397501442261</v>
      </c>
    </row>
    <row r="1127" spans="3:56" ht="15" customHeight="1">
      <c r="C1127" s="67"/>
      <c r="D1127" s="88" t="str">
        <v>Burkina Faso</v>
      </c>
      <c r="E1127" s="11" t="s">
        <v>289</v>
      </c>
      <c r="F1127" s="99">
        <f t="shared" si="784"/>
        <v>5</v>
      </c>
      <c r="G1127" s="164">
        <v>13.425529254192016</v>
      </c>
      <c r="H1127" s="164">
        <v>27.574468003889564</v>
      </c>
      <c r="I1127" s="164">
        <v>41.723406753587128</v>
      </c>
      <c r="J1127" s="164">
        <v>55.872345503284699</v>
      </c>
      <c r="K1127" s="164">
        <v>70.021284252982255</v>
      </c>
      <c r="L1127" s="164">
        <v>84.170223002679805</v>
      </c>
      <c r="M1127" s="164">
        <v>98.31916175237734</v>
      </c>
      <c r="N1127" s="146">
        <v>112.46810050207493</v>
      </c>
      <c r="O1127" s="146">
        <v>126.61703925177251</v>
      </c>
      <c r="P1127" s="146">
        <v>140.76597800147002</v>
      </c>
      <c r="Q1127" s="146">
        <v>155.40445788593274</v>
      </c>
      <c r="R1127" s="146">
        <v>176.54468668000629</v>
      </c>
      <c r="S1127" s="146">
        <v>287.24771107446122</v>
      </c>
      <c r="T1127" s="146">
        <v>405.06356784713034</v>
      </c>
      <c r="U1127" s="146">
        <v>548.04174264580467</v>
      </c>
      <c r="V1127" s="146">
        <v>672.3607033722966</v>
      </c>
      <c r="W1127" s="146">
        <v>797.84648064207397</v>
      </c>
      <c r="X1127" s="146">
        <v>923.4944474917404</v>
      </c>
      <c r="Y1127" s="146">
        <v>1049.1860599896752</v>
      </c>
      <c r="Z1127" s="146">
        <v>1174.8776724876097</v>
      </c>
      <c r="AA1127" s="146">
        <v>1300.5692849855448</v>
      </c>
      <c r="AB1127" s="146">
        <v>1426.2608974834793</v>
      </c>
      <c r="AC1127" s="146">
        <v>1551.9525099814139</v>
      </c>
      <c r="AD1127" s="146">
        <v>1677.8934384568975</v>
      </c>
      <c r="AE1127" s="146">
        <v>1804.0458037963685</v>
      </c>
      <c r="AF1127" s="146">
        <v>1930.1981691358401</v>
      </c>
      <c r="AG1127" s="146">
        <v>2056.3505344753116</v>
      </c>
      <c r="AH1127" s="146">
        <v>2182.5028998147841</v>
      </c>
      <c r="AI1127" s="146">
        <v>2308.7156103108982</v>
      </c>
    </row>
    <row r="1128" spans="3:56" ht="15" customHeight="1">
      <c r="C1128" s="67"/>
      <c r="D1128" s="88" t="str">
        <v>DRC</v>
      </c>
      <c r="E1128" s="11" t="s">
        <v>289</v>
      </c>
      <c r="F1128" s="99">
        <f t="shared" si="784"/>
        <v>6</v>
      </c>
      <c r="G1128" s="164">
        <v>-6.8976167012266014</v>
      </c>
      <c r="H1128" s="164">
        <v>6.5438751109860753</v>
      </c>
      <c r="I1128" s="164">
        <v>19.985366923198761</v>
      </c>
      <c r="J1128" s="164">
        <v>33.42685873541145</v>
      </c>
      <c r="K1128" s="164">
        <v>46.868350547624125</v>
      </c>
      <c r="L1128" s="164">
        <v>60.309842359836829</v>
      </c>
      <c r="M1128" s="164">
        <v>73.751334172049496</v>
      </c>
      <c r="N1128" s="146">
        <v>87.1928259842622</v>
      </c>
      <c r="O1128" s="146">
        <v>100.63431779647486</v>
      </c>
      <c r="P1128" s="146">
        <v>114.07580960868756</v>
      </c>
      <c r="Q1128" s="146">
        <v>127.5173014209002</v>
      </c>
      <c r="R1128" s="146">
        <v>162.68772452103275</v>
      </c>
      <c r="S1128" s="146">
        <v>282.01352175960312</v>
      </c>
      <c r="T1128" s="146">
        <v>417.11627301122491</v>
      </c>
      <c r="U1128" s="146">
        <v>551.5085447699405</v>
      </c>
      <c r="V1128" s="146">
        <v>686.86082937038395</v>
      </c>
      <c r="W1128" s="146">
        <v>956.88692328804552</v>
      </c>
      <c r="X1128" s="146">
        <v>1158.5856804393534</v>
      </c>
      <c r="Y1128" s="146">
        <v>1360.2844375906607</v>
      </c>
      <c r="Z1128" s="146">
        <v>1562.0998868861718</v>
      </c>
      <c r="AA1128" s="146">
        <v>1764.0264974433819</v>
      </c>
      <c r="AB1128" s="146">
        <v>1965.9531080005916</v>
      </c>
      <c r="AC1128" s="146">
        <v>2167.8797185578005</v>
      </c>
      <c r="AD1128" s="146">
        <v>2369.8063291150097</v>
      </c>
      <c r="AE1128" s="146">
        <v>2571.7329396722193</v>
      </c>
      <c r="AF1128" s="146">
        <v>2773.6595502294281</v>
      </c>
      <c r="AG1128" s="146">
        <v>2975.5861607866382</v>
      </c>
      <c r="AH1128" s="146">
        <v>3177.5127713438478</v>
      </c>
      <c r="AI1128" s="146">
        <v>3379.4393819010565</v>
      </c>
    </row>
    <row r="1129" spans="3:56" ht="15" customHeight="1">
      <c r="C1129" s="67"/>
      <c r="D1129" s="88" t="str">
        <v>Ghana</v>
      </c>
      <c r="E1129" s="11" t="s">
        <v>289</v>
      </c>
      <c r="F1129" s="99">
        <f t="shared" si="784"/>
        <v>7</v>
      </c>
      <c r="G1129" s="164">
        <v>-20.913912170395417</v>
      </c>
      <c r="H1129" s="164">
        <v>-3.2277387332734717</v>
      </c>
      <c r="I1129" s="164">
        <v>14.458434703848477</v>
      </c>
      <c r="J1129" s="164">
        <v>32.144608140970441</v>
      </c>
      <c r="K1129" s="164">
        <v>49.830781578092378</v>
      </c>
      <c r="L1129" s="164">
        <v>67.51695501521435</v>
      </c>
      <c r="M1129" s="164">
        <v>85.203128452336287</v>
      </c>
      <c r="N1129" s="146">
        <v>102.88930188945822</v>
      </c>
      <c r="O1129" s="146">
        <v>120.57547532658016</v>
      </c>
      <c r="P1129" s="146">
        <v>138.26164876370214</v>
      </c>
      <c r="Q1129" s="146">
        <v>156.57443485332345</v>
      </c>
      <c r="R1129" s="146">
        <v>197.27386420837678</v>
      </c>
      <c r="S1129" s="146">
        <v>299.21713244783717</v>
      </c>
      <c r="T1129" s="146">
        <v>440.43167123061517</v>
      </c>
      <c r="U1129" s="146">
        <v>589.40007254407465</v>
      </c>
      <c r="V1129" s="146">
        <v>739.28554467811784</v>
      </c>
      <c r="W1129" s="146">
        <v>889.40069324789977</v>
      </c>
      <c r="X1129" s="146">
        <v>1039.5789089949931</v>
      </c>
      <c r="Y1129" s="146">
        <v>1190.4967465129332</v>
      </c>
      <c r="Z1129" s="146">
        <v>1341.44327280328</v>
      </c>
      <c r="AA1129" s="146">
        <v>1492.3897990936268</v>
      </c>
      <c r="AB1129" s="146">
        <v>1643.3363253839727</v>
      </c>
      <c r="AC1129" s="146">
        <v>1794.2828516743191</v>
      </c>
      <c r="AD1129" s="146">
        <v>1945.229377964665</v>
      </c>
      <c r="AE1129" s="146">
        <v>2096.1759042550116</v>
      </c>
      <c r="AF1129" s="146">
        <v>2247.1224305453575</v>
      </c>
      <c r="AG1129" s="146">
        <v>2398.0689568357047</v>
      </c>
      <c r="AH1129" s="146">
        <v>2549.0154831260511</v>
      </c>
      <c r="AI1129" s="146">
        <v>2699.9620094163974</v>
      </c>
    </row>
    <row r="1130" spans="3:56" ht="15" customHeight="1">
      <c r="C1130" s="67"/>
      <c r="D1130" s="88" t="str">
        <v>South Africa (gold)</v>
      </c>
      <c r="E1130" s="11" t="s">
        <v>289</v>
      </c>
      <c r="F1130" s="99">
        <f t="shared" si="784"/>
        <v>8</v>
      </c>
      <c r="G1130" s="164">
        <v>-1245.9834295898775</v>
      </c>
      <c r="H1130" s="164">
        <v>-1130.56346173922</v>
      </c>
      <c r="I1130" s="164">
        <v>-1015.1434938885623</v>
      </c>
      <c r="J1130" s="164">
        <v>-899.72352603790421</v>
      </c>
      <c r="K1130" s="164">
        <v>-784.30355818724638</v>
      </c>
      <c r="L1130" s="164">
        <v>-668.88359033658844</v>
      </c>
      <c r="M1130" s="164">
        <v>74.823114832619211</v>
      </c>
      <c r="N1130" s="146">
        <v>76.591732176331419</v>
      </c>
      <c r="O1130" s="146">
        <v>78.360349520043599</v>
      </c>
      <c r="P1130" s="146">
        <v>80.128966863755807</v>
      </c>
      <c r="Q1130" s="146">
        <v>99.447022339128736</v>
      </c>
      <c r="R1130" s="146">
        <v>149.99340174281417</v>
      </c>
      <c r="S1130" s="146">
        <v>278.85420076491351</v>
      </c>
      <c r="T1130" s="146">
        <v>444.32313697760878</v>
      </c>
      <c r="U1130" s="146">
        <v>617.51313792288829</v>
      </c>
      <c r="V1130" s="146">
        <v>793.08055543201692</v>
      </c>
      <c r="W1130" s="146">
        <v>973.62932735447669</v>
      </c>
      <c r="X1130" s="146">
        <v>1146.8063266325771</v>
      </c>
      <c r="Y1130" s="146">
        <v>1314.9761874068779</v>
      </c>
      <c r="Z1130" s="146">
        <v>1489.0199051802906</v>
      </c>
      <c r="AA1130" s="146">
        <v>1663.063622953704</v>
      </c>
      <c r="AB1130" s="146">
        <v>1837.1073407271178</v>
      </c>
      <c r="AC1130" s="146">
        <v>2011.1510585005303</v>
      </c>
      <c r="AD1130" s="146">
        <v>2185.1947762739433</v>
      </c>
      <c r="AE1130" s="146">
        <v>2359.2384940473571</v>
      </c>
      <c r="AF1130" s="146">
        <v>2533.2839554868224</v>
      </c>
      <c r="AG1130" s="146">
        <v>2707.6823727397928</v>
      </c>
      <c r="AH1130" s="146">
        <v>2882.0807899927649</v>
      </c>
      <c r="AI1130" s="146">
        <v>3056.4792072457367</v>
      </c>
    </row>
    <row r="1131" spans="3:56" ht="15" customHeight="1">
      <c r="C1131" s="67"/>
      <c r="D1131" s="88" t="str">
        <v>Indonesia</v>
      </c>
      <c r="E1131" s="11" t="s">
        <v>289</v>
      </c>
      <c r="F1131" s="99">
        <f t="shared" si="784"/>
        <v>9</v>
      </c>
      <c r="G1131" s="164">
        <v>16.616940216203243</v>
      </c>
      <c r="H1131" s="164">
        <v>29.881570294044696</v>
      </c>
      <c r="I1131" s="164">
        <v>43.146200371886181</v>
      </c>
      <c r="J1131" s="164">
        <v>56.410830449727634</v>
      </c>
      <c r="K1131" s="164">
        <v>69.675460527569086</v>
      </c>
      <c r="L1131" s="164">
        <v>82.940090605410575</v>
      </c>
      <c r="M1131" s="164">
        <v>96.204720683252035</v>
      </c>
      <c r="N1131" s="146">
        <v>109.46935076109347</v>
      </c>
      <c r="O1131" s="146">
        <v>122.73398083893493</v>
      </c>
      <c r="P1131" s="146">
        <v>135.99861091677641</v>
      </c>
      <c r="Q1131" s="146">
        <v>150.82977262586635</v>
      </c>
      <c r="R1131" s="146">
        <v>195.82220415567397</v>
      </c>
      <c r="S1131" s="146">
        <v>321.69382802699835</v>
      </c>
      <c r="T1131" s="146">
        <v>464.36797763253628</v>
      </c>
      <c r="U1131" s="146">
        <v>609.0938509970581</v>
      </c>
      <c r="V1131" s="146">
        <v>756.13691001112738</v>
      </c>
      <c r="W1131" s="146">
        <v>904.20012023998902</v>
      </c>
      <c r="X1131" s="146">
        <v>1052.26333046885</v>
      </c>
      <c r="Y1131" s="146">
        <v>1201.0595003012324</v>
      </c>
      <c r="Z1131" s="146">
        <v>1349.8979275791587</v>
      </c>
      <c r="AA1131" s="146">
        <v>1498.7363548570845</v>
      </c>
      <c r="AB1131" s="146">
        <v>1647.696004116066</v>
      </c>
      <c r="AC1131" s="146">
        <v>1796.8868342961221</v>
      </c>
      <c r="AD1131" s="146">
        <v>1946.0776644761788</v>
      </c>
      <c r="AE1131" s="146">
        <v>2095.2684946562345</v>
      </c>
      <c r="AF1131" s="146">
        <v>2244.4593248362908</v>
      </c>
      <c r="AG1131" s="146">
        <v>2393.6501550163471</v>
      </c>
      <c r="AH1131" s="146">
        <v>2542.8409851964034</v>
      </c>
      <c r="AI1131" s="146">
        <v>2692.0318153764592</v>
      </c>
    </row>
    <row r="1132" spans="3:56" ht="15" customHeight="1">
      <c r="C1132" s="67"/>
      <c r="D1132" s="88" t="str">
        <v>Peru</v>
      </c>
      <c r="E1132" s="11" t="s">
        <v>289</v>
      </c>
      <c r="F1132" s="99">
        <f t="shared" si="784"/>
        <v>10</v>
      </c>
      <c r="G1132" s="164">
        <v>0</v>
      </c>
      <c r="H1132" s="164">
        <v>0</v>
      </c>
      <c r="I1132" s="164">
        <v>0</v>
      </c>
      <c r="J1132" s="164">
        <v>0</v>
      </c>
      <c r="K1132" s="164">
        <v>0</v>
      </c>
      <c r="L1132" s="164">
        <v>4.908899241851656E-15</v>
      </c>
      <c r="M1132" s="164">
        <v>3.5372346874243945</v>
      </c>
      <c r="N1132" s="146">
        <v>7.0744693748487855</v>
      </c>
      <c r="O1132" s="146">
        <v>10.611704062273173</v>
      </c>
      <c r="P1132" s="146">
        <v>14.148938749697566</v>
      </c>
      <c r="Q1132" s="146">
        <v>18.077023079118458</v>
      </c>
      <c r="R1132" s="146">
        <v>75.342834551591054</v>
      </c>
      <c r="S1132" s="146">
        <v>205.47381395374279</v>
      </c>
      <c r="T1132" s="146">
        <v>342.62622731933226</v>
      </c>
      <c r="U1132" s="146">
        <v>481.15698921858342</v>
      </c>
      <c r="V1132" s="146">
        <v>621.70281991062518</v>
      </c>
      <c r="W1132" s="146">
        <v>763.35014474414243</v>
      </c>
      <c r="X1132" s="146">
        <v>906.39212724158472</v>
      </c>
      <c r="Y1132" s="146">
        <v>1050.1581715646078</v>
      </c>
      <c r="Z1132" s="146">
        <v>1194.4601777469325</v>
      </c>
      <c r="AA1132" s="146">
        <v>1339.0437655447313</v>
      </c>
      <c r="AB1132" s="146">
        <v>1484.1633152018308</v>
      </c>
      <c r="AC1132" s="146">
        <v>1629.2828648589291</v>
      </c>
      <c r="AD1132" s="146">
        <v>1774.6839961315027</v>
      </c>
      <c r="AE1132" s="146">
        <v>1920.4848320175811</v>
      </c>
      <c r="AF1132" s="146">
        <v>2066.2856679036586</v>
      </c>
      <c r="AG1132" s="146">
        <v>2212.0865037897365</v>
      </c>
      <c r="AH1132" s="146">
        <v>2357.8997786885384</v>
      </c>
      <c r="AI1132" s="146">
        <v>2504.1218159935111</v>
      </c>
    </row>
    <row r="1133" spans="3:56" ht="15" customHeight="1">
      <c r="C1133" s="67"/>
      <c r="D1133" s="88" t="str">
        <v>Western Australia</v>
      </c>
      <c r="E1133" s="11" t="s">
        <v>289</v>
      </c>
      <c r="F1133" s="99">
        <f t="shared" si="784"/>
        <v>11</v>
      </c>
      <c r="G1133" s="164">
        <v>16.09440876703194</v>
      </c>
      <c r="H1133" s="164">
        <v>24.937495485592908</v>
      </c>
      <c r="I1133" s="164">
        <v>33.78058220415388</v>
      </c>
      <c r="J1133" s="164">
        <v>42.623668922714863</v>
      </c>
      <c r="K1133" s="164">
        <v>51.466755641275853</v>
      </c>
      <c r="L1133" s="164">
        <v>60.309842359836829</v>
      </c>
      <c r="M1133" s="164">
        <v>69.152929078397804</v>
      </c>
      <c r="N1133" s="146">
        <v>77.99601579695873</v>
      </c>
      <c r="O1133" s="146">
        <v>86.839102515519741</v>
      </c>
      <c r="P1133" s="146">
        <v>95.682189234080695</v>
      </c>
      <c r="Q1133" s="146">
        <v>104.9169088604538</v>
      </c>
      <c r="R1133" s="146">
        <v>138.79083174382254</v>
      </c>
      <c r="S1133" s="146">
        <v>246.74435635761643</v>
      </c>
      <c r="T1133" s="146">
        <v>359.31650567160466</v>
      </c>
      <c r="U1133" s="146">
        <v>470.56688288986572</v>
      </c>
      <c r="V1133" s="146">
        <v>582.09491197212515</v>
      </c>
      <c r="W1133" s="146">
        <v>693.86664395305388</v>
      </c>
      <c r="X1133" s="146">
        <v>806.11072069524164</v>
      </c>
      <c r="Y1133" s="146">
        <v>918.41792202096576</v>
      </c>
      <c r="Z1133" s="146">
        <v>1030.7251233466902</v>
      </c>
      <c r="AA1133" s="146">
        <v>1143.0323246724154</v>
      </c>
      <c r="AB1133" s="146">
        <v>1255.3395259981396</v>
      </c>
      <c r="AC1133" s="146">
        <v>1367.6467273238636</v>
      </c>
      <c r="AD1133" s="146">
        <v>1479.9539286495879</v>
      </c>
      <c r="AE1133" s="146">
        <v>1592.261129975313</v>
      </c>
      <c r="AF1133" s="146">
        <v>1704.5683313010368</v>
      </c>
      <c r="AG1133" s="146">
        <v>1816.8755326267617</v>
      </c>
      <c r="AH1133" s="146">
        <v>1929.1827339524859</v>
      </c>
      <c r="AI1133" s="146">
        <v>2041.4899352782106</v>
      </c>
    </row>
    <row r="1134" spans="3:56" ht="15" customHeight="1"/>
    <row r="1135" spans="3:56" ht="15" customHeight="1">
      <c r="C1135" s="82"/>
      <c r="D1135" s="463" t="s">
        <v>755</v>
      </c>
      <c r="E1135" s="463"/>
      <c r="F1135" s="556"/>
      <c r="G1135" s="556"/>
      <c r="H1135" s="556"/>
      <c r="I1135" s="556"/>
      <c r="J1135" s="556"/>
      <c r="K1135" s="556"/>
      <c r="L1135" s="556"/>
      <c r="M1135" s="556"/>
      <c r="N1135" s="556"/>
      <c r="O1135" s="556"/>
      <c r="P1135" s="556"/>
      <c r="Q1135" s="556"/>
      <c r="R1135" s="556"/>
      <c r="S1135" s="556"/>
      <c r="T1135" s="556"/>
      <c r="U1135" s="556"/>
      <c r="V1135" s="556"/>
      <c r="W1135" s="556"/>
      <c r="X1135" s="556"/>
      <c r="Y1135" s="556"/>
      <c r="Z1135" s="556"/>
      <c r="AA1135" s="556"/>
      <c r="AB1135" s="556"/>
      <c r="AC1135" s="556"/>
      <c r="AD1135" s="556"/>
      <c r="AE1135" s="556"/>
      <c r="AF1135" s="556"/>
      <c r="AG1135" s="556"/>
      <c r="AH1135" s="556"/>
      <c r="AI1135" s="556"/>
      <c r="AJ1135" s="464"/>
      <c r="AK1135" s="464"/>
      <c r="AL1135" s="464"/>
      <c r="AM1135" s="464"/>
      <c r="AN1135" s="464"/>
      <c r="AO1135" s="464"/>
      <c r="AP1135" s="464"/>
      <c r="AQ1135" s="464"/>
      <c r="AR1135" s="464"/>
      <c r="AS1135" s="464"/>
      <c r="AT1135" s="464"/>
      <c r="AU1135" s="464"/>
      <c r="AV1135" s="464"/>
      <c r="AW1135" s="464"/>
      <c r="AX1135" s="464"/>
      <c r="AY1135" s="464"/>
      <c r="AZ1135" s="464"/>
      <c r="BA1135" s="464"/>
      <c r="BB1135" s="464"/>
      <c r="BC1135" s="464"/>
      <c r="BD1135" s="464"/>
    </row>
    <row r="1136" spans="3:56" ht="15" customHeight="1">
      <c r="G1136" s="442">
        <f>G1114</f>
        <v>-799.99999999999977</v>
      </c>
      <c r="H1136" s="442">
        <f t="shared" ref="H1136:AI1136" si="785">H1114</f>
        <v>-639.99999999999989</v>
      </c>
      <c r="I1136" s="442">
        <f t="shared" si="785"/>
        <v>-479.99999999999983</v>
      </c>
      <c r="J1136" s="442">
        <f t="shared" si="785"/>
        <v>-319.99999999999977</v>
      </c>
      <c r="K1136" s="442">
        <f t="shared" si="785"/>
        <v>-159.99999999999977</v>
      </c>
      <c r="L1136" s="442">
        <f t="shared" si="785"/>
        <v>2.2204460492503131E-13</v>
      </c>
      <c r="M1136" s="442">
        <f t="shared" si="785"/>
        <v>160.00000000000023</v>
      </c>
      <c r="N1136" s="442">
        <f t="shared" si="785"/>
        <v>320.00000000000023</v>
      </c>
      <c r="O1136" s="442">
        <f t="shared" si="785"/>
        <v>480.00000000000023</v>
      </c>
      <c r="P1136" s="442">
        <f t="shared" si="785"/>
        <v>640.00000000000023</v>
      </c>
      <c r="Q1136" s="442">
        <f t="shared" si="785"/>
        <v>800.00000000000023</v>
      </c>
      <c r="R1136" s="442">
        <f t="shared" si="785"/>
        <v>960.00000000000011</v>
      </c>
      <c r="S1136" s="442">
        <f t="shared" si="785"/>
        <v>1120</v>
      </c>
      <c r="T1136" s="442">
        <f t="shared" si="785"/>
        <v>1280</v>
      </c>
      <c r="U1136" s="442">
        <f t="shared" si="785"/>
        <v>1440</v>
      </c>
      <c r="V1136" s="442">
        <f t="shared" si="785"/>
        <v>1600</v>
      </c>
      <c r="W1136" s="442">
        <f t="shared" si="785"/>
        <v>1760.0000000000002</v>
      </c>
      <c r="X1136" s="442">
        <f t="shared" si="785"/>
        <v>1920.0000000000002</v>
      </c>
      <c r="Y1136" s="442">
        <f t="shared" si="785"/>
        <v>2080.0000000000005</v>
      </c>
      <c r="Z1136" s="442">
        <f t="shared" si="785"/>
        <v>2240.0000000000005</v>
      </c>
      <c r="AA1136" s="442">
        <f t="shared" si="785"/>
        <v>2400.0000000000009</v>
      </c>
      <c r="AB1136" s="442">
        <f t="shared" si="785"/>
        <v>2560.0000000000009</v>
      </c>
      <c r="AC1136" s="442">
        <f t="shared" si="785"/>
        <v>2720.0000000000009</v>
      </c>
      <c r="AD1136" s="442">
        <f t="shared" si="785"/>
        <v>2880.0000000000009</v>
      </c>
      <c r="AE1136" s="442">
        <f t="shared" si="785"/>
        <v>3040.0000000000014</v>
      </c>
      <c r="AF1136" s="442">
        <f t="shared" si="785"/>
        <v>3200.0000000000014</v>
      </c>
      <c r="AG1136" s="442">
        <f t="shared" si="785"/>
        <v>3360.0000000000014</v>
      </c>
      <c r="AH1136" s="442">
        <f t="shared" si="785"/>
        <v>3520.0000000000018</v>
      </c>
      <c r="AI1136" s="442">
        <f t="shared" si="785"/>
        <v>3680.0000000000018</v>
      </c>
    </row>
    <row r="1137" spans="3:56" ht="15" customHeight="1">
      <c r="D1137" s="88" t="str">
        <f t="array" ref="D1137:D1147">TRANSPOSE(Inputs!$G$15:$Q$15)</f>
        <v>Tanzania w/o sharing</v>
      </c>
      <c r="E1137" s="11" t="s">
        <v>30</v>
      </c>
      <c r="G1137" s="7">
        <f t="shared" ref="G1137:AI1137" si="786">(G1123-$Q1123)/$Q1123</f>
        <v>-1.2590932679641902</v>
      </c>
      <c r="H1137" s="7">
        <f t="shared" si="786"/>
        <v>-1.1335809804731685</v>
      </c>
      <c r="I1137" s="7">
        <f t="shared" si="786"/>
        <v>-1.0080686929821465</v>
      </c>
      <c r="J1137" s="7">
        <f t="shared" si="786"/>
        <v>-0.88255640549112468</v>
      </c>
      <c r="K1137" s="7">
        <f t="shared" si="786"/>
        <v>-0.75704411800010274</v>
      </c>
      <c r="L1137" s="7">
        <f t="shared" si="786"/>
        <v>-0.6315318305090809</v>
      </c>
      <c r="M1137" s="7">
        <f t="shared" si="786"/>
        <v>-0.50601954301805907</v>
      </c>
      <c r="N1137" s="7">
        <f t="shared" si="786"/>
        <v>-0.38050725552703746</v>
      </c>
      <c r="O1137" s="7">
        <f t="shared" si="786"/>
        <v>-0.2549949680360154</v>
      </c>
      <c r="P1137" s="7">
        <f t="shared" si="786"/>
        <v>-0.12948268054499379</v>
      </c>
      <c r="Q1137" s="7">
        <f t="shared" si="786"/>
        <v>0</v>
      </c>
      <c r="R1137" s="7">
        <f t="shared" si="786"/>
        <v>0.16771845634786128</v>
      </c>
      <c r="S1137" s="7">
        <f t="shared" si="786"/>
        <v>0.64836113949911756</v>
      </c>
      <c r="T1137" s="7">
        <f t="shared" si="786"/>
        <v>1.3242501258135835</v>
      </c>
      <c r="U1137" s="7">
        <f t="shared" si="786"/>
        <v>2.0332044693360838</v>
      </c>
      <c r="V1137" s="7">
        <f t="shared" si="786"/>
        <v>2.7509683146170301</v>
      </c>
      <c r="W1137" s="7">
        <f t="shared" si="786"/>
        <v>3.4702836709352156</v>
      </c>
      <c r="X1137" s="7">
        <f t="shared" si="786"/>
        <v>4.1901097586984575</v>
      </c>
      <c r="Y1137" s="7">
        <f t="shared" si="786"/>
        <v>4.9129865467906262</v>
      </c>
      <c r="Z1137" s="7">
        <f t="shared" si="786"/>
        <v>5.6363110764657574</v>
      </c>
      <c r="AA1137" s="7">
        <f t="shared" si="786"/>
        <v>6.3596356061408876</v>
      </c>
      <c r="AB1137" s="7">
        <f t="shared" si="786"/>
        <v>7.082960135816017</v>
      </c>
      <c r="AC1137" s="7">
        <f t="shared" si="786"/>
        <v>7.8062846654911482</v>
      </c>
      <c r="AD1137" s="7">
        <f t="shared" si="786"/>
        <v>8.5296091951662749</v>
      </c>
      <c r="AE1137" s="7">
        <f t="shared" si="786"/>
        <v>9.2529337248414052</v>
      </c>
      <c r="AF1137" s="7">
        <f t="shared" si="786"/>
        <v>9.9762582545165337</v>
      </c>
      <c r="AG1137" s="7">
        <f t="shared" si="786"/>
        <v>10.69958278419166</v>
      </c>
      <c r="AH1137" s="7">
        <f t="shared" si="786"/>
        <v>11.422907313866794</v>
      </c>
      <c r="AI1137" s="7">
        <f t="shared" si="786"/>
        <v>12.146231843541923</v>
      </c>
    </row>
    <row r="1138" spans="3:56" ht="15" customHeight="1">
      <c r="D1138" s="88" t="str">
        <v>Tanzania w 50/50 sharing</v>
      </c>
      <c r="E1138" s="11" t="s">
        <v>30</v>
      </c>
      <c r="G1138" s="7">
        <f t="shared" ref="G1138:AI1138" si="787">(G1124-$Q1124)/$Q1124</f>
        <v>-0.97189105523954622</v>
      </c>
      <c r="H1138" s="7">
        <f t="shared" si="787"/>
        <v>-0.95075541972474154</v>
      </c>
      <c r="I1138" s="7">
        <f t="shared" si="787"/>
        <v>-0.92961978420993663</v>
      </c>
      <c r="J1138" s="7">
        <f t="shared" si="787"/>
        <v>-0.88515702850824396</v>
      </c>
      <c r="K1138" s="7">
        <f t="shared" si="787"/>
        <v>-0.7697939459543266</v>
      </c>
      <c r="L1138" s="7">
        <f t="shared" si="787"/>
        <v>-0.65176668493838696</v>
      </c>
      <c r="M1138" s="7">
        <f t="shared" si="787"/>
        <v>-0.53315087466697231</v>
      </c>
      <c r="N1138" s="7">
        <f t="shared" si="787"/>
        <v>-0.4145350643955576</v>
      </c>
      <c r="O1138" s="7">
        <f t="shared" si="787"/>
        <v>-0.29591925412414311</v>
      </c>
      <c r="P1138" s="7">
        <f t="shared" si="787"/>
        <v>-0.17730344385272856</v>
      </c>
      <c r="Q1138" s="7">
        <f t="shared" si="787"/>
        <v>0</v>
      </c>
      <c r="R1138" s="7">
        <f t="shared" si="787"/>
        <v>0.22075639800498781</v>
      </c>
      <c r="S1138" s="7">
        <f t="shared" si="787"/>
        <v>1.3218287467509804</v>
      </c>
      <c r="T1138" s="7">
        <f t="shared" si="787"/>
        <v>2.1953310702181947</v>
      </c>
      <c r="U1138" s="7">
        <f t="shared" si="787"/>
        <v>3.2591961454334903</v>
      </c>
      <c r="V1138" s="7">
        <f t="shared" si="787"/>
        <v>4.3938642750105608</v>
      </c>
      <c r="W1138" s="7">
        <f t="shared" si="787"/>
        <v>5.5989985738961057</v>
      </c>
      <c r="X1138" s="7">
        <f t="shared" si="787"/>
        <v>6.8050034113527875</v>
      </c>
      <c r="Y1138" s="7">
        <f t="shared" si="787"/>
        <v>7.9619220665331047</v>
      </c>
      <c r="Z1138" s="7">
        <f t="shared" si="787"/>
        <v>9.173565639988766</v>
      </c>
      <c r="AA1138" s="7">
        <f t="shared" si="787"/>
        <v>10.38520921344443</v>
      </c>
      <c r="AB1138" s="7">
        <f t="shared" si="787"/>
        <v>11.596852786900088</v>
      </c>
      <c r="AC1138" s="7">
        <f t="shared" si="787"/>
        <v>12.808496360355745</v>
      </c>
      <c r="AD1138" s="7">
        <f t="shared" si="787"/>
        <v>14.020139933811409</v>
      </c>
      <c r="AE1138" s="7">
        <f t="shared" si="787"/>
        <v>15.231783507267069</v>
      </c>
      <c r="AF1138" s="7">
        <f t="shared" si="787"/>
        <v>16.443427080722735</v>
      </c>
      <c r="AG1138" s="7">
        <f t="shared" si="787"/>
        <v>17.655070654178388</v>
      </c>
      <c r="AH1138" s="7">
        <f t="shared" si="787"/>
        <v>18.866714227634052</v>
      </c>
      <c r="AI1138" s="7">
        <f t="shared" si="787"/>
        <v>20.078357801089709</v>
      </c>
    </row>
    <row r="1139" spans="3:56" ht="15" customHeight="1">
      <c r="D1139" s="88" t="str">
        <v>Ecuador</v>
      </c>
      <c r="E1139" s="11" t="s">
        <v>30</v>
      </c>
      <c r="G1139" s="7">
        <f t="shared" ref="G1139:AI1139" si="788">(G1125-$Q1125)/$Q1125</f>
        <v>-1.1896300614773063</v>
      </c>
      <c r="H1139" s="7">
        <f t="shared" si="788"/>
        <v>-1.0719697578896268</v>
      </c>
      <c r="I1139" s="7">
        <f t="shared" si="788"/>
        <v>-0.95430945430194769</v>
      </c>
      <c r="J1139" s="7">
        <f t="shared" si="788"/>
        <v>-0.83664915071426826</v>
      </c>
      <c r="K1139" s="7">
        <f t="shared" si="788"/>
        <v>-0.71898884712658895</v>
      </c>
      <c r="L1139" s="7">
        <f t="shared" si="788"/>
        <v>-0.60132854353890974</v>
      </c>
      <c r="M1139" s="7">
        <f t="shared" si="788"/>
        <v>-0.48366823995123054</v>
      </c>
      <c r="N1139" s="7">
        <f t="shared" si="788"/>
        <v>-0.36600793636355111</v>
      </c>
      <c r="O1139" s="7">
        <f t="shared" si="788"/>
        <v>-0.24834763277587205</v>
      </c>
      <c r="P1139" s="7">
        <f t="shared" si="788"/>
        <v>-0.13068732918819312</v>
      </c>
      <c r="Q1139" s="7">
        <f t="shared" si="788"/>
        <v>0</v>
      </c>
      <c r="R1139" s="7">
        <f t="shared" si="788"/>
        <v>0.30129841484569458</v>
      </c>
      <c r="S1139" s="7">
        <f t="shared" si="788"/>
        <v>1.227404765421745</v>
      </c>
      <c r="T1139" s="7">
        <f t="shared" si="788"/>
        <v>2.328614770611825</v>
      </c>
      <c r="U1139" s="7">
        <f t="shared" si="788"/>
        <v>3.4929989389803553</v>
      </c>
      <c r="V1139" s="7">
        <f t="shared" si="788"/>
        <v>4.6989849697519945</v>
      </c>
      <c r="W1139" s="7">
        <f t="shared" si="788"/>
        <v>5.9229799989395673</v>
      </c>
      <c r="X1139" s="7">
        <f t="shared" si="788"/>
        <v>7.1567675063601888</v>
      </c>
      <c r="Y1139" s="7">
        <f t="shared" si="788"/>
        <v>8.3976527639845369</v>
      </c>
      <c r="Z1139" s="7">
        <f t="shared" si="788"/>
        <v>9.6403750596526496</v>
      </c>
      <c r="AA1139" s="7">
        <f t="shared" si="788"/>
        <v>10.892236060203153</v>
      </c>
      <c r="AB1139" s="7">
        <f t="shared" si="788"/>
        <v>12.145225622285762</v>
      </c>
      <c r="AC1139" s="7">
        <f t="shared" si="788"/>
        <v>13.398215184368373</v>
      </c>
      <c r="AD1139" s="7">
        <f t="shared" si="788"/>
        <v>14.651204746450976</v>
      </c>
      <c r="AE1139" s="7">
        <f t="shared" si="788"/>
        <v>15.90419430853359</v>
      </c>
      <c r="AF1139" s="7">
        <f t="shared" si="788"/>
        <v>17.157183870616198</v>
      </c>
      <c r="AG1139" s="7">
        <f t="shared" si="788"/>
        <v>18.413924015100939</v>
      </c>
      <c r="AH1139" s="7">
        <f t="shared" si="788"/>
        <v>19.67119273946598</v>
      </c>
      <c r="AI1139" s="7">
        <f t="shared" si="788"/>
        <v>20.928461463831024</v>
      </c>
    </row>
    <row r="1140" spans="3:56" ht="15" customHeight="1">
      <c r="D1140" s="88" t="str">
        <v>Philippines FTAA</v>
      </c>
      <c r="E1140" s="11" t="s">
        <v>30</v>
      </c>
      <c r="G1140" s="7">
        <f t="shared" ref="G1140:AI1140" si="789">(G1126-$Q1126)/$Q1126</f>
        <v>-1.772588437162459</v>
      </c>
      <c r="H1140" s="7">
        <f t="shared" si="789"/>
        <v>-1.5964440064462337</v>
      </c>
      <c r="I1140" s="7">
        <f t="shared" si="789"/>
        <v>-1.4202995757300081</v>
      </c>
      <c r="J1140" s="7">
        <f t="shared" si="789"/>
        <v>-1.2441551450137824</v>
      </c>
      <c r="K1140" s="7">
        <f t="shared" si="789"/>
        <v>-1.068010714297557</v>
      </c>
      <c r="L1140" s="7">
        <f t="shared" si="789"/>
        <v>-0.89186628358133158</v>
      </c>
      <c r="M1140" s="7">
        <f t="shared" si="789"/>
        <v>-0.71572185286510615</v>
      </c>
      <c r="N1140" s="7">
        <f t="shared" si="789"/>
        <v>-0.53957742214888049</v>
      </c>
      <c r="O1140" s="7">
        <f t="shared" si="789"/>
        <v>-0.36343299143265517</v>
      </c>
      <c r="P1140" s="7">
        <f t="shared" si="789"/>
        <v>-0.18728856071642958</v>
      </c>
      <c r="Q1140" s="7">
        <f t="shared" si="789"/>
        <v>0</v>
      </c>
      <c r="R1140" s="7">
        <f t="shared" si="789"/>
        <v>0.29041168375831294</v>
      </c>
      <c r="S1140" s="7">
        <f t="shared" si="789"/>
        <v>1.1281329205542756</v>
      </c>
      <c r="T1140" s="7">
        <f t="shared" si="789"/>
        <v>2.0401278097302713</v>
      </c>
      <c r="U1140" s="7">
        <f t="shared" si="789"/>
        <v>3.4378024295331482</v>
      </c>
      <c r="V1140" s="7">
        <f t="shared" si="789"/>
        <v>4.503117067472842</v>
      </c>
      <c r="W1140" s="7">
        <f t="shared" si="789"/>
        <v>6.111153998898927</v>
      </c>
      <c r="X1140" s="7">
        <f t="shared" si="789"/>
        <v>7.3191848523615963</v>
      </c>
      <c r="Y1140" s="7">
        <f t="shared" si="789"/>
        <v>8.5272157058242648</v>
      </c>
      <c r="Z1140" s="7">
        <f t="shared" si="789"/>
        <v>9.7352465592869368</v>
      </c>
      <c r="AA1140" s="7">
        <f t="shared" si="789"/>
        <v>10.943277412749614</v>
      </c>
      <c r="AB1140" s="7">
        <f t="shared" si="789"/>
        <v>12.151308266212283</v>
      </c>
      <c r="AC1140" s="7">
        <f t="shared" si="789"/>
        <v>13.359339119674958</v>
      </c>
      <c r="AD1140" s="7">
        <f t="shared" si="789"/>
        <v>14.567369973137628</v>
      </c>
      <c r="AE1140" s="7">
        <f t="shared" si="789"/>
        <v>15.775400826600308</v>
      </c>
      <c r="AF1140" s="7">
        <f t="shared" si="789"/>
        <v>16.983431680062971</v>
      </c>
      <c r="AG1140" s="7">
        <f t="shared" si="789"/>
        <v>18.77601205852179</v>
      </c>
      <c r="AH1140" s="7">
        <f t="shared" si="789"/>
        <v>20.034186563637686</v>
      </c>
      <c r="AI1140" s="7">
        <f t="shared" si="789"/>
        <v>21.292361068753596</v>
      </c>
    </row>
    <row r="1141" spans="3:56" ht="15" customHeight="1">
      <c r="D1141" s="88" t="str">
        <v>Burkina Faso</v>
      </c>
      <c r="E1141" s="11" t="s">
        <v>30</v>
      </c>
      <c r="G1141" s="7">
        <f t="shared" ref="G1141:AI1141" si="790">(G1127-$Q1127)/$Q1127</f>
        <v>-0.9136091111102721</v>
      </c>
      <c r="H1141" s="7">
        <f t="shared" si="790"/>
        <v>-0.82256321099791552</v>
      </c>
      <c r="I1141" s="7">
        <f t="shared" si="790"/>
        <v>-0.73151731088555894</v>
      </c>
      <c r="J1141" s="7">
        <f t="shared" si="790"/>
        <v>-0.64047141077320235</v>
      </c>
      <c r="K1141" s="7">
        <f t="shared" si="790"/>
        <v>-0.54942551066084566</v>
      </c>
      <c r="L1141" s="7">
        <f t="shared" si="790"/>
        <v>-0.45837961054848919</v>
      </c>
      <c r="M1141" s="7">
        <f t="shared" si="790"/>
        <v>-0.36733371043613272</v>
      </c>
      <c r="N1141" s="7">
        <f t="shared" si="790"/>
        <v>-0.27628781032377592</v>
      </c>
      <c r="O1141" s="7">
        <f t="shared" si="790"/>
        <v>-0.18524191021141923</v>
      </c>
      <c r="P1141" s="7">
        <f t="shared" si="790"/>
        <v>-9.4196010099062963E-2</v>
      </c>
      <c r="Q1141" s="7">
        <f t="shared" si="790"/>
        <v>0</v>
      </c>
      <c r="R1141" s="7">
        <f t="shared" si="790"/>
        <v>0.13603360599597814</v>
      </c>
      <c r="S1141" s="7">
        <f t="shared" si="790"/>
        <v>0.84838784538151246</v>
      </c>
      <c r="T1141" s="7">
        <f t="shared" si="790"/>
        <v>1.6065118939152183</v>
      </c>
      <c r="U1141" s="7">
        <f t="shared" si="790"/>
        <v>2.5265509760863405</v>
      </c>
      <c r="V1141" s="7">
        <f t="shared" si="790"/>
        <v>3.3265213399850539</v>
      </c>
      <c r="W1141" s="7">
        <f t="shared" si="790"/>
        <v>4.1339999604624937</v>
      </c>
      <c r="X1141" s="7">
        <f t="shared" si="790"/>
        <v>4.9425222419912025</v>
      </c>
      <c r="Y1141" s="7">
        <f t="shared" si="790"/>
        <v>5.7513253754907101</v>
      </c>
      <c r="Z1141" s="7">
        <f t="shared" si="790"/>
        <v>6.5601285089902177</v>
      </c>
      <c r="AA1141" s="7">
        <f t="shared" si="790"/>
        <v>7.3689316424897271</v>
      </c>
      <c r="AB1141" s="7">
        <f t="shared" si="790"/>
        <v>8.1777347759892347</v>
      </c>
      <c r="AC1141" s="7">
        <f t="shared" si="790"/>
        <v>8.9865379094887405</v>
      </c>
      <c r="AD1141" s="7">
        <f t="shared" si="790"/>
        <v>9.796945346886222</v>
      </c>
      <c r="AE1141" s="7">
        <f t="shared" si="790"/>
        <v>10.608713342834365</v>
      </c>
      <c r="AF1141" s="7">
        <f t="shared" si="790"/>
        <v>11.42048133878251</v>
      </c>
      <c r="AG1141" s="7">
        <f t="shared" si="790"/>
        <v>12.232249334730655</v>
      </c>
      <c r="AH1141" s="7">
        <f t="shared" si="790"/>
        <v>13.044017330678805</v>
      </c>
      <c r="AI1141" s="7">
        <f t="shared" si="790"/>
        <v>13.856173636958992</v>
      </c>
    </row>
    <row r="1142" spans="3:56" ht="15" customHeight="1">
      <c r="D1142" s="88" t="str">
        <v>DRC</v>
      </c>
      <c r="E1142" s="11" t="s">
        <v>30</v>
      </c>
      <c r="G1142" s="7">
        <f t="shared" ref="G1142:AI1142" si="791">(G1128-$Q1128)/$Q1128</f>
        <v>-1.0540916144269665</v>
      </c>
      <c r="H1142" s="7">
        <f t="shared" si="791"/>
        <v>-0.9486824529842699</v>
      </c>
      <c r="I1142" s="7">
        <f t="shared" si="791"/>
        <v>-0.84327329154157316</v>
      </c>
      <c r="J1142" s="7">
        <f t="shared" si="791"/>
        <v>-0.73786413009887641</v>
      </c>
      <c r="K1142" s="7">
        <f t="shared" si="791"/>
        <v>-0.63245496865617989</v>
      </c>
      <c r="L1142" s="7">
        <f t="shared" si="791"/>
        <v>-0.52704580721348293</v>
      </c>
      <c r="M1142" s="7">
        <f t="shared" si="791"/>
        <v>-0.42163664577078647</v>
      </c>
      <c r="N1142" s="7">
        <f t="shared" si="791"/>
        <v>-0.31622748432808961</v>
      </c>
      <c r="O1142" s="7">
        <f t="shared" si="791"/>
        <v>-0.21081832288539312</v>
      </c>
      <c r="P1142" s="7">
        <f t="shared" si="791"/>
        <v>-0.10540916144269628</v>
      </c>
      <c r="Q1142" s="7">
        <f t="shared" si="791"/>
        <v>0</v>
      </c>
      <c r="R1142" s="7">
        <f t="shared" si="791"/>
        <v>0.2758090291139747</v>
      </c>
      <c r="S1142" s="7">
        <f t="shared" si="791"/>
        <v>1.2115706544694873</v>
      </c>
      <c r="T1142" s="7">
        <f t="shared" si="791"/>
        <v>2.2710563065825604</v>
      </c>
      <c r="U1142" s="7">
        <f t="shared" si="791"/>
        <v>3.3249703265720756</v>
      </c>
      <c r="V1142" s="7">
        <f t="shared" si="791"/>
        <v>4.3864128374489493</v>
      </c>
      <c r="W1142" s="7">
        <f t="shared" si="791"/>
        <v>6.5039772064311494</v>
      </c>
      <c r="X1142" s="7">
        <f t="shared" si="791"/>
        <v>8.0857136053653988</v>
      </c>
      <c r="Y1142" s="7">
        <f t="shared" si="791"/>
        <v>9.6674500042996439</v>
      </c>
      <c r="Z1142" s="7">
        <f t="shared" si="791"/>
        <v>11.25010151155961</v>
      </c>
      <c r="AA1142" s="7">
        <f t="shared" si="791"/>
        <v>12.833624753560354</v>
      </c>
      <c r="AB1142" s="7">
        <f t="shared" si="791"/>
        <v>14.417147995561097</v>
      </c>
      <c r="AC1142" s="7">
        <f t="shared" si="791"/>
        <v>16.000671237561832</v>
      </c>
      <c r="AD1142" s="7">
        <f t="shared" si="791"/>
        <v>17.584194479562569</v>
      </c>
      <c r="AE1142" s="7">
        <f t="shared" si="791"/>
        <v>19.16771772156331</v>
      </c>
      <c r="AF1142" s="7">
        <f t="shared" si="791"/>
        <v>20.751240963564044</v>
      </c>
      <c r="AG1142" s="7">
        <f t="shared" si="791"/>
        <v>22.334764205564788</v>
      </c>
      <c r="AH1142" s="7">
        <f t="shared" si="791"/>
        <v>23.918287447565532</v>
      </c>
      <c r="AI1142" s="7">
        <f t="shared" si="791"/>
        <v>25.501810689566266</v>
      </c>
    </row>
    <row r="1143" spans="3:56" ht="15" customHeight="1">
      <c r="D1143" s="88" t="str">
        <v>Ghana</v>
      </c>
      <c r="E1143" s="11" t="s">
        <v>30</v>
      </c>
      <c r="G1143" s="7">
        <f t="shared" ref="G1143:AI1143" si="792">(G1129-$Q1129)/$Q1129</f>
        <v>-1.1335716918920209</v>
      </c>
      <c r="H1143" s="7">
        <f t="shared" si="792"/>
        <v>-1.0206147238295777</v>
      </c>
      <c r="I1143" s="7">
        <f t="shared" si="792"/>
        <v>-0.90765775576713459</v>
      </c>
      <c r="J1143" s="7">
        <f t="shared" si="792"/>
        <v>-0.79470078770469132</v>
      </c>
      <c r="K1143" s="7">
        <f t="shared" si="792"/>
        <v>-0.68174381964224817</v>
      </c>
      <c r="L1143" s="7">
        <f t="shared" si="792"/>
        <v>-0.5687868515798048</v>
      </c>
      <c r="M1143" s="7">
        <f t="shared" si="792"/>
        <v>-0.4558298835173617</v>
      </c>
      <c r="N1143" s="7">
        <f t="shared" si="792"/>
        <v>-0.3428729154549186</v>
      </c>
      <c r="O1143" s="7">
        <f t="shared" si="792"/>
        <v>-0.22991594739247548</v>
      </c>
      <c r="P1143" s="7">
        <f t="shared" si="792"/>
        <v>-0.11695897933003208</v>
      </c>
      <c r="Q1143" s="7">
        <f t="shared" si="792"/>
        <v>0</v>
      </c>
      <c r="R1143" s="7">
        <f t="shared" si="792"/>
        <v>0.25993661987782318</v>
      </c>
      <c r="S1143" s="7">
        <f t="shared" si="792"/>
        <v>0.91102163471411679</v>
      </c>
      <c r="T1143" s="7">
        <f t="shared" si="792"/>
        <v>1.8129219922984545</v>
      </c>
      <c r="U1143" s="7">
        <f t="shared" si="792"/>
        <v>2.764344243657757</v>
      </c>
      <c r="V1143" s="7">
        <f t="shared" si="792"/>
        <v>3.7216235867028313</v>
      </c>
      <c r="W1143" s="7">
        <f t="shared" si="792"/>
        <v>4.6803698131248366</v>
      </c>
      <c r="X1143" s="7">
        <f t="shared" si="792"/>
        <v>5.6395188331278652</v>
      </c>
      <c r="Y1143" s="7">
        <f t="shared" si="792"/>
        <v>6.6033916241062753</v>
      </c>
      <c r="Z1143" s="7">
        <f t="shared" si="792"/>
        <v>7.5674476427772106</v>
      </c>
      <c r="AA1143" s="7">
        <f t="shared" si="792"/>
        <v>8.5315036614481468</v>
      </c>
      <c r="AB1143" s="7">
        <f t="shared" si="792"/>
        <v>9.4955596801190758</v>
      </c>
      <c r="AC1143" s="7">
        <f t="shared" si="792"/>
        <v>10.45961569879001</v>
      </c>
      <c r="AD1143" s="7">
        <f t="shared" si="792"/>
        <v>11.423671717460939</v>
      </c>
      <c r="AE1143" s="7">
        <f t="shared" si="792"/>
        <v>12.387727736131874</v>
      </c>
      <c r="AF1143" s="7">
        <f t="shared" si="792"/>
        <v>13.351783754802804</v>
      </c>
      <c r="AG1143" s="7">
        <f t="shared" si="792"/>
        <v>14.315839773473742</v>
      </c>
      <c r="AH1143" s="7">
        <f t="shared" si="792"/>
        <v>15.279895792144675</v>
      </c>
      <c r="AI1143" s="7">
        <f t="shared" si="792"/>
        <v>16.243951810815609</v>
      </c>
    </row>
    <row r="1144" spans="3:56" ht="15" customHeight="1">
      <c r="D1144" s="88" t="str">
        <v>South Africa (gold)</v>
      </c>
      <c r="E1144" s="11" t="s">
        <v>30</v>
      </c>
      <c r="G1144" s="7">
        <f t="shared" ref="G1144:AI1144" si="793">(G1130-$Q1130)/$Q1130</f>
        <v>-13.529117516871382</v>
      </c>
      <c r="H1144" s="7">
        <f t="shared" si="793"/>
        <v>-12.368499882116481</v>
      </c>
      <c r="I1144" s="7">
        <f t="shared" si="793"/>
        <v>-11.207882247361576</v>
      </c>
      <c r="J1144" s="7">
        <f t="shared" si="793"/>
        <v>-10.047264612606668</v>
      </c>
      <c r="K1144" s="7">
        <f t="shared" si="793"/>
        <v>-8.8866469778517629</v>
      </c>
      <c r="L1144" s="7">
        <f t="shared" si="793"/>
        <v>-7.7260293430968554</v>
      </c>
      <c r="M1144" s="7">
        <f t="shared" si="793"/>
        <v>-0.24760829361525213</v>
      </c>
      <c r="N1144" s="7">
        <f t="shared" si="793"/>
        <v>-0.22982377576733742</v>
      </c>
      <c r="O1144" s="7">
        <f t="shared" si="793"/>
        <v>-0.21203925791942299</v>
      </c>
      <c r="P1144" s="7">
        <f t="shared" si="793"/>
        <v>-0.19425474007150828</v>
      </c>
      <c r="Q1144" s="7">
        <f t="shared" si="793"/>
        <v>0</v>
      </c>
      <c r="R1144" s="7">
        <f t="shared" si="793"/>
        <v>0.50827443813566353</v>
      </c>
      <c r="S1144" s="7">
        <f t="shared" si="793"/>
        <v>1.8040477653919123</v>
      </c>
      <c r="T1144" s="7">
        <f t="shared" si="793"/>
        <v>3.4679380692003283</v>
      </c>
      <c r="U1144" s="7">
        <f t="shared" si="793"/>
        <v>5.2094683520747278</v>
      </c>
      <c r="V1144" s="7">
        <f t="shared" si="793"/>
        <v>6.9749049974316728</v>
      </c>
      <c r="W1144" s="7">
        <f t="shared" si="793"/>
        <v>8.7904321763829163</v>
      </c>
      <c r="X1144" s="7">
        <f t="shared" si="793"/>
        <v>10.531831719624561</v>
      </c>
      <c r="Y1144" s="7">
        <f t="shared" si="793"/>
        <v>12.222881454636406</v>
      </c>
      <c r="Z1144" s="7">
        <f t="shared" si="793"/>
        <v>13.972996376930395</v>
      </c>
      <c r="AA1144" s="7">
        <f t="shared" si="793"/>
        <v>15.723111299224389</v>
      </c>
      <c r="AB1144" s="7">
        <f t="shared" si="793"/>
        <v>17.473226221518388</v>
      </c>
      <c r="AC1144" s="7">
        <f t="shared" si="793"/>
        <v>19.223341143812373</v>
      </c>
      <c r="AD1144" s="7">
        <f t="shared" si="793"/>
        <v>20.973456066106365</v>
      </c>
      <c r="AE1144" s="7">
        <f t="shared" si="793"/>
        <v>22.723570988400361</v>
      </c>
      <c r="AF1144" s="7">
        <f t="shared" si="793"/>
        <v>24.473703444311862</v>
      </c>
      <c r="AG1144" s="7">
        <f t="shared" si="793"/>
        <v>26.227385084554911</v>
      </c>
      <c r="AH1144" s="7">
        <f t="shared" si="793"/>
        <v>27.98106672479798</v>
      </c>
      <c r="AI1144" s="7">
        <f t="shared" si="793"/>
        <v>29.734748365041042</v>
      </c>
    </row>
    <row r="1145" spans="3:56" ht="15" customHeight="1">
      <c r="D1145" s="88" t="str">
        <v>Indonesia</v>
      </c>
      <c r="E1145" s="11" t="s">
        <v>30</v>
      </c>
      <c r="G1145" s="7">
        <f t="shared" ref="G1145:AI1145" si="794">(G1131-$Q1131)/$Q1131</f>
        <v>-0.88982983977956664</v>
      </c>
      <c r="H1145" s="7">
        <f t="shared" si="794"/>
        <v>-0.80188546482685485</v>
      </c>
      <c r="I1145" s="7">
        <f t="shared" si="794"/>
        <v>-0.71394108987414284</v>
      </c>
      <c r="J1145" s="7">
        <f t="shared" si="794"/>
        <v>-0.62599671492143105</v>
      </c>
      <c r="K1145" s="7">
        <f t="shared" si="794"/>
        <v>-0.53805233996871926</v>
      </c>
      <c r="L1145" s="7">
        <f t="shared" si="794"/>
        <v>-0.45010796501600725</v>
      </c>
      <c r="M1145" s="7">
        <f t="shared" si="794"/>
        <v>-0.3621635900632954</v>
      </c>
      <c r="N1145" s="7">
        <f t="shared" si="794"/>
        <v>-0.27421921511058378</v>
      </c>
      <c r="O1145" s="7">
        <f t="shared" si="794"/>
        <v>-0.18627484015787196</v>
      </c>
      <c r="P1145" s="7">
        <f t="shared" si="794"/>
        <v>-9.8330465205159964E-2</v>
      </c>
      <c r="Q1145" s="7">
        <f t="shared" si="794"/>
        <v>0</v>
      </c>
      <c r="R1145" s="7">
        <f t="shared" si="794"/>
        <v>0.29829940565787011</v>
      </c>
      <c r="S1145" s="7">
        <f t="shared" si="794"/>
        <v>1.1328271098369997</v>
      </c>
      <c r="T1145" s="7">
        <f t="shared" si="794"/>
        <v>2.0787554045075853</v>
      </c>
      <c r="U1145" s="7">
        <f t="shared" si="794"/>
        <v>3.0382866087580536</v>
      </c>
      <c r="V1145" s="7">
        <f t="shared" si="794"/>
        <v>4.0131807324720103</v>
      </c>
      <c r="W1145" s="7">
        <f t="shared" si="794"/>
        <v>4.994838449321672</v>
      </c>
      <c r="X1145" s="7">
        <f t="shared" si="794"/>
        <v>5.9764961661713301</v>
      </c>
      <c r="Y1145" s="7">
        <f t="shared" si="794"/>
        <v>6.9630133984254137</v>
      </c>
      <c r="Z1145" s="7">
        <f t="shared" si="794"/>
        <v>7.9498107971533187</v>
      </c>
      <c r="AA1145" s="7">
        <f t="shared" si="794"/>
        <v>8.9366081958812202</v>
      </c>
      <c r="AB1145" s="7">
        <f t="shared" si="794"/>
        <v>9.9242092952243599</v>
      </c>
      <c r="AC1145" s="7">
        <f t="shared" si="794"/>
        <v>10.913343121939887</v>
      </c>
      <c r="AD1145" s="7">
        <f t="shared" si="794"/>
        <v>11.902476948655419</v>
      </c>
      <c r="AE1145" s="7">
        <f t="shared" si="794"/>
        <v>12.891610775370944</v>
      </c>
      <c r="AF1145" s="7">
        <f t="shared" si="794"/>
        <v>13.880744602086471</v>
      </c>
      <c r="AG1145" s="7">
        <f t="shared" si="794"/>
        <v>14.869878428802</v>
      </c>
      <c r="AH1145" s="7">
        <f t="shared" si="794"/>
        <v>15.859012255517529</v>
      </c>
      <c r="AI1145" s="7">
        <f t="shared" si="794"/>
        <v>16.848146082233054</v>
      </c>
    </row>
    <row r="1146" spans="3:56" ht="15" customHeight="1">
      <c r="D1146" s="88" t="str">
        <v>Peru</v>
      </c>
      <c r="E1146" s="11" t="s">
        <v>30</v>
      </c>
      <c r="G1146" s="7">
        <f t="shared" ref="G1146:AI1146" si="795">(G1132-$Q1132)/$Q1132</f>
        <v>-1</v>
      </c>
      <c r="H1146" s="7">
        <f t="shared" si="795"/>
        <v>-1</v>
      </c>
      <c r="I1146" s="7">
        <f t="shared" si="795"/>
        <v>-1</v>
      </c>
      <c r="J1146" s="7">
        <f t="shared" si="795"/>
        <v>-1</v>
      </c>
      <c r="K1146" s="7">
        <f t="shared" si="795"/>
        <v>-1</v>
      </c>
      <c r="L1146" s="7">
        <f t="shared" si="795"/>
        <v>-0.99999999999999978</v>
      </c>
      <c r="M1146" s="7">
        <f t="shared" si="795"/>
        <v>-0.80432426998943174</v>
      </c>
      <c r="N1146" s="7">
        <f t="shared" si="795"/>
        <v>-0.6086485399788637</v>
      </c>
      <c r="O1146" s="7">
        <f t="shared" si="795"/>
        <v>-0.41297280996829583</v>
      </c>
      <c r="P1146" s="7">
        <f t="shared" si="795"/>
        <v>-0.21729707995772771</v>
      </c>
      <c r="Q1146" s="7">
        <f t="shared" si="795"/>
        <v>0</v>
      </c>
      <c r="R1146" s="7">
        <f t="shared" si="795"/>
        <v>3.1678784289777657</v>
      </c>
      <c r="S1146" s="7">
        <f t="shared" si="795"/>
        <v>10.366573636291607</v>
      </c>
      <c r="T1146" s="7">
        <f t="shared" si="795"/>
        <v>17.953686446034052</v>
      </c>
      <c r="U1146" s="7">
        <f t="shared" si="795"/>
        <v>25.617047901785799</v>
      </c>
      <c r="V1146" s="7">
        <f t="shared" si="795"/>
        <v>33.391880631539422</v>
      </c>
      <c r="W1146" s="7">
        <f t="shared" si="795"/>
        <v>41.227646742671958</v>
      </c>
      <c r="X1146" s="7">
        <f t="shared" si="795"/>
        <v>49.140563702028849</v>
      </c>
      <c r="Y1146" s="7">
        <f t="shared" si="795"/>
        <v>57.093534923772403</v>
      </c>
      <c r="Z1146" s="7">
        <f t="shared" si="795"/>
        <v>65.076154935416582</v>
      </c>
      <c r="AA1146" s="7">
        <f t="shared" si="795"/>
        <v>73.074351716213613</v>
      </c>
      <c r="AB1146" s="7">
        <f t="shared" si="795"/>
        <v>81.102197286911206</v>
      </c>
      <c r="AC1146" s="7">
        <f t="shared" si="795"/>
        <v>89.130042857608757</v>
      </c>
      <c r="AD1146" s="7">
        <f t="shared" si="795"/>
        <v>97.173465197459208</v>
      </c>
      <c r="AE1146" s="7">
        <f t="shared" si="795"/>
        <v>105.23899873403465</v>
      </c>
      <c r="AF1146" s="7">
        <f t="shared" si="795"/>
        <v>113.30453227061005</v>
      </c>
      <c r="AG1146" s="7">
        <f t="shared" si="795"/>
        <v>121.37006580718548</v>
      </c>
      <c r="AH1146" s="7">
        <f t="shared" si="795"/>
        <v>129.43628745555174</v>
      </c>
      <c r="AI1146" s="7">
        <f t="shared" si="795"/>
        <v>137.52512136725261</v>
      </c>
    </row>
    <row r="1147" spans="3:56" ht="15" customHeight="1">
      <c r="D1147" s="88" t="str">
        <v>Western Australia</v>
      </c>
      <c r="E1147" s="11" t="s">
        <v>30</v>
      </c>
      <c r="G1147" s="7">
        <f t="shared" ref="G1147:AI1147" si="796">(G1133-$Q1133)/$Q1133</f>
        <v>-0.8465985231375952</v>
      </c>
      <c r="H1147" s="7">
        <f t="shared" si="796"/>
        <v>-0.76231194993781826</v>
      </c>
      <c r="I1147" s="7">
        <f t="shared" si="796"/>
        <v>-0.67802537673804131</v>
      </c>
      <c r="J1147" s="7">
        <f t="shared" si="796"/>
        <v>-0.59373880353826414</v>
      </c>
      <c r="K1147" s="7">
        <f t="shared" si="796"/>
        <v>-0.50945223033848697</v>
      </c>
      <c r="L1147" s="7">
        <f t="shared" si="796"/>
        <v>-0.42516565713870985</v>
      </c>
      <c r="M1147" s="7">
        <f t="shared" si="796"/>
        <v>-0.34087908393893285</v>
      </c>
      <c r="N1147" s="7">
        <f t="shared" si="796"/>
        <v>-0.25659251073915629</v>
      </c>
      <c r="O1147" s="7">
        <f t="shared" si="796"/>
        <v>-0.1723059375393789</v>
      </c>
      <c r="P1147" s="7">
        <f t="shared" si="796"/>
        <v>-8.8019364339602058E-2</v>
      </c>
      <c r="Q1147" s="7">
        <f t="shared" si="796"/>
        <v>0</v>
      </c>
      <c r="R1147" s="7">
        <f t="shared" si="796"/>
        <v>0.32286428614117119</v>
      </c>
      <c r="S1147" s="7">
        <f t="shared" si="796"/>
        <v>1.3518073400904538</v>
      </c>
      <c r="T1147" s="7">
        <f t="shared" si="796"/>
        <v>2.4247721322929805</v>
      </c>
      <c r="U1147" s="7">
        <f t="shared" si="796"/>
        <v>3.4851386492500436</v>
      </c>
      <c r="V1147" s="7">
        <f t="shared" si="796"/>
        <v>4.5481515638851748</v>
      </c>
      <c r="W1147" s="7">
        <f t="shared" si="796"/>
        <v>5.6134872966562606</v>
      </c>
      <c r="X1147" s="7">
        <f t="shared" si="796"/>
        <v>6.683325113661331</v>
      </c>
      <c r="Y1147" s="7">
        <f t="shared" si="796"/>
        <v>7.7537645932984969</v>
      </c>
      <c r="Z1147" s="7">
        <f t="shared" si="796"/>
        <v>8.8242040729356663</v>
      </c>
      <c r="AA1147" s="7">
        <f t="shared" si="796"/>
        <v>9.8946435525728411</v>
      </c>
      <c r="AB1147" s="7">
        <f t="shared" si="796"/>
        <v>10.965083032210009</v>
      </c>
      <c r="AC1147" s="7">
        <f t="shared" si="796"/>
        <v>12.035522511847173</v>
      </c>
      <c r="AD1147" s="7">
        <f t="shared" si="796"/>
        <v>13.105961991484341</v>
      </c>
      <c r="AE1147" s="7">
        <f t="shared" si="796"/>
        <v>14.176401471121515</v>
      </c>
      <c r="AF1147" s="7">
        <f t="shared" si="796"/>
        <v>15.246840950758678</v>
      </c>
      <c r="AG1147" s="7">
        <f t="shared" si="796"/>
        <v>16.317280430395851</v>
      </c>
      <c r="AH1147" s="7">
        <f t="shared" si="796"/>
        <v>17.38771991003302</v>
      </c>
      <c r="AI1147" s="7">
        <f t="shared" si="796"/>
        <v>18.45815938967019</v>
      </c>
    </row>
    <row r="1148" spans="3:56" ht="15" customHeight="1"/>
    <row r="1149" spans="3:56" ht="15" customHeight="1">
      <c r="C1149" s="82"/>
      <c r="D1149" s="463" t="s">
        <v>756</v>
      </c>
      <c r="E1149" s="463"/>
      <c r="F1149" s="556"/>
      <c r="G1149" s="556"/>
      <c r="H1149" s="556"/>
      <c r="I1149" s="556"/>
      <c r="J1149" s="556"/>
      <c r="K1149" s="556"/>
      <c r="L1149" s="556"/>
      <c r="M1149" s="556"/>
      <c r="N1149" s="556"/>
      <c r="O1149" s="556"/>
      <c r="P1149" s="556"/>
      <c r="Q1149" s="556"/>
      <c r="R1149" s="556"/>
      <c r="S1149" s="556"/>
      <c r="T1149" s="556"/>
      <c r="U1149" s="556"/>
      <c r="V1149" s="556"/>
      <c r="W1149" s="556"/>
      <c r="X1149" s="556"/>
      <c r="Y1149" s="556"/>
      <c r="Z1149" s="556"/>
      <c r="AA1149" s="556"/>
      <c r="AB1149" s="556"/>
      <c r="AC1149" s="556"/>
      <c r="AD1149" s="556"/>
      <c r="AE1149" s="556"/>
      <c r="AF1149" s="556"/>
      <c r="AG1149" s="556"/>
      <c r="AH1149" s="556"/>
      <c r="AI1149" s="556"/>
      <c r="AJ1149" s="464"/>
      <c r="AK1149" s="464"/>
      <c r="AL1149" s="464"/>
      <c r="AM1149" s="464"/>
      <c r="AN1149" s="464"/>
      <c r="AO1149" s="464"/>
      <c r="AP1149" s="464"/>
      <c r="AQ1149" s="464"/>
      <c r="AR1149" s="464"/>
      <c r="AS1149" s="464"/>
      <c r="AT1149" s="464"/>
      <c r="AU1149" s="464"/>
      <c r="AV1149" s="464"/>
      <c r="AW1149" s="464"/>
      <c r="AX1149" s="464"/>
      <c r="AY1149" s="464"/>
      <c r="AZ1149" s="464"/>
      <c r="BA1149" s="464"/>
      <c r="BB1149" s="464"/>
      <c r="BC1149" s="464"/>
      <c r="BD1149" s="464"/>
    </row>
    <row r="1150" spans="3:56" ht="15" customHeight="1"/>
    <row r="1151" spans="3:56" ht="15" customHeight="1">
      <c r="D1151" s="177"/>
      <c r="E1151" s="180" t="s">
        <v>70</v>
      </c>
      <c r="G1151" s="177"/>
      <c r="H1151" s="166" t="s">
        <v>71</v>
      </c>
      <c r="I1151" s="180" t="s">
        <v>72</v>
      </c>
    </row>
    <row r="1152" spans="3:56" ht="15" customHeight="1">
      <c r="D1152" s="260" t="str">
        <f t="shared" ref="D1152:D1162" si="797">D1123</f>
        <v>Tanzania w/o sharing</v>
      </c>
      <c r="E1152" s="196">
        <f t="shared" ref="E1152:E1162" si="798">_xlfn.STDEV.S(G1123:AI1123)/AVERAGE(G1123:AI1123)</f>
        <v>0.98732847988446104</v>
      </c>
      <c r="G1152" s="260" t="str">
        <f t="shared" ref="G1152:G1162" si="799">D1123</f>
        <v>Tanzania w/o sharing</v>
      </c>
      <c r="H1152" s="113">
        <f t="shared" ref="H1152:H1162" si="800">M1123-Q1123</f>
        <v>-99.82583706350718</v>
      </c>
      <c r="I1152" s="167">
        <f t="shared" ref="I1152:I1162" si="801">U1123-Q1123</f>
        <v>401.10375354711334</v>
      </c>
      <c r="M1152" s="113"/>
      <c r="N1152" s="7"/>
      <c r="O1152" s="7"/>
      <c r="P1152" s="7"/>
    </row>
    <row r="1153" spans="3:56" ht="15" customHeight="1">
      <c r="D1153" s="260" t="str">
        <f t="shared" si="797"/>
        <v>Tanzania w 50/50 sharing</v>
      </c>
      <c r="E1153" s="196">
        <f t="shared" si="798"/>
        <v>1.0338010490565204</v>
      </c>
      <c r="G1153" s="260" t="str">
        <f t="shared" si="799"/>
        <v>Tanzania w 50/50 sharing</v>
      </c>
      <c r="H1153" s="113">
        <f t="shared" si="800"/>
        <v>-61.706423554331607</v>
      </c>
      <c r="I1153" s="167">
        <f t="shared" si="801"/>
        <v>377.21655792534801</v>
      </c>
      <c r="M1153" s="113"/>
      <c r="N1153" s="7"/>
      <c r="O1153" s="7"/>
      <c r="P1153" s="7"/>
    </row>
    <row r="1154" spans="3:56" ht="15" customHeight="1">
      <c r="D1154" s="260" t="str">
        <f t="shared" si="797"/>
        <v>Ecuador</v>
      </c>
      <c r="E1154" s="196">
        <f t="shared" si="798"/>
        <v>1.0351788477406936</v>
      </c>
      <c r="G1154" s="260" t="str">
        <f t="shared" si="799"/>
        <v>Ecuador</v>
      </c>
      <c r="H1154" s="113">
        <f t="shared" si="800"/>
        <v>-72.70285828754848</v>
      </c>
      <c r="I1154" s="167">
        <f t="shared" si="801"/>
        <v>525.0520623079417</v>
      </c>
      <c r="M1154" s="113"/>
      <c r="N1154" s="7"/>
      <c r="O1154" s="7"/>
      <c r="P1154" s="7"/>
    </row>
    <row r="1155" spans="3:56" ht="15" customHeight="1">
      <c r="D1155" s="260" t="str">
        <f t="shared" si="797"/>
        <v>Philippines FTAA</v>
      </c>
      <c r="E1155" s="196">
        <f t="shared" si="798"/>
        <v>1.072656368009596</v>
      </c>
      <c r="G1155" s="260" t="str">
        <f t="shared" si="799"/>
        <v>Philippines FTAA</v>
      </c>
      <c r="H1155" s="113">
        <f t="shared" si="800"/>
        <v>-100.6091028791314</v>
      </c>
      <c r="I1155" s="167">
        <f t="shared" si="801"/>
        <v>483.25228149239717</v>
      </c>
      <c r="M1155" s="113"/>
      <c r="N1155" s="7"/>
      <c r="O1155" s="7"/>
      <c r="P1155" s="7"/>
    </row>
    <row r="1156" spans="3:56" ht="15" customHeight="1">
      <c r="D1156" s="260" t="str">
        <f t="shared" si="797"/>
        <v>Burkina Faso</v>
      </c>
      <c r="E1156" s="196">
        <f t="shared" si="798"/>
        <v>0.96807819226707781</v>
      </c>
      <c r="G1156" s="260" t="str">
        <f t="shared" si="799"/>
        <v>Burkina Faso</v>
      </c>
      <c r="H1156" s="113">
        <f t="shared" si="800"/>
        <v>-57.085296133555403</v>
      </c>
      <c r="I1156" s="167">
        <f t="shared" si="801"/>
        <v>392.63728475987193</v>
      </c>
      <c r="M1156" s="113"/>
      <c r="N1156" s="7"/>
      <c r="O1156" s="7"/>
      <c r="P1156" s="7"/>
    </row>
    <row r="1157" spans="3:56" ht="15" customHeight="1">
      <c r="D1157" s="260" t="str">
        <f t="shared" si="797"/>
        <v>DRC</v>
      </c>
      <c r="E1157" s="196">
        <f t="shared" si="798"/>
        <v>1.0715216329446942</v>
      </c>
      <c r="G1157" s="260" t="str">
        <f t="shared" si="799"/>
        <v>DRC</v>
      </c>
      <c r="H1157" s="113">
        <f t="shared" si="800"/>
        <v>-53.7659672488507</v>
      </c>
      <c r="I1157" s="167">
        <f t="shared" si="801"/>
        <v>423.9912433490403</v>
      </c>
      <c r="M1157" s="113"/>
      <c r="N1157" s="7"/>
      <c r="O1157" s="7"/>
      <c r="P1157" s="7"/>
    </row>
    <row r="1158" spans="3:56" ht="15" customHeight="1">
      <c r="D1158" s="260" t="str">
        <f t="shared" si="797"/>
        <v>Ghana</v>
      </c>
      <c r="E1158" s="196">
        <f t="shared" si="798"/>
        <v>1.0063809007605871</v>
      </c>
      <c r="G1158" s="260" t="str">
        <f t="shared" si="799"/>
        <v>Ghana</v>
      </c>
      <c r="H1158" s="113">
        <f t="shared" si="800"/>
        <v>-71.371306400987166</v>
      </c>
      <c r="I1158" s="167">
        <f t="shared" si="801"/>
        <v>432.82563769075119</v>
      </c>
      <c r="M1158" s="113"/>
      <c r="N1158" s="7"/>
      <c r="O1158" s="7"/>
      <c r="P1158" s="7"/>
    </row>
    <row r="1159" spans="3:56" ht="15" customHeight="1">
      <c r="D1159" s="260" t="str">
        <f t="shared" si="797"/>
        <v>South Africa (gold)</v>
      </c>
      <c r="E1159" s="196">
        <f t="shared" si="798"/>
        <v>1.6223813170804939</v>
      </c>
      <c r="G1159" s="260" t="str">
        <f t="shared" si="799"/>
        <v>South Africa (gold)</v>
      </c>
      <c r="H1159" s="113">
        <f t="shared" si="800"/>
        <v>-24.623907506509525</v>
      </c>
      <c r="I1159" s="167">
        <f t="shared" si="801"/>
        <v>518.0661155837596</v>
      </c>
      <c r="M1159" s="113"/>
      <c r="N1159" s="7"/>
      <c r="O1159" s="7"/>
      <c r="P1159" s="7"/>
    </row>
    <row r="1160" spans="3:56" ht="15" customHeight="1">
      <c r="D1160" s="260" t="str">
        <f t="shared" si="797"/>
        <v>Indonesia</v>
      </c>
      <c r="E1160" s="196">
        <f t="shared" si="798"/>
        <v>0.98683894628488145</v>
      </c>
      <c r="G1160" s="260" t="str">
        <f t="shared" si="799"/>
        <v>Indonesia</v>
      </c>
      <c r="H1160" s="113">
        <f t="shared" si="800"/>
        <v>-54.62505194261432</v>
      </c>
      <c r="I1160" s="167">
        <f t="shared" si="801"/>
        <v>458.26407837119177</v>
      </c>
      <c r="M1160" s="113"/>
      <c r="N1160" s="7"/>
      <c r="O1160" s="7"/>
      <c r="P1160" s="7"/>
    </row>
    <row r="1161" spans="3:56" ht="15" customHeight="1">
      <c r="D1161" s="260" t="str">
        <f t="shared" si="797"/>
        <v>Peru</v>
      </c>
      <c r="E1161" s="196">
        <f t="shared" si="798"/>
        <v>1.0924286916324226</v>
      </c>
      <c r="G1161" s="260" t="str">
        <f t="shared" si="799"/>
        <v>Peru</v>
      </c>
      <c r="H1161" s="113">
        <f t="shared" si="800"/>
        <v>-14.539788391694064</v>
      </c>
      <c r="I1161" s="167">
        <f t="shared" si="801"/>
        <v>463.07996613946494</v>
      </c>
      <c r="M1161" s="113"/>
      <c r="N1161" s="7"/>
      <c r="O1161" s="7"/>
      <c r="P1161" s="7"/>
    </row>
    <row r="1162" spans="3:56" ht="15" customHeight="1">
      <c r="D1162" s="15" t="str">
        <f t="shared" si="797"/>
        <v>Western Australia</v>
      </c>
      <c r="E1162" s="197">
        <f t="shared" si="798"/>
        <v>0.98755122742852997</v>
      </c>
      <c r="G1162" s="15" t="str">
        <f t="shared" si="799"/>
        <v>Western Australia</v>
      </c>
      <c r="H1162" s="165">
        <f t="shared" si="800"/>
        <v>-35.763979782055998</v>
      </c>
      <c r="I1162" s="172">
        <f t="shared" si="801"/>
        <v>365.64997402941191</v>
      </c>
      <c r="M1162" s="113"/>
      <c r="N1162" s="7"/>
      <c r="O1162" s="7"/>
      <c r="P1162" s="7"/>
    </row>
    <row r="1163" spans="3:56" ht="15" customHeight="1"/>
    <row r="1164" spans="3:56" ht="15" customHeight="1">
      <c r="C1164" s="82"/>
      <c r="D1164" s="463" t="s">
        <v>757</v>
      </c>
      <c r="E1164" s="463"/>
      <c r="F1164" s="556"/>
      <c r="G1164" s="556"/>
      <c r="H1164" s="556"/>
      <c r="I1164" s="556"/>
      <c r="J1164" s="556"/>
      <c r="K1164" s="556"/>
      <c r="L1164" s="556"/>
      <c r="M1164" s="556"/>
      <c r="N1164" s="556"/>
      <c r="O1164" s="556"/>
      <c r="P1164" s="556"/>
      <c r="Q1164" s="556"/>
      <c r="R1164" s="556"/>
      <c r="S1164" s="556"/>
      <c r="T1164" s="556"/>
      <c r="U1164" s="556"/>
      <c r="V1164" s="556"/>
      <c r="W1164" s="556"/>
      <c r="X1164" s="556"/>
      <c r="Y1164" s="556"/>
      <c r="Z1164" s="556"/>
      <c r="AA1164" s="556"/>
      <c r="AB1164" s="556"/>
      <c r="AC1164" s="556"/>
      <c r="AD1164" s="556"/>
      <c r="AE1164" s="556"/>
      <c r="AF1164" s="556"/>
      <c r="AG1164" s="556"/>
      <c r="AH1164" s="556"/>
      <c r="AI1164" s="556"/>
      <c r="AJ1164" s="464"/>
      <c r="AK1164" s="464"/>
      <c r="AL1164" s="464"/>
      <c r="AM1164" s="464"/>
      <c r="AN1164" s="464"/>
      <c r="AO1164" s="464"/>
      <c r="AP1164" s="464"/>
      <c r="AQ1164" s="464"/>
      <c r="AR1164" s="464"/>
      <c r="AS1164" s="464"/>
      <c r="AT1164" s="464"/>
      <c r="AU1164" s="464"/>
      <c r="AV1164" s="464"/>
      <c r="AW1164" s="464"/>
      <c r="AX1164" s="464"/>
      <c r="AY1164" s="464"/>
      <c r="AZ1164" s="464"/>
      <c r="BA1164" s="464"/>
      <c r="BB1164" s="464"/>
      <c r="BC1164" s="464"/>
      <c r="BD1164" s="464"/>
    </row>
    <row r="1165" spans="3:56" ht="15" customHeight="1">
      <c r="C1165" s="67"/>
      <c r="E1165" s="11" t="s">
        <v>298</v>
      </c>
      <c r="F1165" s="62">
        <f>I953</f>
        <v>0.63067198366974442</v>
      </c>
      <c r="G1165" s="442">
        <f>G1114</f>
        <v>-799.99999999999977</v>
      </c>
      <c r="H1165" s="442">
        <f t="shared" ref="H1165:AI1165" si="802">H1114</f>
        <v>-639.99999999999989</v>
      </c>
      <c r="I1165" s="442">
        <f t="shared" si="802"/>
        <v>-479.99999999999983</v>
      </c>
      <c r="J1165" s="442">
        <f t="shared" si="802"/>
        <v>-319.99999999999977</v>
      </c>
      <c r="K1165" s="442">
        <f t="shared" si="802"/>
        <v>-159.99999999999977</v>
      </c>
      <c r="L1165" s="442">
        <f t="shared" si="802"/>
        <v>2.2204460492503131E-13</v>
      </c>
      <c r="M1165" s="442">
        <f t="shared" si="802"/>
        <v>160.00000000000023</v>
      </c>
      <c r="N1165" s="442">
        <f t="shared" si="802"/>
        <v>320.00000000000023</v>
      </c>
      <c r="O1165" s="442">
        <f t="shared" si="802"/>
        <v>480.00000000000023</v>
      </c>
      <c r="P1165" s="442">
        <f t="shared" si="802"/>
        <v>640.00000000000023</v>
      </c>
      <c r="Q1165" s="442">
        <f t="shared" si="802"/>
        <v>800.00000000000023</v>
      </c>
      <c r="R1165" s="442">
        <f t="shared" si="802"/>
        <v>960.00000000000011</v>
      </c>
      <c r="S1165" s="442">
        <f t="shared" si="802"/>
        <v>1120</v>
      </c>
      <c r="T1165" s="442">
        <f t="shared" si="802"/>
        <v>1280</v>
      </c>
      <c r="U1165" s="442">
        <f t="shared" si="802"/>
        <v>1440</v>
      </c>
      <c r="V1165" s="442">
        <f t="shared" si="802"/>
        <v>1600</v>
      </c>
      <c r="W1165" s="442">
        <f t="shared" si="802"/>
        <v>1760.0000000000002</v>
      </c>
      <c r="X1165" s="442">
        <f t="shared" si="802"/>
        <v>1920.0000000000002</v>
      </c>
      <c r="Y1165" s="442">
        <f t="shared" si="802"/>
        <v>2080.0000000000005</v>
      </c>
      <c r="Z1165" s="442">
        <f t="shared" si="802"/>
        <v>2240.0000000000005</v>
      </c>
      <c r="AA1165" s="442">
        <f t="shared" si="802"/>
        <v>2400.0000000000009</v>
      </c>
      <c r="AB1165" s="442">
        <f t="shared" si="802"/>
        <v>2560.0000000000009</v>
      </c>
      <c r="AC1165" s="442">
        <f t="shared" si="802"/>
        <v>2720.0000000000009</v>
      </c>
      <c r="AD1165" s="442">
        <f t="shared" si="802"/>
        <v>2880.0000000000009</v>
      </c>
      <c r="AE1165" s="442">
        <f t="shared" si="802"/>
        <v>3040.0000000000014</v>
      </c>
      <c r="AF1165" s="442">
        <f t="shared" si="802"/>
        <v>3200.0000000000014</v>
      </c>
      <c r="AG1165" s="442">
        <f t="shared" si="802"/>
        <v>3360.0000000000014</v>
      </c>
      <c r="AH1165" s="442">
        <f t="shared" si="802"/>
        <v>3520.0000000000018</v>
      </c>
      <c r="AI1165" s="442">
        <f t="shared" si="802"/>
        <v>3680.0000000000018</v>
      </c>
    </row>
    <row r="1166" spans="3:56" ht="15" customHeight="1">
      <c r="C1166" s="67"/>
      <c r="D1166" s="88" t="str">
        <f t="array" ref="D1166:D1176">TRANSPOSE(Inputs!$G$15:$Q$15)</f>
        <v>Tanzania w/o sharing</v>
      </c>
      <c r="E1166" s="11" t="s">
        <v>30</v>
      </c>
      <c r="F1166" s="99">
        <v>1</v>
      </c>
      <c r="G1166" s="6">
        <f t="dataTable" ref="G1166:AI1176" dt2D="1" dtr="1" r1="E1277" r2="F992" ca="1"/>
        <v>1.2974123346291444E-2</v>
      </c>
      <c r="H1166" s="6">
        <v>7.3489138257961713E-3</v>
      </c>
      <c r="I1166" s="6">
        <v>4.9247584410358166E-4</v>
      </c>
      <c r="J1166" s="6">
        <v>-8.0490965839822518E-3</v>
      </c>
      <c r="K1166" s="6">
        <v>-1.8984085582352029E-2</v>
      </c>
      <c r="L1166" s="6">
        <v>-3.3482378592234914E-2</v>
      </c>
      <c r="M1166" s="6">
        <v>-5.3624714390436354E-2</v>
      </c>
      <c r="N1166" s="6">
        <v>-8.3503394874953549E-2</v>
      </c>
      <c r="O1166" s="6">
        <v>-0.13242790610665298</v>
      </c>
      <c r="P1166" s="6">
        <v>-0.22712853802110702</v>
      </c>
      <c r="Q1166" s="6">
        <v>-0.49027415643062272</v>
      </c>
      <c r="R1166" s="6">
        <v>-4.7344586676848799</v>
      </c>
      <c r="S1166" s="6">
        <v>1.1281531012882915</v>
      </c>
      <c r="T1166" s="6">
        <v>0.77447420946515599</v>
      </c>
      <c r="U1166" s="6">
        <v>0.67607339410837963</v>
      </c>
      <c r="V1166" s="6">
        <v>0.63067198366974442</v>
      </c>
      <c r="W1166" s="6">
        <v>0.60446180948270078</v>
      </c>
      <c r="X1166" s="6">
        <v>0.58724194561996657</v>
      </c>
      <c r="Y1166" s="6">
        <v>0.57550529837289921</v>
      </c>
      <c r="Z1166" s="6">
        <v>0.56679786438817459</v>
      </c>
      <c r="AA1166" s="6">
        <v>0.56005544908386662</v>
      </c>
      <c r="AB1166" s="6">
        <v>0.55468032475122053</v>
      </c>
      <c r="AC1166" s="6">
        <v>0.55029487168296021</v>
      </c>
      <c r="AD1166" s="6">
        <v>0.54664880302429886</v>
      </c>
      <c r="AE1166" s="6">
        <v>0.54356966684986951</v>
      </c>
      <c r="AF1166" s="6">
        <v>0.5409347721352411</v>
      </c>
      <c r="AG1166" s="6">
        <v>0.53865444827297848</v>
      </c>
      <c r="AH1166" s="6">
        <v>0.53666163670901434</v>
      </c>
      <c r="AI1166" s="6">
        <v>0.53490518608616267</v>
      </c>
    </row>
    <row r="1167" spans="3:56" ht="15" customHeight="1">
      <c r="C1167" s="67"/>
      <c r="D1167" s="88" t="str">
        <v>Tanzania w 50/50 sharing</v>
      </c>
      <c r="E1167" s="11" t="s">
        <v>30</v>
      </c>
      <c r="F1167" s="99">
        <f>F1166+1</f>
        <v>2</v>
      </c>
      <c r="G1167" s="6">
        <v>-8.2579265371894714E-4</v>
      </c>
      <c r="H1167" s="6">
        <v>-1.5894305182766679E-3</v>
      </c>
      <c r="I1167" s="6">
        <v>-2.5202110767137504E-3</v>
      </c>
      <c r="J1167" s="6">
        <v>-4.6177115863311356E-3</v>
      </c>
      <c r="K1167" s="6">
        <v>-1.0553185819846832E-2</v>
      </c>
      <c r="L1167" s="6">
        <v>-1.8564840505973183E-2</v>
      </c>
      <c r="M1167" s="6">
        <v>-2.9732837231465994E-2</v>
      </c>
      <c r="N1167" s="6">
        <v>-4.6299188282118715E-2</v>
      </c>
      <c r="O1167" s="6">
        <v>-7.3425574551616968E-2</v>
      </c>
      <c r="P1167" s="6">
        <v>-0.12593270965841824</v>
      </c>
      <c r="Q1167" s="6">
        <v>-0.28763622507928799</v>
      </c>
      <c r="R1167" s="6">
        <v>-2.9037937986968574</v>
      </c>
      <c r="S1167" s="6">
        <v>0.9366443665111025</v>
      </c>
      <c r="T1167" s="6">
        <v>0.63626036223391158</v>
      </c>
      <c r="U1167" s="6">
        <v>0.56907476128028434</v>
      </c>
      <c r="V1167" s="6">
        <v>0.54368747432035114</v>
      </c>
      <c r="W1167" s="6">
        <v>0.53395764912158739</v>
      </c>
      <c r="X1167" s="6">
        <v>0.52759578662139028</v>
      </c>
      <c r="Y1167" s="6">
        <v>0.52089084815597686</v>
      </c>
      <c r="Z1167" s="6">
        <v>0.51824496335854742</v>
      </c>
      <c r="AA1167" s="6">
        <v>0.5161961790458649</v>
      </c>
      <c r="AB1167" s="6">
        <v>0.51456286666233275</v>
      </c>
      <c r="AC1167" s="6">
        <v>0.51323028077956789</v>
      </c>
      <c r="AD1167" s="6">
        <v>0.51212236797181554</v>
      </c>
      <c r="AE1167" s="6">
        <v>0.51118672612745242</v>
      </c>
      <c r="AF1167" s="6">
        <v>0.5103860737331315</v>
      </c>
      <c r="AG1167" s="6">
        <v>0.50969316302591727</v>
      </c>
      <c r="AH1167" s="6">
        <v>0.50908761725543161</v>
      </c>
      <c r="AI1167" s="6">
        <v>0.50855389331235124</v>
      </c>
    </row>
    <row r="1168" spans="3:56" ht="15" customHeight="1">
      <c r="C1168" s="67"/>
      <c r="D1168" s="88" t="str">
        <v>Ecuador</v>
      </c>
      <c r="E1168" s="11" t="s">
        <v>30</v>
      </c>
      <c r="F1168" s="99">
        <f>F1167+1</f>
        <v>3</v>
      </c>
      <c r="G1168" s="6">
        <v>7.2353130085246447E-3</v>
      </c>
      <c r="H1168" s="6">
        <v>3.0168715128110783E-3</v>
      </c>
      <c r="I1168" s="6">
        <v>-2.1248894099379812E-3</v>
      </c>
      <c r="J1168" s="6">
        <v>-8.5303616751039747E-3</v>
      </c>
      <c r="K1168" s="6">
        <v>-1.6730698245293267E-2</v>
      </c>
      <c r="L1168" s="6">
        <v>-2.7603217860263801E-2</v>
      </c>
      <c r="M1168" s="6">
        <v>-4.2708302362831553E-2</v>
      </c>
      <c r="N1168" s="6">
        <v>-6.5114839423153756E-2</v>
      </c>
      <c r="O1168" s="6">
        <v>-0.10180417296448176</v>
      </c>
      <c r="P1168" s="6">
        <v>-0.17282180775349776</v>
      </c>
      <c r="Q1168" s="6">
        <v>-0.37356591691146923</v>
      </c>
      <c r="R1168" s="6">
        <v>-4.0201043867651833</v>
      </c>
      <c r="S1168" s="6">
        <v>1.0975095058632547</v>
      </c>
      <c r="T1168" s="6">
        <v>0.75948702320523387</v>
      </c>
      <c r="U1168" s="6">
        <v>0.66702077428202855</v>
      </c>
      <c r="V1168" s="6">
        <v>0.62701128596758471</v>
      </c>
      <c r="W1168" s="6">
        <v>0.60503222428457437</v>
      </c>
      <c r="X1168" s="6">
        <v>0.59126125095458615</v>
      </c>
      <c r="Y1168" s="6">
        <v>0.58194323214518584</v>
      </c>
      <c r="Z1168" s="6">
        <v>0.57509476236624446</v>
      </c>
      <c r="AA1168" s="6">
        <v>0.57022999504796457</v>
      </c>
      <c r="AB1168" s="6">
        <v>0.56640037878548566</v>
      </c>
      <c r="AC1168" s="6">
        <v>0.56327587387188849</v>
      </c>
      <c r="AD1168" s="6">
        <v>0.56067815836519397</v>
      </c>
      <c r="AE1168" s="6">
        <v>0.55848436539628288</v>
      </c>
      <c r="AF1168" s="6">
        <v>0.55660708125835612</v>
      </c>
      <c r="AG1168" s="6">
        <v>0.5550896562641956</v>
      </c>
      <c r="AH1168" s="6">
        <v>0.55377771481053872</v>
      </c>
      <c r="AI1168" s="6">
        <v>0.55262137849400506</v>
      </c>
    </row>
    <row r="1169" spans="3:56" ht="15" customHeight="1">
      <c r="C1169" s="67"/>
      <c r="D1169" s="88" t="str">
        <v>Philippines FTAA</v>
      </c>
      <c r="E1169" s="11" t="s">
        <v>30</v>
      </c>
      <c r="F1169" s="99">
        <f>F1168+1</f>
        <v>4</v>
      </c>
      <c r="G1169" s="6">
        <v>2.756686796499681E-2</v>
      </c>
      <c r="H1169" s="6">
        <v>2.3381132079563292E-2</v>
      </c>
      <c r="I1169" s="6">
        <v>1.8279235269914658E-2</v>
      </c>
      <c r="J1169" s="6">
        <v>1.1923424681881581E-2</v>
      </c>
      <c r="K1169" s="6">
        <v>3.7866653859776893E-3</v>
      </c>
      <c r="L1169" s="6">
        <v>-7.0015594984268797E-3</v>
      </c>
      <c r="M1169" s="6">
        <v>-2.198953416137964E-2</v>
      </c>
      <c r="N1169" s="6">
        <v>-4.4222353162659149E-2</v>
      </c>
      <c r="O1169" s="6">
        <v>-8.0627234010864163E-2</v>
      </c>
      <c r="P1169" s="6">
        <v>-0.15109426851568028</v>
      </c>
      <c r="Q1169" s="6">
        <v>-0.34934644610180238</v>
      </c>
      <c r="R1169" s="6">
        <v>-3.7280162783707711</v>
      </c>
      <c r="S1169" s="6">
        <v>0.98061149517951884</v>
      </c>
      <c r="T1169" s="6">
        <v>0.64869081379415583</v>
      </c>
      <c r="U1169" s="6">
        <v>0.6161126016072962</v>
      </c>
      <c r="V1169" s="6">
        <v>0.56620758383157266</v>
      </c>
      <c r="W1169" s="6">
        <v>0.58118526756262212</v>
      </c>
      <c r="X1169" s="6">
        <v>0.56393778289972518</v>
      </c>
      <c r="Y1169" s="6">
        <v>0.55171692860935073</v>
      </c>
      <c r="Z1169" s="6">
        <v>0.54260473984987967</v>
      </c>
      <c r="AA1169" s="6">
        <v>0.53554891134111582</v>
      </c>
      <c r="AB1169" s="6">
        <v>0.52992393070840338</v>
      </c>
      <c r="AC1169" s="6">
        <v>0.52533462503880068</v>
      </c>
      <c r="AD1169" s="6">
        <v>0.52151907318896784</v>
      </c>
      <c r="AE1169" s="6">
        <v>0.51829680700966219</v>
      </c>
      <c r="AF1169" s="6">
        <v>0.51553943232922839</v>
      </c>
      <c r="AG1169" s="6">
        <v>0.52878315446737134</v>
      </c>
      <c r="AH1169" s="6">
        <v>0.52696860719403538</v>
      </c>
      <c r="AI1169" s="6">
        <v>0.52536927751024731</v>
      </c>
    </row>
    <row r="1170" spans="3:56" ht="15" customHeight="1">
      <c r="C1170" s="67"/>
      <c r="D1170" s="88" t="str">
        <v>Burkina Faso</v>
      </c>
      <c r="E1170" s="11" t="s">
        <v>30</v>
      </c>
      <c r="F1170" s="99">
        <v>5</v>
      </c>
      <c r="G1170" s="6">
        <v>-3.4078277764900142E-3</v>
      </c>
      <c r="H1170" s="6">
        <v>-7.6897106759868531E-3</v>
      </c>
      <c r="I1170" s="6">
        <v>-1.2908798860756415E-2</v>
      </c>
      <c r="J1170" s="6">
        <v>-1.9410603421347126E-2</v>
      </c>
      <c r="K1170" s="6">
        <v>-2.7734265362775248E-2</v>
      </c>
      <c r="L1170" s="6">
        <v>-3.8770297475841535E-2</v>
      </c>
      <c r="M1170" s="6">
        <v>-5.4102548282856461E-2</v>
      </c>
      <c r="N1170" s="6">
        <v>-7.6846058646346027E-2</v>
      </c>
      <c r="O1170" s="6">
        <v>-0.11408716535463628</v>
      </c>
      <c r="P1170" s="6">
        <v>-0.18617283876620075</v>
      </c>
      <c r="Q1170" s="6">
        <v>-0.38621292459799972</v>
      </c>
      <c r="R1170" s="6">
        <v>-3.6377703829784815</v>
      </c>
      <c r="S1170" s="6">
        <v>0.98853374062938715</v>
      </c>
      <c r="T1170" s="6">
        <v>0.66986631903880489</v>
      </c>
      <c r="U1170" s="6">
        <v>0.59757499384327684</v>
      </c>
      <c r="V1170" s="6">
        <v>0.55100138088522777</v>
      </c>
      <c r="W1170" s="6">
        <v>0.52437432333040146</v>
      </c>
      <c r="X1170" s="6">
        <v>0.507048469216414</v>
      </c>
      <c r="Y1170" s="6">
        <v>0.49482203100474531</v>
      </c>
      <c r="Z1170" s="6">
        <v>0.48570567872743464</v>
      </c>
      <c r="AA1170" s="6">
        <v>0.47864662628766536</v>
      </c>
      <c r="AB1170" s="6">
        <v>0.4730190755032771</v>
      </c>
      <c r="AC1170" s="6">
        <v>0.46842767289993736</v>
      </c>
      <c r="AD1170" s="6">
        <v>0.46466979484151272</v>
      </c>
      <c r="AE1170" s="6">
        <v>0.46154270688366844</v>
      </c>
      <c r="AF1170" s="6">
        <v>0.45886677861497832</v>
      </c>
      <c r="AG1170" s="6">
        <v>0.45655094297611221</v>
      </c>
      <c r="AH1170" s="6">
        <v>0.45452709710152039</v>
      </c>
      <c r="AI1170" s="6">
        <v>0.45277139623111901</v>
      </c>
    </row>
    <row r="1171" spans="3:56" ht="15" customHeight="1">
      <c r="C1171" s="67"/>
      <c r="D1171" s="88" t="str">
        <v>DRC</v>
      </c>
      <c r="E1171" s="11" t="s">
        <v>30</v>
      </c>
      <c r="F1171" s="99">
        <v>6</v>
      </c>
      <c r="G1171" s="6">
        <v>1.7508352438829855E-3</v>
      </c>
      <c r="H1171" s="6">
        <v>-1.8248949098918692E-3</v>
      </c>
      <c r="I1171" s="6">
        <v>-6.1832698200706467E-3</v>
      </c>
      <c r="J1171" s="6">
        <v>-1.1612820129348606E-2</v>
      </c>
      <c r="K1171" s="6">
        <v>-1.8563773644983073E-2</v>
      </c>
      <c r="L1171" s="6">
        <v>-2.7779782987358108E-2</v>
      </c>
      <c r="M1171" s="6">
        <v>-4.0583494070238132E-2</v>
      </c>
      <c r="N1171" s="6">
        <v>-5.9576226407448217E-2</v>
      </c>
      <c r="O1171" s="6">
        <v>-9.067566358085348E-2</v>
      </c>
      <c r="P1171" s="6">
        <v>-0.15087322669104192</v>
      </c>
      <c r="Q1171" s="6">
        <v>-0.31690744646951696</v>
      </c>
      <c r="R1171" s="6">
        <v>-3.359400210337284</v>
      </c>
      <c r="S1171" s="6">
        <v>0.97617772335774888</v>
      </c>
      <c r="T1171" s="6">
        <v>0.68933444605415906</v>
      </c>
      <c r="U1171" s="6">
        <v>0.60309315870838909</v>
      </c>
      <c r="V1171" s="6">
        <v>0.56282234377799933</v>
      </c>
      <c r="W1171" s="6">
        <v>0.60932268968010361</v>
      </c>
      <c r="X1171" s="6">
        <v>0.61053081181894819</v>
      </c>
      <c r="Y1171" s="6">
        <v>0.61138683719959741</v>
      </c>
      <c r="Z1171" s="6">
        <v>0.61211369122608483</v>
      </c>
      <c r="AA1171" s="6">
        <v>0.61275137464289542</v>
      </c>
      <c r="AB1171" s="6">
        <v>0.61325974256381466</v>
      </c>
      <c r="AC1171" s="6">
        <v>0.61367450946419266</v>
      </c>
      <c r="AD1171" s="6">
        <v>0.61401934694679261</v>
      </c>
      <c r="AE1171" s="6">
        <v>0.61431056515093951</v>
      </c>
      <c r="AF1171" s="6">
        <v>0.61455976793491618</v>
      </c>
      <c r="AG1171" s="6">
        <v>0.61477543615561958</v>
      </c>
      <c r="AH1171" s="6">
        <v>0.61496391206963774</v>
      </c>
      <c r="AI1171" s="6">
        <v>0.6151300334644324</v>
      </c>
    </row>
    <row r="1172" spans="3:56" ht="15" customHeight="1">
      <c r="C1172" s="67"/>
      <c r="D1172" s="88" t="str">
        <v>Ghana</v>
      </c>
      <c r="E1172" s="11" t="s">
        <v>30</v>
      </c>
      <c r="F1172" s="99">
        <f>F1171+1</f>
        <v>7</v>
      </c>
      <c r="G1172" s="6">
        <v>5.3086183389822227E-3</v>
      </c>
      <c r="H1172" s="6">
        <v>9.001216992853032E-4</v>
      </c>
      <c r="I1172" s="6">
        <v>-4.4732930495258267E-3</v>
      </c>
      <c r="J1172" s="6">
        <v>-1.1167353636913312E-2</v>
      </c>
      <c r="K1172" s="6">
        <v>-1.9737143273867403E-2</v>
      </c>
      <c r="L1172" s="6">
        <v>-3.109950689473082E-2</v>
      </c>
      <c r="M1172" s="6">
        <v>-4.6885126854038534E-2</v>
      </c>
      <c r="N1172" s="6">
        <v>-7.0301154654363859E-2</v>
      </c>
      <c r="O1172" s="6">
        <v>-0.10864346751896464</v>
      </c>
      <c r="P1172" s="6">
        <v>-0.18286068841552744</v>
      </c>
      <c r="Q1172" s="6">
        <v>-0.38912056465180006</v>
      </c>
      <c r="R1172" s="6">
        <v>-4.0551939758983968</v>
      </c>
      <c r="S1172" s="6">
        <v>1.0250297350217101</v>
      </c>
      <c r="T1172" s="6">
        <v>0.71937565493094613</v>
      </c>
      <c r="U1172" s="6">
        <v>0.63547245144915221</v>
      </c>
      <c r="V1172" s="6">
        <v>0.5960837920826485</v>
      </c>
      <c r="W1172" s="6">
        <v>0.5732153127415196</v>
      </c>
      <c r="X1172" s="6">
        <v>0.55817893448414868</v>
      </c>
      <c r="Y1172" s="6">
        <v>0.54794965217438285</v>
      </c>
      <c r="Z1172" s="6">
        <v>0.54034707419706374</v>
      </c>
      <c r="AA1172" s="6">
        <v>0.53446018051559618</v>
      </c>
      <c r="AB1172" s="6">
        <v>0.52976708701084874</v>
      </c>
      <c r="AC1172" s="6">
        <v>0.52593808882656023</v>
      </c>
      <c r="AD1172" s="6">
        <v>0.52275465713626412</v>
      </c>
      <c r="AE1172" s="6">
        <v>0.52006622183948781</v>
      </c>
      <c r="AF1172" s="6">
        <v>0.51776565974907962</v>
      </c>
      <c r="AG1172" s="6">
        <v>0.51577467824904144</v>
      </c>
      <c r="AH1172" s="6">
        <v>0.51403472761195124</v>
      </c>
      <c r="AI1172" s="6">
        <v>0.51250114689839477</v>
      </c>
    </row>
    <row r="1173" spans="3:56" ht="15" customHeight="1">
      <c r="C1173" s="67"/>
      <c r="D1173" s="88" t="str">
        <v>South Africa (gold)</v>
      </c>
      <c r="E1173" s="11" t="s">
        <v>30</v>
      </c>
      <c r="F1173" s="99">
        <f>F1172+1</f>
        <v>8</v>
      </c>
      <c r="G1173" s="6">
        <v>0.31627035776461954</v>
      </c>
      <c r="H1173" s="6">
        <v>0.31528100271564363</v>
      </c>
      <c r="I1173" s="6">
        <v>0.31407510069360123</v>
      </c>
      <c r="J1173" s="6">
        <v>0.31257281926263747</v>
      </c>
      <c r="K1173" s="6">
        <v>0.31064958661919273</v>
      </c>
      <c r="L1173" s="6">
        <v>0.30809964437462417</v>
      </c>
      <c r="M1173" s="6">
        <v>-4.1173267863093957E-2</v>
      </c>
      <c r="N1173" s="6">
        <v>-5.2332818962644481E-2</v>
      </c>
      <c r="O1173" s="6">
        <v>-7.0605901115439004E-2</v>
      </c>
      <c r="P1173" s="6">
        <v>-0.10597615588812566</v>
      </c>
      <c r="Q1173" s="6">
        <v>-0.24714686993309345</v>
      </c>
      <c r="R1173" s="6">
        <v>-3.0826815931620803</v>
      </c>
      <c r="S1173" s="6">
        <v>0.9140762443311663</v>
      </c>
      <c r="T1173" s="6">
        <v>0.67445322466168933</v>
      </c>
      <c r="U1173" s="6">
        <v>0.60988131929118639</v>
      </c>
      <c r="V1173" s="6">
        <v>0.58048530975752399</v>
      </c>
      <c r="W1173" s="6">
        <v>0.56607654590760803</v>
      </c>
      <c r="X1173" s="6">
        <v>0.55302848271817462</v>
      </c>
      <c r="Y1173" s="6">
        <v>0.54172041327149068</v>
      </c>
      <c r="Z1173" s="6">
        <v>0.5354008597614518</v>
      </c>
      <c r="AA1173" s="6">
        <v>0.53050744863973365</v>
      </c>
      <c r="AB1173" s="6">
        <v>0.52660636987153908</v>
      </c>
      <c r="AC1173" s="6">
        <v>0.52342356017361269</v>
      </c>
      <c r="AD1173" s="6">
        <v>0.52077737002963831</v>
      </c>
      <c r="AE1173" s="6">
        <v>0.51854263981484283</v>
      </c>
      <c r="AF1173" s="6">
        <v>0.51663068023832437</v>
      </c>
      <c r="AG1173" s="6">
        <v>0.51504314569900078</v>
      </c>
      <c r="AH1173" s="6">
        <v>0.51365577382585947</v>
      </c>
      <c r="AI1173" s="6">
        <v>0.5124329536481913</v>
      </c>
    </row>
    <row r="1174" spans="3:56" ht="15" customHeight="1">
      <c r="C1174" s="67"/>
      <c r="D1174" s="88" t="str">
        <v>Indonesia</v>
      </c>
      <c r="E1174" s="11" t="s">
        <v>30</v>
      </c>
      <c r="F1174" s="99">
        <v>9</v>
      </c>
      <c r="G1174" s="6">
        <v>-4.2179097268265865E-3</v>
      </c>
      <c r="H1174" s="6">
        <v>-8.333093863241714E-3</v>
      </c>
      <c r="I1174" s="6">
        <v>-1.3348996775261832E-2</v>
      </c>
      <c r="J1174" s="6">
        <v>-1.9597678398236267E-2</v>
      </c>
      <c r="K1174" s="6">
        <v>-2.7597290340513444E-2</v>
      </c>
      <c r="L1174" s="6">
        <v>-3.8203676677233463E-2</v>
      </c>
      <c r="M1174" s="6">
        <v>-5.2939024835395414E-2</v>
      </c>
      <c r="N1174" s="6">
        <v>-7.4797103454318711E-2</v>
      </c>
      <c r="O1174" s="6">
        <v>-0.11058836985408591</v>
      </c>
      <c r="P1174" s="6">
        <v>-0.17986766278405622</v>
      </c>
      <c r="Q1174" s="6">
        <v>-0.37484386480756282</v>
      </c>
      <c r="R1174" s="6">
        <v>-4.024560395784496</v>
      </c>
      <c r="S1174" s="6">
        <v>1.0545033402431481</v>
      </c>
      <c r="T1174" s="6">
        <v>0.70487997108211464</v>
      </c>
      <c r="U1174" s="6">
        <v>0.60156608597471317</v>
      </c>
      <c r="V1174" s="6">
        <v>0.55344487444634016</v>
      </c>
      <c r="W1174" s="6">
        <v>0.52570980196896333</v>
      </c>
      <c r="X1174" s="6">
        <v>0.50743667832555051</v>
      </c>
      <c r="Y1174" s="6">
        <v>0.49479105028501491</v>
      </c>
      <c r="Z1174" s="6">
        <v>0.48537733344039785</v>
      </c>
      <c r="AA1174" s="6">
        <v>0.47808802310684656</v>
      </c>
      <c r="AB1174" s="6">
        <v>0.47231165656111079</v>
      </c>
      <c r="AC1174" s="6">
        <v>0.46765900555357043</v>
      </c>
      <c r="AD1174" s="6">
        <v>0.46379078834676513</v>
      </c>
      <c r="AE1174" s="6">
        <v>0.46052404582294282</v>
      </c>
      <c r="AF1174" s="6">
        <v>0.45772861160942796</v>
      </c>
      <c r="AG1174" s="6">
        <v>0.45530935162644914</v>
      </c>
      <c r="AH1174" s="6">
        <v>0.45319512156022818</v>
      </c>
      <c r="AI1174" s="6">
        <v>0.45133165349138682</v>
      </c>
    </row>
    <row r="1175" spans="3:56" ht="15" customHeight="1">
      <c r="D1175" s="88" t="str">
        <v>Peru</v>
      </c>
      <c r="E1175" s="11" t="s">
        <v>30</v>
      </c>
      <c r="F1175" s="99">
        <v>10</v>
      </c>
      <c r="G1175" s="6">
        <v>0</v>
      </c>
      <c r="H1175" s="6">
        <v>0</v>
      </c>
      <c r="I1175" s="6">
        <v>0</v>
      </c>
      <c r="J1175" s="6">
        <v>0</v>
      </c>
      <c r="K1175" s="6">
        <v>0</v>
      </c>
      <c r="L1175" s="6">
        <v>-2.2611260502358691E-18</v>
      </c>
      <c r="M1175" s="6">
        <v>-1.9464507940594358E-3</v>
      </c>
      <c r="N1175" s="6">
        <v>-4.8337714075768435E-3</v>
      </c>
      <c r="O1175" s="6">
        <v>-9.5615822578166716E-3</v>
      </c>
      <c r="P1175" s="6">
        <v>-1.8712959835598817E-2</v>
      </c>
      <c r="Q1175" s="6">
        <v>-4.492522316532499E-2</v>
      </c>
      <c r="R1175" s="6">
        <v>-1.5484545756691772</v>
      </c>
      <c r="S1175" s="6">
        <v>0.67353739571446347</v>
      </c>
      <c r="T1175" s="6">
        <v>0.52008402137482646</v>
      </c>
      <c r="U1175" s="6">
        <v>0.47521039043455798</v>
      </c>
      <c r="V1175" s="6">
        <v>0.45504753775782231</v>
      </c>
      <c r="W1175" s="6">
        <v>0.44381840307642412</v>
      </c>
      <c r="X1175" s="6">
        <v>0.43709269057486644</v>
      </c>
      <c r="Y1175" s="6">
        <v>0.4326254149303364</v>
      </c>
      <c r="Z1175" s="6">
        <v>0.42948721094436382</v>
      </c>
      <c r="AA1175" s="6">
        <v>0.42714703266397663</v>
      </c>
      <c r="AB1175" s="6">
        <v>0.42543505128317843</v>
      </c>
      <c r="AC1175" s="6">
        <v>0.42403828098827956</v>
      </c>
      <c r="AD1175" s="6">
        <v>0.42294411197292286</v>
      </c>
      <c r="AE1175" s="6">
        <v>0.42210792890647519</v>
      </c>
      <c r="AF1175" s="6">
        <v>0.42139238590433664</v>
      </c>
      <c r="AG1175" s="6">
        <v>0.42077313164222413</v>
      </c>
      <c r="AH1175" s="6">
        <v>0.42023417234918126</v>
      </c>
      <c r="AI1175" s="6">
        <v>0.41982766819498291</v>
      </c>
    </row>
    <row r="1176" spans="3:56" ht="15" customHeight="1">
      <c r="D1176" s="88" t="str">
        <v>Western Australia</v>
      </c>
      <c r="E1176" s="11" t="s">
        <v>30</v>
      </c>
      <c r="F1176" s="99">
        <v>11</v>
      </c>
      <c r="G1176" s="6">
        <v>-4.0852745693694204E-3</v>
      </c>
      <c r="H1176" s="6">
        <v>-6.9543363535023916E-3</v>
      </c>
      <c r="I1176" s="6">
        <v>-1.0451369507001717E-2</v>
      </c>
      <c r="J1176" s="6">
        <v>-1.4807882618297756E-2</v>
      </c>
      <c r="K1176" s="6">
        <v>-2.0385125373581833E-2</v>
      </c>
      <c r="L1176" s="6">
        <v>-2.7779782987358108E-2</v>
      </c>
      <c r="M1176" s="6">
        <v>-3.805310803796088E-2</v>
      </c>
      <c r="N1176" s="6">
        <v>-5.3292323577598284E-2</v>
      </c>
      <c r="O1176" s="6">
        <v>-7.8245606645691815E-2</v>
      </c>
      <c r="P1176" s="6">
        <v>-0.12654637890476342</v>
      </c>
      <c r="Q1176" s="6">
        <v>-0.26074069407017675</v>
      </c>
      <c r="R1176" s="6">
        <v>-2.8524450898843239</v>
      </c>
      <c r="S1176" s="6">
        <v>0.80882107549609361</v>
      </c>
      <c r="T1176" s="6">
        <v>0.54541876340911</v>
      </c>
      <c r="U1176" s="6">
        <v>0.46475116677995321</v>
      </c>
      <c r="V1176" s="6">
        <v>0.42605702910009419</v>
      </c>
      <c r="W1176" s="6">
        <v>0.40342009232271803</v>
      </c>
      <c r="X1176" s="6">
        <v>0.38873363218877094</v>
      </c>
      <c r="Y1176" s="6">
        <v>0.37835341889670099</v>
      </c>
      <c r="Z1176" s="6">
        <v>0.37061366023225067</v>
      </c>
      <c r="AA1176" s="6">
        <v>0.36462054361920659</v>
      </c>
      <c r="AB1176" s="6">
        <v>0.35984276807717219</v>
      </c>
      <c r="AC1176" s="6">
        <v>0.35594467956543008</v>
      </c>
      <c r="AD1176" s="6">
        <v>0.35270380612997698</v>
      </c>
      <c r="AE1176" s="6">
        <v>0.34996686078800049</v>
      </c>
      <c r="AF1176" s="6">
        <v>0.34762478742479874</v>
      </c>
      <c r="AG1176" s="6">
        <v>0.34559788071477837</v>
      </c>
      <c r="AH1176" s="6">
        <v>0.34382653446100619</v>
      </c>
      <c r="AI1176" s="6">
        <v>0.34226528186342781</v>
      </c>
    </row>
    <row r="1177" spans="3:56" ht="15" customHeight="1"/>
    <row r="1178" spans="3:56" ht="15" customHeight="1">
      <c r="C1178" s="169"/>
      <c r="D1178" s="463" t="s">
        <v>758</v>
      </c>
      <c r="E1178" s="463"/>
      <c r="F1178" s="556"/>
      <c r="G1178" s="556"/>
      <c r="H1178" s="556"/>
      <c r="I1178" s="556"/>
      <c r="J1178" s="556"/>
      <c r="K1178" s="556"/>
      <c r="L1178" s="556"/>
      <c r="M1178" s="556"/>
      <c r="N1178" s="556"/>
      <c r="O1178" s="556"/>
      <c r="P1178" s="556"/>
      <c r="Q1178" s="556"/>
      <c r="R1178" s="556"/>
      <c r="S1178" s="556"/>
      <c r="T1178" s="556"/>
      <c r="U1178" s="556"/>
      <c r="V1178" s="556"/>
      <c r="W1178" s="556"/>
      <c r="X1178" s="556"/>
      <c r="Y1178" s="556"/>
      <c r="Z1178" s="556"/>
      <c r="AA1178" s="556"/>
      <c r="AB1178" s="556"/>
      <c r="AC1178" s="556"/>
      <c r="AD1178" s="556"/>
      <c r="AE1178" s="556"/>
      <c r="AF1178" s="556"/>
      <c r="AG1178" s="556"/>
      <c r="AH1178" s="556"/>
      <c r="AI1178" s="556"/>
      <c r="AJ1178" s="464"/>
      <c r="AK1178" s="464"/>
      <c r="AL1178" s="464"/>
      <c r="AM1178" s="464"/>
      <c r="AN1178" s="464"/>
      <c r="AO1178" s="464"/>
      <c r="AP1178" s="464"/>
      <c r="AQ1178" s="464"/>
      <c r="AR1178" s="464"/>
      <c r="AS1178" s="464"/>
      <c r="AT1178" s="464"/>
      <c r="AU1178" s="464"/>
      <c r="AV1178" s="464"/>
      <c r="AW1178" s="464"/>
      <c r="AX1178" s="464"/>
      <c r="AY1178" s="464"/>
      <c r="AZ1178" s="464"/>
      <c r="BA1178" s="464"/>
      <c r="BB1178" s="464"/>
      <c r="BC1178" s="464"/>
      <c r="BD1178" s="464"/>
    </row>
    <row r="1179" spans="3:56" ht="15" customHeight="1">
      <c r="C1179" s="443"/>
      <c r="E1179" s="11" t="s">
        <v>298</v>
      </c>
      <c r="F1179" s="62">
        <f>I953</f>
        <v>0.63067198366974442</v>
      </c>
      <c r="G1179" s="442">
        <f>G1118</f>
        <v>9.7144514654701197E-14</v>
      </c>
      <c r="H1179" s="442">
        <f t="shared" ref="H1179:AI1179" si="803">H1118</f>
        <v>70.000000000000099</v>
      </c>
      <c r="I1179" s="442">
        <f t="shared" si="803"/>
        <v>140.00000000000011</v>
      </c>
      <c r="J1179" s="442">
        <f t="shared" si="803"/>
        <v>210.00000000000011</v>
      </c>
      <c r="K1179" s="442">
        <f t="shared" si="803"/>
        <v>280.00000000000011</v>
      </c>
      <c r="L1179" s="442">
        <f t="shared" si="803"/>
        <v>350.00000000000006</v>
      </c>
      <c r="M1179" s="442">
        <f t="shared" si="803"/>
        <v>420.00000000000006</v>
      </c>
      <c r="N1179" s="442">
        <f t="shared" si="803"/>
        <v>490.00000000000006</v>
      </c>
      <c r="O1179" s="442">
        <f t="shared" si="803"/>
        <v>560</v>
      </c>
      <c r="P1179" s="442">
        <f t="shared" si="803"/>
        <v>630</v>
      </c>
      <c r="Q1179" s="442">
        <f t="shared" si="803"/>
        <v>700</v>
      </c>
      <c r="R1179" s="442">
        <f t="shared" si="803"/>
        <v>770.00000000000011</v>
      </c>
      <c r="S1179" s="442">
        <f t="shared" si="803"/>
        <v>840.00000000000011</v>
      </c>
      <c r="T1179" s="442">
        <f t="shared" si="803"/>
        <v>910.00000000000023</v>
      </c>
      <c r="U1179" s="442">
        <f t="shared" si="803"/>
        <v>980.00000000000023</v>
      </c>
      <c r="V1179" s="442">
        <f t="shared" si="803"/>
        <v>1050.0000000000002</v>
      </c>
      <c r="W1179" s="442">
        <f t="shared" si="803"/>
        <v>1120.0000000000005</v>
      </c>
      <c r="X1179" s="442">
        <f t="shared" si="803"/>
        <v>1190.0000000000005</v>
      </c>
      <c r="Y1179" s="442">
        <f t="shared" si="803"/>
        <v>1260.0000000000005</v>
      </c>
      <c r="Z1179" s="442">
        <f t="shared" si="803"/>
        <v>1330.0000000000005</v>
      </c>
      <c r="AA1179" s="442">
        <f t="shared" si="803"/>
        <v>1400.0000000000007</v>
      </c>
      <c r="AB1179" s="442">
        <f t="shared" si="803"/>
        <v>1470.0000000000007</v>
      </c>
      <c r="AC1179" s="442">
        <f t="shared" si="803"/>
        <v>1540.0000000000007</v>
      </c>
      <c r="AD1179" s="442">
        <f t="shared" si="803"/>
        <v>1610.0000000000009</v>
      </c>
      <c r="AE1179" s="442">
        <f t="shared" si="803"/>
        <v>1680.0000000000009</v>
      </c>
      <c r="AF1179" s="442">
        <f t="shared" si="803"/>
        <v>1750.0000000000009</v>
      </c>
      <c r="AG1179" s="442">
        <f t="shared" si="803"/>
        <v>1820.0000000000009</v>
      </c>
      <c r="AH1179" s="442">
        <f t="shared" si="803"/>
        <v>1890.0000000000011</v>
      </c>
      <c r="AI1179" s="442">
        <f t="shared" si="803"/>
        <v>1960.0000000000011</v>
      </c>
    </row>
    <row r="1180" spans="3:56" ht="15" customHeight="1">
      <c r="C1180" s="443"/>
      <c r="D1180" s="88" t="str">
        <f t="array" ref="D1180:D1190">TRANSPOSE(Inputs!$G$15:$Q$15)</f>
        <v>Tanzania w/o sharing</v>
      </c>
      <c r="E1180" s="11" t="s">
        <v>30</v>
      </c>
      <c r="F1180" s="99">
        <v>1</v>
      </c>
      <c r="G1180" s="6">
        <f t="dataTable" ref="G1180:AI1190" dt2D="1" dtr="1" r1="E1278" r2="F992" ca="1"/>
        <v>0.53508093378302446</v>
      </c>
      <c r="H1180" s="6">
        <v>0.53971586424240126</v>
      </c>
      <c r="I1180" s="6">
        <v>0.54490163952511173</v>
      </c>
      <c r="J1180" s="6">
        <v>0.55074266247296966</v>
      </c>
      <c r="K1180" s="6">
        <v>0.55737149878727787</v>
      </c>
      <c r="L1180" s="6">
        <v>0.56495905997520846</v>
      </c>
      <c r="M1180" s="6">
        <v>0.57382478108765478</v>
      </c>
      <c r="N1180" s="6">
        <v>0.58440511061941169</v>
      </c>
      <c r="O1180" s="6">
        <v>0.59697101668491914</v>
      </c>
      <c r="P1180" s="6">
        <v>0.61210703911297193</v>
      </c>
      <c r="Q1180" s="6">
        <v>0.63067198366974442</v>
      </c>
      <c r="R1180" s="6">
        <v>0.65415954352174166</v>
      </c>
      <c r="S1180" s="6">
        <v>0.68492110294994035</v>
      </c>
      <c r="T1180" s="6">
        <v>0.72681217304066836</v>
      </c>
      <c r="U1180" s="6">
        <v>0.78736535966739607</v>
      </c>
      <c r="V1180" s="6">
        <v>0.88387438538211849</v>
      </c>
      <c r="W1180" s="6">
        <v>1.0499955070176388</v>
      </c>
      <c r="X1180" s="6">
        <v>1.4419610370485441</v>
      </c>
      <c r="Y1180" s="6">
        <v>2.9134714700424289</v>
      </c>
      <c r="Z1180" s="6">
        <v>-13.913713058066834</v>
      </c>
      <c r="AA1180" s="6">
        <v>-2.065619009026332</v>
      </c>
      <c r="AB1180" s="6">
        <v>-1.1295996636848664</v>
      </c>
      <c r="AC1180" s="6">
        <v>-0.77850866304295452</v>
      </c>
      <c r="AD1180" s="6">
        <v>-0.5989884478940275</v>
      </c>
      <c r="AE1180" s="6">
        <v>-0.48954587786960058</v>
      </c>
      <c r="AF1180" s="6">
        <v>-0.41557007148438146</v>
      </c>
      <c r="AG1180" s="6">
        <v>-0.36222459970284615</v>
      </c>
      <c r="AH1180" s="6">
        <v>-0.32193550732120141</v>
      </c>
      <c r="AI1180" s="6">
        <v>-0.29043207565908141</v>
      </c>
    </row>
    <row r="1181" spans="3:56" ht="15" customHeight="1">
      <c r="C1181" s="443"/>
      <c r="D1181" s="88" t="str">
        <v>Tanzania w 50/50 sharing</v>
      </c>
      <c r="E1181" s="11" t="s">
        <v>30</v>
      </c>
      <c r="F1181" s="99">
        <f>F1180+1</f>
        <v>2</v>
      </c>
      <c r="G1181" s="6">
        <v>0.5140934614925029</v>
      </c>
      <c r="H1181" s="6">
        <v>0.51523018617165606</v>
      </c>
      <c r="I1181" s="6">
        <v>0.51650200649260047</v>
      </c>
      <c r="J1181" s="6">
        <v>0.51793452743213197</v>
      </c>
      <c r="K1181" s="6">
        <v>0.51956026095684904</v>
      </c>
      <c r="L1181" s="6">
        <v>0.52142112340829216</v>
      </c>
      <c r="M1181" s="6">
        <v>0.52666841681094978</v>
      </c>
      <c r="N1181" s="6">
        <v>0.52981707269863609</v>
      </c>
      <c r="O1181" s="6">
        <v>0.53357868425747645</v>
      </c>
      <c r="P1181" s="6">
        <v>0.53811881728039679</v>
      </c>
      <c r="Q1181" s="6">
        <v>0.54368747432035114</v>
      </c>
      <c r="R1181" s="6">
        <v>0.55719134414232085</v>
      </c>
      <c r="S1181" s="6">
        <v>0.56863949615113374</v>
      </c>
      <c r="T1181" s="6">
        <v>0.59252978560036984</v>
      </c>
      <c r="U1181" s="6">
        <v>0.62970590679001193</v>
      </c>
      <c r="V1181" s="6">
        <v>0.6928700976024631</v>
      </c>
      <c r="W1181" s="6">
        <v>0.84660944502270896</v>
      </c>
      <c r="X1181" s="6">
        <v>1.2482615969775013</v>
      </c>
      <c r="Y1181" s="6">
        <v>2.8094947565449107</v>
      </c>
      <c r="Z1181" s="6">
        <v>-8.2251196247434493</v>
      </c>
      <c r="AA1181" s="6">
        <v>-1.2200609935596047</v>
      </c>
      <c r="AB1181" s="6">
        <v>-0.66664958688949316</v>
      </c>
      <c r="AC1181" s="6">
        <v>-0.44430353096770986</v>
      </c>
      <c r="AD1181" s="6">
        <v>-0.33211003157079444</v>
      </c>
      <c r="AE1181" s="6">
        <v>-0.27142941517356856</v>
      </c>
      <c r="AF1181" s="6">
        <v>-0.23041340532534363</v>
      </c>
      <c r="AG1181" s="6">
        <v>-0.20083591907861267</v>
      </c>
      <c r="AH1181" s="6">
        <v>-0.17849756427520008</v>
      </c>
      <c r="AI1181" s="6">
        <v>-0.16103043378421605</v>
      </c>
    </row>
    <row r="1182" spans="3:56" ht="15" customHeight="1">
      <c r="C1182" s="443"/>
      <c r="D1182" s="88" t="str">
        <v>Ecuador</v>
      </c>
      <c r="E1182" s="11" t="s">
        <v>30</v>
      </c>
      <c r="F1182" s="99">
        <f>F1181+1</f>
        <v>3</v>
      </c>
      <c r="G1182" s="6">
        <v>0.55984371655577392</v>
      </c>
      <c r="H1182" s="6">
        <v>0.56277916453708443</v>
      </c>
      <c r="I1182" s="6">
        <v>0.56611729781381637</v>
      </c>
      <c r="J1182" s="6">
        <v>0.57008182086130876</v>
      </c>
      <c r="K1182" s="6">
        <v>0.57464905372667807</v>
      </c>
      <c r="L1182" s="6">
        <v>0.57994803005578743</v>
      </c>
      <c r="M1182" s="6">
        <v>0.58607594940485941</v>
      </c>
      <c r="N1182" s="6">
        <v>0.59327228227362971</v>
      </c>
      <c r="O1182" s="6">
        <v>0.60228342437885152</v>
      </c>
      <c r="P1182" s="6">
        <v>0.61313119813480721</v>
      </c>
      <c r="Q1182" s="6">
        <v>0.62701128596758471</v>
      </c>
      <c r="R1182" s="6">
        <v>0.64491907707780771</v>
      </c>
      <c r="S1182" s="6">
        <v>0.66887138359973186</v>
      </c>
      <c r="T1182" s="6">
        <v>0.70330514504995889</v>
      </c>
      <c r="U1182" s="6">
        <v>0.75453598517756615</v>
      </c>
      <c r="V1182" s="6">
        <v>0.83894038949549998</v>
      </c>
      <c r="W1182" s="6">
        <v>0.99009304918728569</v>
      </c>
      <c r="X1182" s="6">
        <v>1.3283190424941207</v>
      </c>
      <c r="Y1182" s="6">
        <v>2.5156595322205328</v>
      </c>
      <c r="Z1182" s="6">
        <v>-10.898257070618767</v>
      </c>
      <c r="AA1182" s="6">
        <v>-1.5626926305784454</v>
      </c>
      <c r="AB1182" s="6">
        <v>-0.85458646655123127</v>
      </c>
      <c r="AC1182" s="6">
        <v>-0.57968997812846534</v>
      </c>
      <c r="AD1182" s="6">
        <v>-0.44470075762606937</v>
      </c>
      <c r="AE1182" s="6">
        <v>-0.36354516208925663</v>
      </c>
      <c r="AF1182" s="6">
        <v>-0.30868944533143133</v>
      </c>
      <c r="AG1182" s="6">
        <v>-0.26913186247627296</v>
      </c>
      <c r="AH1182" s="6">
        <v>-0.23925605377459244</v>
      </c>
      <c r="AI1182" s="6">
        <v>-0.21589512797193647</v>
      </c>
    </row>
    <row r="1183" spans="3:56" ht="15" customHeight="1">
      <c r="C1183" s="443"/>
      <c r="D1183" s="88" t="str">
        <v>Philippines FTAA</v>
      </c>
      <c r="E1183" s="11" t="s">
        <v>30</v>
      </c>
      <c r="F1183" s="99">
        <f>F1182+1</f>
        <v>4</v>
      </c>
      <c r="G1183" s="6">
        <v>0.53803514824057497</v>
      </c>
      <c r="H1183" s="6">
        <v>0.54146821560437752</v>
      </c>
      <c r="I1183" s="6">
        <v>0.54530929068309242</v>
      </c>
      <c r="J1183" s="6">
        <v>0.54963570408438633</v>
      </c>
      <c r="K1183" s="6">
        <v>0.55454564649023219</v>
      </c>
      <c r="L1183" s="6">
        <v>0.56016571110898872</v>
      </c>
      <c r="M1183" s="6">
        <v>0.56666196381289069</v>
      </c>
      <c r="N1183" s="6">
        <v>0.57425662862345417</v>
      </c>
      <c r="O1183" s="6">
        <v>0.58325401856198811</v>
      </c>
      <c r="P1183" s="6">
        <v>0.5511480928128607</v>
      </c>
      <c r="Q1183" s="6">
        <v>0.56620758383157266</v>
      </c>
      <c r="R1183" s="6">
        <v>0.58775513251578804</v>
      </c>
      <c r="S1183" s="6">
        <v>0.61637923098213909</v>
      </c>
      <c r="T1183" s="6">
        <v>0.62355669587388196</v>
      </c>
      <c r="U1183" s="6">
        <v>0.6861523194303667</v>
      </c>
      <c r="V1183" s="6">
        <v>0.7486097863174398</v>
      </c>
      <c r="W1183" s="6">
        <v>0.89420958543142481</v>
      </c>
      <c r="X1183" s="6">
        <v>1.1972977000505156</v>
      </c>
      <c r="Y1183" s="6">
        <v>2.3581424910130484</v>
      </c>
      <c r="Z1183" s="6">
        <v>-10.526852387033353</v>
      </c>
      <c r="AA1183" s="6">
        <v>-1.5228882442215619</v>
      </c>
      <c r="AB1183" s="6">
        <v>-0.82526227734102275</v>
      </c>
      <c r="AC1183" s="6">
        <v>-0.56767405061069498</v>
      </c>
      <c r="AD1183" s="6">
        <v>-0.43188295256887627</v>
      </c>
      <c r="AE1183" s="6">
        <v>-0.34990976185154771</v>
      </c>
      <c r="AF1183" s="6">
        <v>-0.2945014058166861</v>
      </c>
      <c r="AG1183" s="6">
        <v>-0.25454530344009124</v>
      </c>
      <c r="AH1183" s="6">
        <v>-0.22436851343149114</v>
      </c>
      <c r="AI1183" s="6">
        <v>-0.20077223995844592</v>
      </c>
    </row>
    <row r="1184" spans="3:56" ht="15" customHeight="1">
      <c r="C1184" s="443"/>
      <c r="D1184" s="88" t="str">
        <v>Burkina Faso</v>
      </c>
      <c r="E1184" s="11" t="s">
        <v>30</v>
      </c>
      <c r="F1184" s="99">
        <v>5</v>
      </c>
      <c r="G1184" s="6">
        <v>0.45013854121147034</v>
      </c>
      <c r="H1184" s="6">
        <v>0.45510803720191428</v>
      </c>
      <c r="I1184" s="6">
        <v>0.4606681399263548</v>
      </c>
      <c r="J1184" s="6">
        <v>0.46693078838977392</v>
      </c>
      <c r="K1184" s="6">
        <v>0.47403811735058243</v>
      </c>
      <c r="L1184" s="6">
        <v>0.48217337530777282</v>
      </c>
      <c r="M1184" s="6">
        <v>0.49157694894729254</v>
      </c>
      <c r="N1184" s="6">
        <v>0.50257051601876923</v>
      </c>
      <c r="O1184" s="6">
        <v>0.51567861327342757</v>
      </c>
      <c r="P1184" s="6">
        <v>0.53154303054768071</v>
      </c>
      <c r="Q1184" s="6">
        <v>0.55100138088522777</v>
      </c>
      <c r="R1184" s="6">
        <v>0.57571238524687374</v>
      </c>
      <c r="S1184" s="6">
        <v>0.60822832443171326</v>
      </c>
      <c r="T1184" s="6">
        <v>0.65207113941485695</v>
      </c>
      <c r="U1184" s="6">
        <v>0.71509302734290037</v>
      </c>
      <c r="V1184" s="6">
        <v>0.81366391835596463</v>
      </c>
      <c r="W1184" s="6">
        <v>0.98144621083878469</v>
      </c>
      <c r="X1184" s="6">
        <v>1.3605871081336154</v>
      </c>
      <c r="Y1184" s="6">
        <v>2.761101409949541</v>
      </c>
      <c r="Z1184" s="6">
        <v>-13.357480174227236</v>
      </c>
      <c r="AA1184" s="6">
        <v>-1.9904803945125522</v>
      </c>
      <c r="AB1184" s="6">
        <v>-1.0924683051194268</v>
      </c>
      <c r="AC1184" s="6">
        <v>-0.75741584809923801</v>
      </c>
      <c r="AD1184" s="6">
        <v>-0.58502795580261768</v>
      </c>
      <c r="AE1184" s="6">
        <v>-0.47971504876468513</v>
      </c>
      <c r="AF1184" s="6">
        <v>-0.40853061642575272</v>
      </c>
      <c r="AG1184" s="6">
        <v>-0.35719806174095681</v>
      </c>
      <c r="AH1184" s="6">
        <v>-0.31842922215976066</v>
      </c>
      <c r="AI1184" s="6">
        <v>-0.28811452862443687</v>
      </c>
    </row>
    <row r="1185" spans="3:56" ht="15" customHeight="1">
      <c r="C1185" s="443"/>
      <c r="D1185" s="88" t="str">
        <v>DRC</v>
      </c>
      <c r="E1185" s="11" t="s">
        <v>30</v>
      </c>
      <c r="F1185" s="99">
        <v>6</v>
      </c>
      <c r="G1185" s="6">
        <v>0.48529067109756241</v>
      </c>
      <c r="H1185" s="6">
        <v>0.48905727091528123</v>
      </c>
      <c r="I1185" s="6">
        <v>0.49327151758106969</v>
      </c>
      <c r="J1185" s="6">
        <v>0.49801825459546967</v>
      </c>
      <c r="K1185" s="6">
        <v>0.50340521215006451</v>
      </c>
      <c r="L1185" s="6">
        <v>0.50957128235065918</v>
      </c>
      <c r="M1185" s="6">
        <v>0.51679014067704265</v>
      </c>
      <c r="N1185" s="6">
        <v>0.52530533332071261</v>
      </c>
      <c r="O1185" s="6">
        <v>0.5354790336565115</v>
      </c>
      <c r="P1185" s="6">
        <v>0.54775965917809932</v>
      </c>
      <c r="Q1185" s="6">
        <v>0.56282234377799933</v>
      </c>
      <c r="R1185" s="6">
        <v>0.58197722299588894</v>
      </c>
      <c r="S1185" s="6">
        <v>0.60715370312421491</v>
      </c>
      <c r="T1185" s="6">
        <v>0.64123250181691738</v>
      </c>
      <c r="U1185" s="6">
        <v>0.69008885164360523</v>
      </c>
      <c r="V1185" s="6">
        <v>0.76550905090552046</v>
      </c>
      <c r="W1185" s="6">
        <v>0.88929325433478057</v>
      </c>
      <c r="X1185" s="6">
        <v>1.1652434623558667</v>
      </c>
      <c r="Y1185" s="6">
        <v>2.1385556353027204</v>
      </c>
      <c r="Z1185" s="6">
        <v>-9.0569825158854975</v>
      </c>
      <c r="AA1185" s="6">
        <v>-1.2874201942815586</v>
      </c>
      <c r="AB1185" s="6">
        <v>-0.70607675581627261</v>
      </c>
      <c r="AC1185" s="6">
        <v>-0.49133149451879171</v>
      </c>
      <c r="AD1185" s="6">
        <v>-0.37954312949921809</v>
      </c>
      <c r="AE1185" s="6">
        <v>-0.31098676333790248</v>
      </c>
      <c r="AF1185" s="6">
        <v>-0.26464727708048247</v>
      </c>
      <c r="AG1185" s="6">
        <v>-0.2312309227707581</v>
      </c>
      <c r="AH1185" s="6">
        <v>-0.20599326827300071</v>
      </c>
      <c r="AI1185" s="6">
        <v>-0.18625907529960617</v>
      </c>
    </row>
    <row r="1186" spans="3:56" ht="15" customHeight="1">
      <c r="C1186" s="443"/>
      <c r="D1186" s="88" t="str">
        <v>Ghana</v>
      </c>
      <c r="E1186" s="11" t="s">
        <v>30</v>
      </c>
      <c r="F1186" s="99">
        <f>F1185+1</f>
        <v>7</v>
      </c>
      <c r="G1186" s="6">
        <v>0.51651124267828386</v>
      </c>
      <c r="H1186" s="6">
        <v>0.52036708608661897</v>
      </c>
      <c r="I1186" s="6">
        <v>0.52468118262295294</v>
      </c>
      <c r="J1186" s="6">
        <v>0.52954038601960085</v>
      </c>
      <c r="K1186" s="6">
        <v>0.53505497896365395</v>
      </c>
      <c r="L1186" s="6">
        <v>0.54136714438840905</v>
      </c>
      <c r="M1186" s="6">
        <v>0.54873166878141066</v>
      </c>
      <c r="N1186" s="6">
        <v>0.55756726798108058</v>
      </c>
      <c r="O1186" s="6">
        <v>0.56803479134425128</v>
      </c>
      <c r="P1186" s="6">
        <v>0.58063236174785449</v>
      </c>
      <c r="Q1186" s="6">
        <v>0.5960837920826485</v>
      </c>
      <c r="R1186" s="6">
        <v>0.61555502581489796</v>
      </c>
      <c r="S1186" s="6">
        <v>0.64103647840697664</v>
      </c>
      <c r="T1186" s="6">
        <v>0.67526175879172901</v>
      </c>
      <c r="U1186" s="6">
        <v>0.72475004176540547</v>
      </c>
      <c r="V1186" s="6">
        <v>0.80186285847373817</v>
      </c>
      <c r="W1186" s="6">
        <v>0.94028550407232347</v>
      </c>
      <c r="X1186" s="6">
        <v>1.2805413674747776</v>
      </c>
      <c r="Y1186" s="6">
        <v>2.4631699942684069</v>
      </c>
      <c r="Z1186" s="6">
        <v>-10.940889771858174</v>
      </c>
      <c r="AA1186" s="6">
        <v>-1.5751377830529805</v>
      </c>
      <c r="AB1186" s="6">
        <v>-0.86130063677077495</v>
      </c>
      <c r="AC1186" s="6">
        <v>-0.59334865055849451</v>
      </c>
      <c r="AD1186" s="6">
        <v>-0.45645857193604411</v>
      </c>
      <c r="AE1186" s="6">
        <v>-0.37302942219376717</v>
      </c>
      <c r="AF1186" s="6">
        <v>-0.31663693591680336</v>
      </c>
      <c r="AG1186" s="6">
        <v>-0.27597115703075592</v>
      </c>
      <c r="AH1186" s="6">
        <v>-0.24525838483855991</v>
      </c>
      <c r="AI1186" s="6">
        <v>-0.22124300840005007</v>
      </c>
    </row>
    <row r="1187" spans="3:56" ht="15" customHeight="1">
      <c r="C1187" s="443"/>
      <c r="D1187" s="88" t="str">
        <v>South Africa (gold)</v>
      </c>
      <c r="E1187" s="11" t="s">
        <v>30</v>
      </c>
      <c r="F1187" s="99">
        <f>F1186+1</f>
        <v>8</v>
      </c>
      <c r="G1187" s="6">
        <v>0.51279111308305803</v>
      </c>
      <c r="H1187" s="6">
        <v>0.51613471668253685</v>
      </c>
      <c r="I1187" s="6">
        <v>0.51987569555014401</v>
      </c>
      <c r="J1187" s="6">
        <v>0.52408936510231274</v>
      </c>
      <c r="K1187" s="6">
        <v>0.52887135722822198</v>
      </c>
      <c r="L1187" s="6">
        <v>0.53520470365166939</v>
      </c>
      <c r="M1187" s="6">
        <v>0.54322357723730663</v>
      </c>
      <c r="N1187" s="6">
        <v>0.5511959387670915</v>
      </c>
      <c r="O1187" s="6">
        <v>0.56064078553829688</v>
      </c>
      <c r="P1187" s="6">
        <v>0.57220772435515033</v>
      </c>
      <c r="Q1187" s="6">
        <v>0.58048530975752399</v>
      </c>
      <c r="R1187" s="6">
        <v>0.59283367375393414</v>
      </c>
      <c r="S1187" s="6">
        <v>0.60767992757602218</v>
      </c>
      <c r="T1187" s="6">
        <v>0.62698875306242519</v>
      </c>
      <c r="U1187" s="6">
        <v>0.66023724645798287</v>
      </c>
      <c r="V1187" s="6">
        <v>0.70938445141698059</v>
      </c>
      <c r="W1187" s="6">
        <v>0.79978205814368741</v>
      </c>
      <c r="X1187" s="6">
        <v>1.0064938459640167</v>
      </c>
      <c r="Y1187" s="6">
        <v>1.7957376518427262</v>
      </c>
      <c r="Z1187" s="6">
        <v>-7.2847031442042169</v>
      </c>
      <c r="AA1187" s="6">
        <v>-0.98254190282047638</v>
      </c>
      <c r="AB1187" s="6">
        <v>-0.4940495970113829</v>
      </c>
      <c r="AC1187" s="6">
        <v>-0.30567475854130349</v>
      </c>
      <c r="AD1187" s="6">
        <v>-0.23716667592197441</v>
      </c>
      <c r="AE1187" s="6">
        <v>-0.19730117875458583</v>
      </c>
      <c r="AF1187" s="6">
        <v>-0.17035478760855347</v>
      </c>
      <c r="AG1187" s="6">
        <v>-0.15092319208109878</v>
      </c>
      <c r="AH1187" s="6">
        <v>-0.13624750694451404</v>
      </c>
      <c r="AI1187" s="6">
        <v>-0.12477208229568722</v>
      </c>
    </row>
    <row r="1188" spans="3:56" ht="15" customHeight="1">
      <c r="C1188" s="443"/>
      <c r="D1188" s="88" t="str">
        <v>Indonesia</v>
      </c>
      <c r="E1188" s="11" t="s">
        <v>30</v>
      </c>
      <c r="F1188" s="99">
        <v>9</v>
      </c>
      <c r="G1188" s="6">
        <v>0.45942394814170839</v>
      </c>
      <c r="H1188" s="6">
        <v>0.46402203135407255</v>
      </c>
      <c r="I1188" s="6">
        <v>0.46916658022692259</v>
      </c>
      <c r="J1188" s="6">
        <v>0.47496116760961898</v>
      </c>
      <c r="K1188" s="6">
        <v>0.48153730531901379</v>
      </c>
      <c r="L1188" s="6">
        <v>0.48906454613239653</v>
      </c>
      <c r="M1188" s="6">
        <v>0.4978330998033999</v>
      </c>
      <c r="N1188" s="6">
        <v>0.50820989639183367</v>
      </c>
      <c r="O1188" s="6">
        <v>0.52050327438122468</v>
      </c>
      <c r="P1188" s="6">
        <v>0.53529824443730756</v>
      </c>
      <c r="Q1188" s="6">
        <v>0.55344487444634016</v>
      </c>
      <c r="R1188" s="6">
        <v>0.57648367977584314</v>
      </c>
      <c r="S1188" s="6">
        <v>0.60655749408220327</v>
      </c>
      <c r="T1188" s="6">
        <v>0.64750430345207921</v>
      </c>
      <c r="U1188" s="6">
        <v>0.7062506934730346</v>
      </c>
      <c r="V1188" s="6">
        <v>0.79693205367604125</v>
      </c>
      <c r="W1188" s="6">
        <v>0.94955141754505268</v>
      </c>
      <c r="X1188" s="6">
        <v>1.2848361912458601</v>
      </c>
      <c r="Y1188" s="6">
        <v>2.4610182831495733</v>
      </c>
      <c r="Z1188" s="6">
        <v>-10.547037776079259</v>
      </c>
      <c r="AA1188" s="6">
        <v>-1.5181865984033645</v>
      </c>
      <c r="AB1188" s="6">
        <v>-0.83495016680339285</v>
      </c>
      <c r="AC1188" s="6">
        <v>-0.57190557529537278</v>
      </c>
      <c r="AD1188" s="6">
        <v>-0.44146368431412836</v>
      </c>
      <c r="AE1188" s="6">
        <v>-0.36277099776960187</v>
      </c>
      <c r="AF1188" s="6">
        <v>-0.30958004161377201</v>
      </c>
      <c r="AG1188" s="6">
        <v>-0.27122295178540545</v>
      </c>
      <c r="AH1188" s="6">
        <v>-0.24225381375031899</v>
      </c>
      <c r="AI1188" s="6">
        <v>-0.21960184503000474</v>
      </c>
    </row>
    <row r="1189" spans="3:56" ht="15" customHeight="1">
      <c r="C1189" s="132"/>
      <c r="D1189" s="88" t="str">
        <v>Peru</v>
      </c>
      <c r="E1189" s="11" t="s">
        <v>30</v>
      </c>
      <c r="F1189" s="99">
        <v>10</v>
      </c>
      <c r="G1189" s="6">
        <v>0.45395212868385693</v>
      </c>
      <c r="H1189" s="6">
        <v>0.45323498911131549</v>
      </c>
      <c r="I1189" s="6">
        <v>0.45243262007856888</v>
      </c>
      <c r="J1189" s="6">
        <v>0.45152886785688073</v>
      </c>
      <c r="K1189" s="6">
        <v>0.45061543867128556</v>
      </c>
      <c r="L1189" s="6">
        <v>0.44985181154352433</v>
      </c>
      <c r="M1189" s="6">
        <v>0.44944176872121777</v>
      </c>
      <c r="N1189" s="6">
        <v>0.4495452497356201</v>
      </c>
      <c r="O1189" s="6">
        <v>0.45037281672661544</v>
      </c>
      <c r="P1189" s="6">
        <v>0.4521158736296923</v>
      </c>
      <c r="Q1189" s="6">
        <v>0.45504753775782231</v>
      </c>
      <c r="R1189" s="6">
        <v>0.45957421526188769</v>
      </c>
      <c r="S1189" s="6">
        <v>0.46648969861694989</v>
      </c>
      <c r="T1189" s="6">
        <v>0.47694006246341325</v>
      </c>
      <c r="U1189" s="6">
        <v>0.49344802837411617</v>
      </c>
      <c r="V1189" s="6">
        <v>0.5204828646898233</v>
      </c>
      <c r="W1189" s="6">
        <v>0.56526332864663231</v>
      </c>
      <c r="X1189" s="6">
        <v>0.67014960871060747</v>
      </c>
      <c r="Y1189" s="6">
        <v>1.0691332586277815</v>
      </c>
      <c r="Z1189" s="6">
        <v>-3.3357536587074503</v>
      </c>
      <c r="AA1189" s="6">
        <v>-0.28435310883058534</v>
      </c>
      <c r="AB1189" s="6">
        <v>-0.11030722066874947</v>
      </c>
      <c r="AC1189" s="6">
        <v>-7.2599396946386702E-2</v>
      </c>
      <c r="AD1189" s="6">
        <v>-5.4792838550514221E-2</v>
      </c>
      <c r="AE1189" s="6">
        <v>-4.4197800626657943E-2</v>
      </c>
      <c r="AF1189" s="6">
        <v>-3.7036268565374009E-2</v>
      </c>
      <c r="AG1189" s="6">
        <v>-3.1871940859388825E-2</v>
      </c>
      <c r="AH1189" s="6">
        <v>-2.7971589637684126E-2</v>
      </c>
      <c r="AI1189" s="6">
        <v>-2.4921770420927084E-2</v>
      </c>
    </row>
    <row r="1190" spans="3:56" ht="15" customHeight="1">
      <c r="C1190" s="132"/>
      <c r="D1190" s="88" t="str">
        <v>Western Australia</v>
      </c>
      <c r="E1190" s="11" t="s">
        <v>30</v>
      </c>
      <c r="F1190" s="99">
        <v>11</v>
      </c>
      <c r="G1190" s="6">
        <v>0.34960682570142676</v>
      </c>
      <c r="H1190" s="6">
        <v>0.35337085738293539</v>
      </c>
      <c r="I1190" s="6">
        <v>0.35758223069875672</v>
      </c>
      <c r="J1190" s="6">
        <v>0.36232573130159262</v>
      </c>
      <c r="K1190" s="6">
        <v>0.36770901593062366</v>
      </c>
      <c r="L1190" s="6">
        <v>0.37387088199249263</v>
      </c>
      <c r="M1190" s="6">
        <v>0.38099340491365313</v>
      </c>
      <c r="N1190" s="6">
        <v>0.38932023218736472</v>
      </c>
      <c r="O1190" s="6">
        <v>0.39924828789549732</v>
      </c>
      <c r="P1190" s="6">
        <v>0.41128882395261862</v>
      </c>
      <c r="Q1190" s="6">
        <v>0.42605702910009419</v>
      </c>
      <c r="R1190" s="6">
        <v>0.44459819508718218</v>
      </c>
      <c r="S1190" s="6">
        <v>0.4687610174033966</v>
      </c>
      <c r="T1190" s="6">
        <v>0.5012571632736661</v>
      </c>
      <c r="U1190" s="6">
        <v>0.54721360818270881</v>
      </c>
      <c r="V1190" s="6">
        <v>0.61717795415680943</v>
      </c>
      <c r="W1190" s="6">
        <v>0.73359455599652212</v>
      </c>
      <c r="X1190" s="6">
        <v>0.98202198370548699</v>
      </c>
      <c r="Y1190" s="6">
        <v>1.8361325163436151</v>
      </c>
      <c r="Z1190" s="6">
        <v>-7.4941679257307161</v>
      </c>
      <c r="AA1190" s="6">
        <v>-1.0424425728475668</v>
      </c>
      <c r="AB1190" s="6">
        <v>-0.57391112316113013</v>
      </c>
      <c r="AC1190" s="6">
        <v>-0.39817288110755533</v>
      </c>
      <c r="AD1190" s="6">
        <v>-0.30831243938354963</v>
      </c>
      <c r="AE1190" s="6">
        <v>-0.25352962252324718</v>
      </c>
      <c r="AF1190" s="6">
        <v>-0.21650012794549625</v>
      </c>
      <c r="AG1190" s="6">
        <v>-0.18979739965355261</v>
      </c>
      <c r="AH1190" s="6">
        <v>-0.16963020174401128</v>
      </c>
      <c r="AI1190" s="6">
        <v>-0.15386077375240093</v>
      </c>
    </row>
    <row r="1191" spans="3:56" ht="15" customHeight="1">
      <c r="C1191" s="132"/>
    </row>
    <row r="1192" spans="3:56" ht="15" customHeight="1">
      <c r="C1192" s="169"/>
      <c r="D1192" s="463" t="s">
        <v>759</v>
      </c>
      <c r="E1192" s="463"/>
      <c r="F1192" s="556"/>
      <c r="G1192" s="556"/>
      <c r="H1192" s="556"/>
      <c r="I1192" s="556"/>
      <c r="J1192" s="556"/>
      <c r="K1192" s="556"/>
      <c r="L1192" s="556"/>
      <c r="M1192" s="556"/>
      <c r="N1192" s="556"/>
      <c r="O1192" s="556"/>
      <c r="P1192" s="556"/>
      <c r="Q1192" s="556"/>
      <c r="R1192" s="556"/>
      <c r="S1192" s="556"/>
      <c r="T1192" s="556"/>
      <c r="U1192" s="556"/>
      <c r="V1192" s="556"/>
      <c r="W1192" s="556"/>
      <c r="X1192" s="556"/>
      <c r="Y1192" s="556"/>
      <c r="Z1192" s="556"/>
      <c r="AA1192" s="556"/>
      <c r="AB1192" s="556"/>
      <c r="AC1192" s="556"/>
      <c r="AD1192" s="556"/>
      <c r="AE1192" s="556"/>
      <c r="AF1192" s="556"/>
      <c r="AG1192" s="556"/>
      <c r="AH1192" s="556"/>
      <c r="AI1192" s="556"/>
      <c r="AJ1192" s="464"/>
      <c r="AK1192" s="464"/>
      <c r="AL1192" s="464"/>
      <c r="AM1192" s="464"/>
      <c r="AN1192" s="464"/>
      <c r="AO1192" s="464"/>
      <c r="AP1192" s="464"/>
      <c r="AQ1192" s="464"/>
      <c r="AR1192" s="464"/>
      <c r="AS1192" s="464"/>
      <c r="AT1192" s="464"/>
      <c r="AU1192" s="464"/>
      <c r="AV1192" s="464"/>
      <c r="AW1192" s="464"/>
      <c r="AX1192" s="464"/>
      <c r="AY1192" s="464"/>
      <c r="AZ1192" s="464"/>
      <c r="BA1192" s="464"/>
      <c r="BB1192" s="464"/>
      <c r="BC1192" s="464"/>
      <c r="BD1192" s="464"/>
    </row>
    <row r="1193" spans="3:56" ht="15" customHeight="1">
      <c r="C1193" s="443"/>
      <c r="E1193" s="11" t="s">
        <v>298</v>
      </c>
      <c r="F1193" s="62">
        <f>I955</f>
        <v>0.4943408889267713</v>
      </c>
      <c r="G1193" s="442">
        <f>G1114</f>
        <v>-799.99999999999977</v>
      </c>
      <c r="H1193" s="442">
        <f t="shared" ref="H1193:AI1193" si="804">H1114</f>
        <v>-639.99999999999989</v>
      </c>
      <c r="I1193" s="442">
        <f t="shared" si="804"/>
        <v>-479.99999999999983</v>
      </c>
      <c r="J1193" s="442">
        <f t="shared" si="804"/>
        <v>-319.99999999999977</v>
      </c>
      <c r="K1193" s="442">
        <f t="shared" si="804"/>
        <v>-159.99999999999977</v>
      </c>
      <c r="L1193" s="442">
        <f t="shared" si="804"/>
        <v>2.2204460492503131E-13</v>
      </c>
      <c r="M1193" s="442">
        <f t="shared" si="804"/>
        <v>160.00000000000023</v>
      </c>
      <c r="N1193" s="442">
        <f t="shared" si="804"/>
        <v>320.00000000000023</v>
      </c>
      <c r="O1193" s="442">
        <f t="shared" si="804"/>
        <v>480.00000000000023</v>
      </c>
      <c r="P1193" s="442">
        <f t="shared" si="804"/>
        <v>640.00000000000023</v>
      </c>
      <c r="Q1193" s="442">
        <f t="shared" si="804"/>
        <v>800.00000000000023</v>
      </c>
      <c r="R1193" s="442">
        <f t="shared" si="804"/>
        <v>960.00000000000011</v>
      </c>
      <c r="S1193" s="442">
        <f t="shared" si="804"/>
        <v>1120</v>
      </c>
      <c r="T1193" s="442">
        <f t="shared" si="804"/>
        <v>1280</v>
      </c>
      <c r="U1193" s="442">
        <f t="shared" si="804"/>
        <v>1440</v>
      </c>
      <c r="V1193" s="442">
        <f t="shared" si="804"/>
        <v>1600</v>
      </c>
      <c r="W1193" s="442">
        <f t="shared" si="804"/>
        <v>1760.0000000000002</v>
      </c>
      <c r="X1193" s="442">
        <f t="shared" si="804"/>
        <v>1920.0000000000002</v>
      </c>
      <c r="Y1193" s="442">
        <f t="shared" si="804"/>
        <v>2080.0000000000005</v>
      </c>
      <c r="Z1193" s="442">
        <f t="shared" si="804"/>
        <v>2240.0000000000005</v>
      </c>
      <c r="AA1193" s="442">
        <f t="shared" si="804"/>
        <v>2400.0000000000009</v>
      </c>
      <c r="AB1193" s="442">
        <f t="shared" si="804"/>
        <v>2560.0000000000009</v>
      </c>
      <c r="AC1193" s="442">
        <f t="shared" si="804"/>
        <v>2720.0000000000009</v>
      </c>
      <c r="AD1193" s="442">
        <f t="shared" si="804"/>
        <v>2880.0000000000009</v>
      </c>
      <c r="AE1193" s="442">
        <f t="shared" si="804"/>
        <v>3040.0000000000014</v>
      </c>
      <c r="AF1193" s="442">
        <f t="shared" si="804"/>
        <v>3200.0000000000014</v>
      </c>
      <c r="AG1193" s="442">
        <f t="shared" si="804"/>
        <v>3360.0000000000014</v>
      </c>
      <c r="AH1193" s="442">
        <f t="shared" si="804"/>
        <v>3520.0000000000018</v>
      </c>
      <c r="AI1193" s="442">
        <f t="shared" si="804"/>
        <v>3680.0000000000018</v>
      </c>
    </row>
    <row r="1194" spans="3:56" ht="15" customHeight="1">
      <c r="C1194" s="19"/>
      <c r="D1194" s="88" t="str">
        <f t="array" ref="D1194:D1204">TRANSPOSE(Inputs!$G$15:$Q$15)</f>
        <v>Tanzania w/o sharing</v>
      </c>
      <c r="E1194" s="11" t="s">
        <v>30</v>
      </c>
      <c r="F1194" s="99">
        <v>1</v>
      </c>
      <c r="G1194" s="6">
        <f t="dataTable" ref="G1194:AI1204" dt2D="1" dtr="1" r1="E1277" r2="F992" ca="1"/>
        <v>1.434619715596286E-2</v>
      </c>
      <c r="H1194" s="6">
        <v>8.2117604088424723E-3</v>
      </c>
      <c r="I1194" s="6">
        <v>5.5746114446888714E-4</v>
      </c>
      <c r="J1194" s="6">
        <v>-9.261406110888425E-3</v>
      </c>
      <c r="K1194" s="6">
        <v>-2.2314228994635699E-2</v>
      </c>
      <c r="L1194" s="6">
        <v>-4.0513701358857963E-2</v>
      </c>
      <c r="M1194" s="6">
        <v>-6.7651226262003941E-2</v>
      </c>
      <c r="N1194" s="6">
        <v>-0.11245435515839743</v>
      </c>
      <c r="O1194" s="6">
        <v>-0.20049628842150996</v>
      </c>
      <c r="P1194" s="6">
        <v>-0.4527408097996396</v>
      </c>
      <c r="Q1194" s="6">
        <v>-7.7077677596742351</v>
      </c>
      <c r="R1194" s="6">
        <v>0.70205198651180822</v>
      </c>
      <c r="S1194" s="6">
        <v>0.50474546799271491</v>
      </c>
      <c r="T1194" s="6">
        <v>0.49268815979970237</v>
      </c>
      <c r="U1194" s="6">
        <v>0.49271851602196898</v>
      </c>
      <c r="V1194" s="441">
        <v>0.4943408889267713</v>
      </c>
      <c r="W1194" s="6">
        <v>0.4958398981922354</v>
      </c>
      <c r="X1194" s="6">
        <v>0.49694726249826016</v>
      </c>
      <c r="Y1194" s="6">
        <v>0.49817746414147474</v>
      </c>
      <c r="Z1194" s="6">
        <v>0.49917057315970065</v>
      </c>
      <c r="AA1194" s="37">
        <v>0.49996361272298495</v>
      </c>
      <c r="AB1194" s="37">
        <v>0.50061150852654146</v>
      </c>
      <c r="AC1194" s="37">
        <v>0.50115076663406866</v>
      </c>
      <c r="AD1194" s="37">
        <v>0.50160659760398818</v>
      </c>
      <c r="AE1194" s="37">
        <v>0.50199697155663336</v>
      </c>
      <c r="AF1194" s="37">
        <v>0.50233504335225765</v>
      </c>
      <c r="AG1194" s="37">
        <v>0.50263066419579827</v>
      </c>
      <c r="AH1194" s="37">
        <v>0.50289135745359403</v>
      </c>
      <c r="AI1194" s="37">
        <v>0.5031229678850363</v>
      </c>
    </row>
    <row r="1195" spans="3:56" ht="15" customHeight="1">
      <c r="C1195" s="19"/>
      <c r="D1195" s="88" t="str">
        <v>Tanzania w 50/50 sharing</v>
      </c>
      <c r="E1195" s="11" t="s">
        <v>30</v>
      </c>
      <c r="F1195" s="99">
        <f>F1194+1</f>
        <v>2</v>
      </c>
      <c r="G1195" s="6">
        <v>-9.1312406272013385E-4</v>
      </c>
      <c r="H1195" s="6">
        <v>-1.7760478503333484E-3</v>
      </c>
      <c r="I1195" s="6">
        <v>-2.8527688574965298E-3</v>
      </c>
      <c r="J1195" s="6">
        <v>-5.3132052594663899E-3</v>
      </c>
      <c r="K1195" s="6">
        <v>-1.2404400727413334E-2</v>
      </c>
      <c r="L1195" s="6">
        <v>-2.2463469910356304E-2</v>
      </c>
      <c r="M1195" s="6">
        <v>-3.7509997429766698E-2</v>
      </c>
      <c r="N1195" s="6">
        <v>-6.2351301649707758E-2</v>
      </c>
      <c r="O1195" s="6">
        <v>-0.11116656304268552</v>
      </c>
      <c r="P1195" s="6">
        <v>-0.25102471687515016</v>
      </c>
      <c r="Q1195" s="6">
        <v>-4.5220275086930144</v>
      </c>
      <c r="R1195" s="6">
        <v>0.43059077032616022</v>
      </c>
      <c r="S1195" s="6">
        <v>0.4190628014739412</v>
      </c>
      <c r="T1195" s="6">
        <v>0.40476228025592048</v>
      </c>
      <c r="U1195" s="6">
        <v>0.41473850964563874</v>
      </c>
      <c r="V1195" s="6">
        <v>0.42615964608095719</v>
      </c>
      <c r="W1195" s="6">
        <v>0.43800534992606577</v>
      </c>
      <c r="X1195" s="6">
        <v>0.44647233363127392</v>
      </c>
      <c r="Y1195" s="6">
        <v>0.45090129067883195</v>
      </c>
      <c r="Z1195" s="6">
        <v>0.45641074473005977</v>
      </c>
      <c r="AA1195" s="37">
        <v>0.46081027686050569</v>
      </c>
      <c r="AB1195" s="37">
        <v>0.46440459741763218</v>
      </c>
      <c r="AC1195" s="37">
        <v>0.46739623047165513</v>
      </c>
      <c r="AD1195" s="37">
        <v>0.46992503620980469</v>
      </c>
      <c r="AE1195" s="37">
        <v>0.47209070716377272</v>
      </c>
      <c r="AF1195" s="37">
        <v>0.47396622232859803</v>
      </c>
      <c r="AG1195" s="37">
        <v>0.47560623306677641</v>
      </c>
      <c r="AH1195" s="37">
        <v>0.4770524766301027</v>
      </c>
      <c r="AI1195" s="37">
        <v>0.47833737789108927</v>
      </c>
    </row>
    <row r="1196" spans="3:56" ht="15" customHeight="1">
      <c r="C1196" s="19"/>
      <c r="D1196" s="88" t="str">
        <v>Ecuador</v>
      </c>
      <c r="E1196" s="11" t="s">
        <v>30</v>
      </c>
      <c r="F1196" s="99">
        <f t="shared" ref="F1196:F1204" si="805">F1195+1</f>
        <v>3</v>
      </c>
      <c r="G1196" s="6">
        <v>8.0004809677616927E-3</v>
      </c>
      <c r="H1196" s="6">
        <v>3.3710867530526182E-3</v>
      </c>
      <c r="I1196" s="6">
        <v>-2.4052819981251754E-3</v>
      </c>
      <c r="J1196" s="6">
        <v>-9.8151566354804411E-3</v>
      </c>
      <c r="K1196" s="6">
        <v>-1.9665557778178203E-2</v>
      </c>
      <c r="L1196" s="6">
        <v>-3.3399912788560818E-2</v>
      </c>
      <c r="M1196" s="6">
        <v>-5.3879429648380169E-2</v>
      </c>
      <c r="N1196" s="6">
        <v>-8.7690414138715256E-2</v>
      </c>
      <c r="O1196" s="6">
        <v>-0.1541318550242832</v>
      </c>
      <c r="P1196" s="6">
        <v>-0.34448989050457873</v>
      </c>
      <c r="Q1196" s="6">
        <v>-5.8729575946775743</v>
      </c>
      <c r="R1196" s="6">
        <v>0.59612354205922957</v>
      </c>
      <c r="S1196" s="6">
        <v>0.49103525800780512</v>
      </c>
      <c r="T1196" s="6">
        <v>0.48315393757676256</v>
      </c>
      <c r="U1196" s="6">
        <v>0.48612101722106843</v>
      </c>
      <c r="V1196" s="6">
        <v>0.49147151688704949</v>
      </c>
      <c r="W1196" s="6">
        <v>0.49630780933707741</v>
      </c>
      <c r="X1196" s="6">
        <v>0.50034855696995384</v>
      </c>
      <c r="Y1196" s="6">
        <v>0.50375036421738406</v>
      </c>
      <c r="Z1196" s="6">
        <v>0.50647752962403259</v>
      </c>
      <c r="AA1196" s="37">
        <v>0.5090464682979956</v>
      </c>
      <c r="AB1196" s="37">
        <v>0.51118912173598341</v>
      </c>
      <c r="AC1196" s="37">
        <v>0.51297249991456317</v>
      </c>
      <c r="AD1196" s="37">
        <v>0.51447997656355193</v>
      </c>
      <c r="AE1196" s="37">
        <v>0.51577098059096671</v>
      </c>
      <c r="AF1196" s="37">
        <v>0.51688901637882745</v>
      </c>
      <c r="AG1196" s="37">
        <v>0.51796672896850593</v>
      </c>
      <c r="AH1196" s="37">
        <v>0.51893037936606301</v>
      </c>
      <c r="AI1196" s="37">
        <v>0.51978652534476932</v>
      </c>
    </row>
    <row r="1197" spans="3:56" ht="15" customHeight="1">
      <c r="C1197" s="19"/>
      <c r="D1197" s="88" t="str">
        <v>Philippines FTAA</v>
      </c>
      <c r="E1197" s="11" t="s">
        <v>30</v>
      </c>
      <c r="F1197" s="99">
        <f t="shared" si="805"/>
        <v>4</v>
      </c>
      <c r="G1197" s="6">
        <v>3.0482192302517752E-2</v>
      </c>
      <c r="H1197" s="6">
        <v>2.6126344555968919E-2</v>
      </c>
      <c r="I1197" s="6">
        <v>2.0691295899255183E-2</v>
      </c>
      <c r="J1197" s="6">
        <v>1.3719263653917093E-2</v>
      </c>
      <c r="K1197" s="6">
        <v>4.4509132758712554E-3</v>
      </c>
      <c r="L1197" s="6">
        <v>-8.4718918575076053E-3</v>
      </c>
      <c r="M1197" s="6">
        <v>-2.7741293690001771E-2</v>
      </c>
      <c r="N1197" s="6">
        <v>-5.9554419505228745E-2</v>
      </c>
      <c r="O1197" s="6">
        <v>-0.12206989931451218</v>
      </c>
      <c r="P1197" s="6">
        <v>-0.30117986088351556</v>
      </c>
      <c r="Q1197" s="6">
        <v>-5.4921950074300501</v>
      </c>
      <c r="R1197" s="6">
        <v>0.55281108521291256</v>
      </c>
      <c r="S1197" s="6">
        <v>0.43873407562165517</v>
      </c>
      <c r="T1197" s="6">
        <v>0.41267001459987684</v>
      </c>
      <c r="U1197" s="6">
        <v>0.44901942512726212</v>
      </c>
      <c r="V1197" s="6">
        <v>0.44381162879585007</v>
      </c>
      <c r="W1197" s="6">
        <v>0.47674615563504014</v>
      </c>
      <c r="X1197" s="6">
        <v>0.47722636218618925</v>
      </c>
      <c r="Y1197" s="6">
        <v>0.47758542136034027</v>
      </c>
      <c r="Z1197" s="6">
        <v>0.47786404291131912</v>
      </c>
      <c r="AA1197" s="37">
        <v>0.47808653400651113</v>
      </c>
      <c r="AB1197" s="37">
        <v>0.47826830431606093</v>
      </c>
      <c r="AC1197" s="37">
        <v>0.47841959579316962</v>
      </c>
      <c r="AD1197" s="37">
        <v>0.47854748138225639</v>
      </c>
      <c r="AE1197" s="37">
        <v>0.47865700268772415</v>
      </c>
      <c r="AF1197" s="37">
        <v>0.47875185036940898</v>
      </c>
      <c r="AG1197" s="37">
        <v>0.49341953639783426</v>
      </c>
      <c r="AH1197" s="37">
        <v>0.49380827709682062</v>
      </c>
      <c r="AI1197" s="37">
        <v>0.49415365005265671</v>
      </c>
    </row>
    <row r="1198" spans="3:56" ht="15" customHeight="1">
      <c r="C1198" s="19"/>
      <c r="D1198" s="88" t="str">
        <v>Burkina Faso</v>
      </c>
      <c r="E1198" s="11" t="s">
        <v>30</v>
      </c>
      <c r="F1198" s="99">
        <f t="shared" si="805"/>
        <v>5</v>
      </c>
      <c r="G1198" s="6">
        <v>-3.768221393476033E-3</v>
      </c>
      <c r="H1198" s="6">
        <v>-8.5925707092749815E-3</v>
      </c>
      <c r="I1198" s="6">
        <v>-1.4612196461604282E-2</v>
      </c>
      <c r="J1198" s="6">
        <v>-2.2334119024020448E-2</v>
      </c>
      <c r="K1198" s="6">
        <v>-3.25993446257044E-2</v>
      </c>
      <c r="L1198" s="6">
        <v>-4.6912086881862235E-2</v>
      </c>
      <c r="M1198" s="6">
        <v>-6.8254046232967408E-2</v>
      </c>
      <c r="N1198" s="6">
        <v>-0.10348889388844791</v>
      </c>
      <c r="O1198" s="6">
        <v>-0.17272834618191174</v>
      </c>
      <c r="P1198" s="6">
        <v>-0.37110282362612923</v>
      </c>
      <c r="Q1198" s="6">
        <v>-6.0717855296686496</v>
      </c>
      <c r="R1198" s="6">
        <v>0.53942891956699823</v>
      </c>
      <c r="S1198" s="6">
        <v>0.44227855684728018</v>
      </c>
      <c r="T1198" s="6">
        <v>0.42614098701485242</v>
      </c>
      <c r="U1198" s="6">
        <v>0.43550932005926007</v>
      </c>
      <c r="V1198" s="6">
        <v>0.43189252016832397</v>
      </c>
      <c r="W1198" s="6">
        <v>0.43014414974749487</v>
      </c>
      <c r="X1198" s="6">
        <v>0.42908438440141111</v>
      </c>
      <c r="Y1198" s="6">
        <v>0.42833521308009292</v>
      </c>
      <c r="Z1198" s="6">
        <v>0.42775387359478795</v>
      </c>
      <c r="AA1198" s="37">
        <v>0.42728964942293474</v>
      </c>
      <c r="AB1198" s="37">
        <v>0.42691038853006386</v>
      </c>
      <c r="AC1198" s="37">
        <v>0.42659472124185782</v>
      </c>
      <c r="AD1198" s="37">
        <v>0.42638241135860272</v>
      </c>
      <c r="AE1198" s="37">
        <v>0.42624350700504526</v>
      </c>
      <c r="AF1198" s="37">
        <v>0.42612321300512851</v>
      </c>
      <c r="AG1198" s="37">
        <v>0.42601802406541628</v>
      </c>
      <c r="AH1198" s="37">
        <v>0.42592526319291069</v>
      </c>
      <c r="AI1198" s="37">
        <v>0.42586928407263236</v>
      </c>
    </row>
    <row r="1199" spans="3:56" ht="15" customHeight="1">
      <c r="C1199" s="19"/>
      <c r="D1199" s="88" t="str">
        <v>DRC</v>
      </c>
      <c r="E1199" s="11" t="s">
        <v>30</v>
      </c>
      <c r="F1199" s="99">
        <f t="shared" si="805"/>
        <v>6</v>
      </c>
      <c r="G1199" s="6">
        <v>1.935994203688018E-3</v>
      </c>
      <c r="H1199" s="6">
        <v>-2.0391584561443247E-3</v>
      </c>
      <c r="I1199" s="6">
        <v>-6.9991913547165271E-3</v>
      </c>
      <c r="J1199" s="6">
        <v>-1.3361877595632839E-2</v>
      </c>
      <c r="K1199" s="6">
        <v>-2.1820186930879476E-2</v>
      </c>
      <c r="L1199" s="6">
        <v>-3.3613556715015508E-2</v>
      </c>
      <c r="M1199" s="6">
        <v>-5.1198839398164199E-2</v>
      </c>
      <c r="N1199" s="6">
        <v>-8.0231541884649676E-2</v>
      </c>
      <c r="O1199" s="6">
        <v>-0.13728325496196353</v>
      </c>
      <c r="P1199" s="6">
        <v>-0.30073925286675868</v>
      </c>
      <c r="Q1199" s="6">
        <v>-4.9822103952650085</v>
      </c>
      <c r="R1199" s="6">
        <v>0.49815063488742112</v>
      </c>
      <c r="S1199" s="6">
        <v>0.43675036770949632</v>
      </c>
      <c r="T1199" s="6">
        <v>0.43852579667890262</v>
      </c>
      <c r="U1199" s="6">
        <v>0.43953092781249592</v>
      </c>
      <c r="V1199" s="441">
        <v>0.44115816927862772</v>
      </c>
      <c r="W1199" s="6">
        <v>0.49982727721998166</v>
      </c>
      <c r="X1199" s="6">
        <v>0.51665521829159844</v>
      </c>
      <c r="Y1199" s="6">
        <v>0.52923777596261112</v>
      </c>
      <c r="Z1199" s="6">
        <v>0.53907955778564443</v>
      </c>
      <c r="AA1199" s="37">
        <v>0.5470054643135196</v>
      </c>
      <c r="AB1199" s="37">
        <v>0.5534807548494971</v>
      </c>
      <c r="AC1199" s="37">
        <v>0.55887028338317912</v>
      </c>
      <c r="AD1199" s="37">
        <v>0.56342601279109128</v>
      </c>
      <c r="AE1199" s="37">
        <v>0.56732754255433593</v>
      </c>
      <c r="AF1199" s="37">
        <v>0.57070634681062182</v>
      </c>
      <c r="AG1199" s="37">
        <v>0.57366088184528186</v>
      </c>
      <c r="AH1199" s="37">
        <v>0.57626633873469513</v>
      </c>
      <c r="AI1199" s="37">
        <v>0.57858113198774408</v>
      </c>
    </row>
    <row r="1200" spans="3:56" ht="15" customHeight="1">
      <c r="C1200" s="19"/>
      <c r="D1200" s="88" t="str">
        <v>Ghana</v>
      </c>
      <c r="E1200" s="11" t="s">
        <v>30</v>
      </c>
      <c r="F1200" s="99">
        <f t="shared" si="805"/>
        <v>7</v>
      </c>
      <c r="G1200" s="6">
        <v>5.8700293872701913E-3</v>
      </c>
      <c r="H1200" s="6">
        <v>1.0058062876428229E-3</v>
      </c>
      <c r="I1200" s="6">
        <v>-5.0635723412433857E-3</v>
      </c>
      <c r="J1200" s="6">
        <v>-1.2849317452740988E-2</v>
      </c>
      <c r="K1200" s="6">
        <v>-2.3199386286081279E-2</v>
      </c>
      <c r="L1200" s="6">
        <v>-3.7630424949351482E-2</v>
      </c>
      <c r="M1200" s="6">
        <v>-5.9148777968894804E-2</v>
      </c>
      <c r="N1200" s="6">
        <v>-9.4674845560303394E-2</v>
      </c>
      <c r="O1200" s="6">
        <v>-0.16448656963021302</v>
      </c>
      <c r="P1200" s="6">
        <v>-0.3645006342006743</v>
      </c>
      <c r="Q1200" s="6">
        <v>-6.1174975337983044</v>
      </c>
      <c r="R1200" s="6">
        <v>0.60132682240994861</v>
      </c>
      <c r="S1200" s="6">
        <v>0.45860718081540702</v>
      </c>
      <c r="T1200" s="6">
        <v>0.45763675962482708</v>
      </c>
      <c r="U1200" s="6">
        <v>0.46312877563212507</v>
      </c>
      <c r="V1200" s="6">
        <v>0.46722955717544978</v>
      </c>
      <c r="W1200" s="6">
        <v>0.47020840333192249</v>
      </c>
      <c r="X1200" s="6">
        <v>0.47235299784869816</v>
      </c>
      <c r="Y1200" s="6">
        <v>0.47432433544784158</v>
      </c>
      <c r="Z1200" s="6">
        <v>0.47587574985531833</v>
      </c>
      <c r="AA1200" s="37">
        <v>0.47711461989032833</v>
      </c>
      <c r="AB1200" s="37">
        <v>0.4781267493401008</v>
      </c>
      <c r="AC1200" s="37">
        <v>0.47896916722374949</v>
      </c>
      <c r="AD1200" s="37">
        <v>0.47968125695521763</v>
      </c>
      <c r="AE1200" s="37">
        <v>0.48029109108553231</v>
      </c>
      <c r="AF1200" s="37">
        <v>0.48081921986582465</v>
      </c>
      <c r="AG1200" s="37">
        <v>0.48128103264508915</v>
      </c>
      <c r="AH1200" s="37">
        <v>0.48168828227091448</v>
      </c>
      <c r="AI1200" s="37">
        <v>0.48205009930576848</v>
      </c>
    </row>
    <row r="1201" spans="3:56" ht="15" customHeight="1">
      <c r="C1201" s="19"/>
      <c r="D1201" s="88" t="str">
        <v>South Africa (gold)</v>
      </c>
      <c r="E1201" s="11" t="s">
        <v>30</v>
      </c>
      <c r="F1201" s="99">
        <f t="shared" si="805"/>
        <v>8</v>
      </c>
      <c r="G1201" s="6">
        <v>0.34971741719837179</v>
      </c>
      <c r="H1201" s="6">
        <v>0.35229860046426498</v>
      </c>
      <c r="I1201" s="6">
        <v>0.35551929536875038</v>
      </c>
      <c r="J1201" s="6">
        <v>0.35965077424681535</v>
      </c>
      <c r="K1201" s="6">
        <v>0.36514300269240346</v>
      </c>
      <c r="L1201" s="6">
        <v>0.37280078374893877</v>
      </c>
      <c r="M1201" s="6">
        <v>-5.1942879170821805E-2</v>
      </c>
      <c r="N1201" s="6">
        <v>-7.0476816168710418E-2</v>
      </c>
      <c r="O1201" s="6">
        <v>-0.10689756812208996</v>
      </c>
      <c r="P1201" s="6">
        <v>-0.2112448354322789</v>
      </c>
      <c r="Q1201" s="6">
        <v>-3.8854805030790227</v>
      </c>
      <c r="R1201" s="6">
        <v>0.45711725208092391</v>
      </c>
      <c r="S1201" s="6">
        <v>0.40896562815728715</v>
      </c>
      <c r="T1201" s="6">
        <v>0.42905898488088146</v>
      </c>
      <c r="U1201" s="6">
        <v>0.44447810135611049</v>
      </c>
      <c r="V1201" s="6">
        <v>0.45500296741377666</v>
      </c>
      <c r="W1201" s="6">
        <v>0.46435247436401289</v>
      </c>
      <c r="X1201" s="6">
        <v>0.4679944827173787</v>
      </c>
      <c r="Y1201" s="6">
        <v>0.46893208893169658</v>
      </c>
      <c r="Z1201" s="6">
        <v>0.47151969128501942</v>
      </c>
      <c r="AA1201" s="37">
        <v>0.47358600122941857</v>
      </c>
      <c r="AB1201" s="37">
        <v>0.47527413080555092</v>
      </c>
      <c r="AC1201" s="37">
        <v>0.47667919865054786</v>
      </c>
      <c r="AD1201" s="37">
        <v>0.4778668923164337</v>
      </c>
      <c r="AE1201" s="37">
        <v>0.47888403397963764</v>
      </c>
      <c r="AF1201" s="37">
        <v>0.47976522960469081</v>
      </c>
      <c r="AG1201" s="37">
        <v>0.48059842305616501</v>
      </c>
      <c r="AH1201" s="37">
        <v>0.48133317474903431</v>
      </c>
      <c r="AI1201" s="37">
        <v>0.48198595786290249</v>
      </c>
    </row>
    <row r="1202" spans="3:56" ht="15" customHeight="1">
      <c r="C1202" s="19"/>
      <c r="D1202" s="88" t="str">
        <v>Indonesia</v>
      </c>
      <c r="E1202" s="11" t="s">
        <v>30</v>
      </c>
      <c r="F1202" s="99">
        <f t="shared" si="805"/>
        <v>9</v>
      </c>
      <c r="G1202" s="6">
        <v>-4.6639732729536806E-3</v>
      </c>
      <c r="H1202" s="6">
        <v>-9.3114944454969067E-3</v>
      </c>
      <c r="I1202" s="6">
        <v>-1.5110481273237386E-2</v>
      </c>
      <c r="J1202" s="6">
        <v>-2.2549370178740504E-2</v>
      </c>
      <c r="K1202" s="6">
        <v>-3.2438341768862212E-2</v>
      </c>
      <c r="L1202" s="6">
        <v>-4.6226475321880386E-2</v>
      </c>
      <c r="M1202" s="6">
        <v>-6.6786182228467036E-2</v>
      </c>
      <c r="N1202" s="6">
        <v>-0.10072955775351677</v>
      </c>
      <c r="O1202" s="6">
        <v>-0.16743115820673321</v>
      </c>
      <c r="P1202" s="6">
        <v>-0.35853456379864745</v>
      </c>
      <c r="Q1202" s="6">
        <v>-5.8930486507996562</v>
      </c>
      <c r="R1202" s="6">
        <v>0.59678430397595639</v>
      </c>
      <c r="S1202" s="6">
        <v>0.47179392705041606</v>
      </c>
      <c r="T1202" s="6">
        <v>0.44841521071688967</v>
      </c>
      <c r="U1202" s="6">
        <v>0.43841800572777645</v>
      </c>
      <c r="V1202" s="6">
        <v>0.43380780863897794</v>
      </c>
      <c r="W1202" s="6">
        <v>0.43123964260046621</v>
      </c>
      <c r="X1202" s="6">
        <v>0.4294129022389076</v>
      </c>
      <c r="Y1202" s="6">
        <v>0.4283083950882583</v>
      </c>
      <c r="Z1202" s="6">
        <v>0.42746470471215398</v>
      </c>
      <c r="AA1202" s="37">
        <v>0.42679098225557199</v>
      </c>
      <c r="AB1202" s="37">
        <v>0.42627192697302746</v>
      </c>
      <c r="AC1202" s="37">
        <v>0.42589469976293648</v>
      </c>
      <c r="AD1202" s="37">
        <v>0.425575832336271</v>
      </c>
      <c r="AE1202" s="37">
        <v>0.42530275405521561</v>
      </c>
      <c r="AF1202" s="37">
        <v>0.42506626270071668</v>
      </c>
      <c r="AG1202" s="37">
        <v>0.42485946705963684</v>
      </c>
      <c r="AH1202" s="37">
        <v>0.42467710431171485</v>
      </c>
      <c r="AI1202" s="37">
        <v>0.42451508587256426</v>
      </c>
    </row>
    <row r="1203" spans="3:56" ht="15" customHeight="1">
      <c r="C1203" s="19"/>
      <c r="D1203" s="88" t="str">
        <v>Peru</v>
      </c>
      <c r="E1203" s="11" t="s">
        <v>30</v>
      </c>
      <c r="F1203" s="99">
        <f t="shared" si="805"/>
        <v>10</v>
      </c>
      <c r="G1203" s="6">
        <v>0</v>
      </c>
      <c r="H1203" s="6">
        <v>0</v>
      </c>
      <c r="I1203" s="6">
        <v>0</v>
      </c>
      <c r="J1203" s="6">
        <v>0</v>
      </c>
      <c r="K1203" s="6">
        <v>0</v>
      </c>
      <c r="L1203" s="6">
        <v>-2.7359640917277921E-18</v>
      </c>
      <c r="M1203" s="6">
        <v>-2.4555801289313055E-3</v>
      </c>
      <c r="N1203" s="6">
        <v>-6.5096592472217779E-3</v>
      </c>
      <c r="O1203" s="6">
        <v>-1.4476267204476275E-2</v>
      </c>
      <c r="P1203" s="6">
        <v>-3.7300995566351185E-2</v>
      </c>
      <c r="Q1203" s="6">
        <v>-0.70628480446707409</v>
      </c>
      <c r="R1203" s="6">
        <v>0.22961349695411487</v>
      </c>
      <c r="S1203" s="6">
        <v>0.30134646407678994</v>
      </c>
      <c r="T1203" s="6">
        <v>0.33085574225815545</v>
      </c>
      <c r="U1203" s="6">
        <v>0.34633068009122203</v>
      </c>
      <c r="V1203" s="6">
        <v>0.35668082639443238</v>
      </c>
      <c r="W1203" s="6">
        <v>0.36406414490534106</v>
      </c>
      <c r="X1203" s="6">
        <v>0.36988504935536004</v>
      </c>
      <c r="Y1203" s="6">
        <v>0.37449565232933646</v>
      </c>
      <c r="Z1203" s="6">
        <v>0.37824309285864743</v>
      </c>
      <c r="AA1203" s="37">
        <v>0.38131576786534394</v>
      </c>
      <c r="AB1203" s="37">
        <v>0.38396473301709599</v>
      </c>
      <c r="AC1203" s="37">
        <v>0.38616952571184421</v>
      </c>
      <c r="AD1203" s="37">
        <v>0.38809479835986715</v>
      </c>
      <c r="AE1203" s="37">
        <v>0.38982473619084013</v>
      </c>
      <c r="AF1203" s="37">
        <v>0.39132289759446881</v>
      </c>
      <c r="AG1203" s="37">
        <v>0.39263293807590877</v>
      </c>
      <c r="AH1203" s="37">
        <v>0.39379027477541623</v>
      </c>
      <c r="AI1203" s="37">
        <v>0.39488295854452582</v>
      </c>
    </row>
    <row r="1204" spans="3:56" ht="15" customHeight="1">
      <c r="C1204" s="19"/>
      <c r="D1204" s="88" t="str">
        <v>Western Australia</v>
      </c>
      <c r="E1204" s="11" t="s">
        <v>30</v>
      </c>
      <c r="F1204" s="99">
        <f t="shared" si="805"/>
        <v>11</v>
      </c>
      <c r="G1204" s="6">
        <v>-4.5173113314949083E-3</v>
      </c>
      <c r="H1204" s="6">
        <v>-7.7708550258143681E-3</v>
      </c>
      <c r="I1204" s="6">
        <v>-1.183049377222852E-2</v>
      </c>
      <c r="J1204" s="6">
        <v>-1.7038162375058875E-2</v>
      </c>
      <c r="K1204" s="6">
        <v>-2.3961035873823033E-2</v>
      </c>
      <c r="L1204" s="6">
        <v>-3.3613556715015508E-2</v>
      </c>
      <c r="M1204" s="6">
        <v>-4.8006585230553511E-2</v>
      </c>
      <c r="N1204" s="6">
        <v>-7.1768984863261318E-2</v>
      </c>
      <c r="O1204" s="6">
        <v>-0.11846410759614438</v>
      </c>
      <c r="P1204" s="6">
        <v>-0.25224795863050203</v>
      </c>
      <c r="Q1204" s="6">
        <v>-4.0991936634407979</v>
      </c>
      <c r="R1204" s="6">
        <v>0.42297649685647892</v>
      </c>
      <c r="S1204" s="6">
        <v>0.36187355404815902</v>
      </c>
      <c r="T1204" s="6">
        <v>0.3469726474814957</v>
      </c>
      <c r="U1204" s="6">
        <v>0.33870805627145872</v>
      </c>
      <c r="V1204" s="6">
        <v>0.33395713770778668</v>
      </c>
      <c r="W1204" s="6">
        <v>0.33092541888988186</v>
      </c>
      <c r="X1204" s="6">
        <v>0.32896170956124399</v>
      </c>
      <c r="Y1204" s="6">
        <v>0.32751591915507478</v>
      </c>
      <c r="Z1204" s="6">
        <v>0.32639401949519214</v>
      </c>
      <c r="AA1204" s="37">
        <v>0.32549813515621884</v>
      </c>
      <c r="AB1204" s="37">
        <v>0.32476621744294742</v>
      </c>
      <c r="AC1204" s="37">
        <v>0.32415702602859048</v>
      </c>
      <c r="AD1204" s="37">
        <v>0.32364208094126251</v>
      </c>
      <c r="AE1204" s="37">
        <v>0.32320108161826566</v>
      </c>
      <c r="AF1204" s="37">
        <v>0.3228191672205854</v>
      </c>
      <c r="AG1204" s="37">
        <v>0.32248520899672917</v>
      </c>
      <c r="AH1204" s="37">
        <v>0.32219070791790771</v>
      </c>
      <c r="AI1204" s="37">
        <v>0.32192906125123638</v>
      </c>
    </row>
    <row r="1205" spans="3:56" ht="15" customHeight="1">
      <c r="C1205" s="19"/>
      <c r="G1205" s="19"/>
      <c r="H1205" s="19"/>
      <c r="I1205" s="19"/>
      <c r="J1205" s="19"/>
      <c r="K1205" s="19"/>
      <c r="L1205" s="19"/>
      <c r="M1205" s="19"/>
      <c r="N1205" s="19"/>
      <c r="O1205" s="19"/>
      <c r="P1205" s="19"/>
      <c r="Q1205" s="19"/>
      <c r="R1205" s="19"/>
      <c r="S1205" s="19"/>
    </row>
    <row r="1206" spans="3:56" ht="15" customHeight="1">
      <c r="C1206" s="169"/>
      <c r="D1206" s="463" t="s">
        <v>760</v>
      </c>
      <c r="E1206" s="463"/>
      <c r="F1206" s="556"/>
      <c r="G1206" s="556"/>
      <c r="H1206" s="556"/>
      <c r="I1206" s="556"/>
      <c r="J1206" s="556"/>
      <c r="K1206" s="556"/>
      <c r="L1206" s="556"/>
      <c r="M1206" s="556"/>
      <c r="N1206" s="556"/>
      <c r="O1206" s="556"/>
      <c r="P1206" s="556"/>
      <c r="Q1206" s="556"/>
      <c r="R1206" s="556"/>
      <c r="S1206" s="556"/>
      <c r="T1206" s="556"/>
      <c r="U1206" s="556"/>
      <c r="V1206" s="556"/>
      <c r="W1206" s="556"/>
      <c r="X1206" s="556"/>
      <c r="Y1206" s="556"/>
      <c r="Z1206" s="556"/>
      <c r="AA1206" s="556"/>
      <c r="AB1206" s="556"/>
      <c r="AC1206" s="556"/>
      <c r="AD1206" s="556"/>
      <c r="AE1206" s="556"/>
      <c r="AF1206" s="556"/>
      <c r="AG1206" s="556"/>
      <c r="AH1206" s="556"/>
      <c r="AI1206" s="556"/>
      <c r="AJ1206" s="464"/>
      <c r="AK1206" s="464"/>
      <c r="AL1206" s="464"/>
      <c r="AM1206" s="464"/>
      <c r="AN1206" s="464"/>
      <c r="AO1206" s="464"/>
      <c r="AP1206" s="464"/>
      <c r="AQ1206" s="464"/>
      <c r="AR1206" s="464"/>
      <c r="AS1206" s="464"/>
      <c r="AT1206" s="464"/>
      <c r="AU1206" s="464"/>
      <c r="AV1206" s="464"/>
      <c r="AW1206" s="464"/>
      <c r="AX1206" s="464"/>
      <c r="AY1206" s="464"/>
      <c r="AZ1206" s="464"/>
      <c r="BA1206" s="464"/>
      <c r="BB1206" s="464"/>
      <c r="BC1206" s="464"/>
      <c r="BD1206" s="464"/>
    </row>
    <row r="1207" spans="3:56" ht="15" customHeight="1">
      <c r="C1207" s="67"/>
      <c r="E1207" s="11" t="s">
        <v>298</v>
      </c>
      <c r="F1207" s="62">
        <f>I955</f>
        <v>0.4943408889267713</v>
      </c>
      <c r="G1207" s="442">
        <f>G1118</f>
        <v>9.7144514654701197E-14</v>
      </c>
      <c r="H1207" s="442">
        <f t="shared" ref="H1207:AI1207" si="806">H1118</f>
        <v>70.000000000000099</v>
      </c>
      <c r="I1207" s="442">
        <f t="shared" si="806"/>
        <v>140.00000000000011</v>
      </c>
      <c r="J1207" s="442">
        <f t="shared" si="806"/>
        <v>210.00000000000011</v>
      </c>
      <c r="K1207" s="442">
        <f t="shared" si="806"/>
        <v>280.00000000000011</v>
      </c>
      <c r="L1207" s="442">
        <f t="shared" si="806"/>
        <v>350.00000000000006</v>
      </c>
      <c r="M1207" s="442">
        <f t="shared" si="806"/>
        <v>420.00000000000006</v>
      </c>
      <c r="N1207" s="442">
        <f t="shared" si="806"/>
        <v>490.00000000000006</v>
      </c>
      <c r="O1207" s="442">
        <f t="shared" si="806"/>
        <v>560</v>
      </c>
      <c r="P1207" s="442">
        <f t="shared" si="806"/>
        <v>630</v>
      </c>
      <c r="Q1207" s="442">
        <f t="shared" si="806"/>
        <v>700</v>
      </c>
      <c r="R1207" s="442">
        <f t="shared" si="806"/>
        <v>770.00000000000011</v>
      </c>
      <c r="S1207" s="442">
        <f t="shared" si="806"/>
        <v>840.00000000000011</v>
      </c>
      <c r="T1207" s="442">
        <f t="shared" si="806"/>
        <v>910.00000000000023</v>
      </c>
      <c r="U1207" s="442">
        <f t="shared" si="806"/>
        <v>980.00000000000023</v>
      </c>
      <c r="V1207" s="442">
        <f t="shared" si="806"/>
        <v>1050.0000000000002</v>
      </c>
      <c r="W1207" s="442">
        <f t="shared" si="806"/>
        <v>1120.0000000000005</v>
      </c>
      <c r="X1207" s="442">
        <f t="shared" si="806"/>
        <v>1190.0000000000005</v>
      </c>
      <c r="Y1207" s="442">
        <f t="shared" si="806"/>
        <v>1260.0000000000005</v>
      </c>
      <c r="Z1207" s="442">
        <f t="shared" si="806"/>
        <v>1330.0000000000005</v>
      </c>
      <c r="AA1207" s="442">
        <f t="shared" si="806"/>
        <v>1400.0000000000007</v>
      </c>
      <c r="AB1207" s="442">
        <f t="shared" si="806"/>
        <v>1470.0000000000007</v>
      </c>
      <c r="AC1207" s="442">
        <f t="shared" si="806"/>
        <v>1540.0000000000007</v>
      </c>
      <c r="AD1207" s="442">
        <f t="shared" si="806"/>
        <v>1610.0000000000009</v>
      </c>
      <c r="AE1207" s="442">
        <f t="shared" si="806"/>
        <v>1680.0000000000009</v>
      </c>
      <c r="AF1207" s="442">
        <f t="shared" si="806"/>
        <v>1750.0000000000009</v>
      </c>
      <c r="AG1207" s="442">
        <f t="shared" si="806"/>
        <v>1820.0000000000009</v>
      </c>
      <c r="AH1207" s="442">
        <f t="shared" si="806"/>
        <v>1890.0000000000011</v>
      </c>
      <c r="AI1207" s="442">
        <f t="shared" si="806"/>
        <v>1960.0000000000011</v>
      </c>
    </row>
    <row r="1208" spans="3:56" ht="15" customHeight="1">
      <c r="C1208" s="19"/>
      <c r="D1208" s="88" t="str">
        <f t="array" ref="D1208:D1218">TRANSPOSE(Inputs!$G$15:$Q$15)</f>
        <v>Tanzania w/o sharing</v>
      </c>
      <c r="E1208" s="11" t="s">
        <v>30</v>
      </c>
      <c r="F1208" s="99">
        <v>1</v>
      </c>
      <c r="G1208" s="6">
        <f t="dataTable" ref="G1208:AI1218" dt2D="1" dtr="1" r1="E1278" r2="F992" ca="1"/>
        <v>0.47381152026908768</v>
      </c>
      <c r="H1208" s="6">
        <v>0.47486585520422786</v>
      </c>
      <c r="I1208" s="6">
        <v>0.47602965646537126</v>
      </c>
      <c r="J1208" s="6">
        <v>0.47732090552803513</v>
      </c>
      <c r="K1208" s="6">
        <v>0.47876175030112689</v>
      </c>
      <c r="L1208" s="6">
        <v>0.48037978606726944</v>
      </c>
      <c r="M1208" s="6">
        <v>0.48228988092579783</v>
      </c>
      <c r="N1208" s="6">
        <v>0.48464657287926577</v>
      </c>
      <c r="O1208" s="6">
        <v>0.48738427653320537</v>
      </c>
      <c r="P1208" s="6">
        <v>0.49057894460794399</v>
      </c>
      <c r="Q1208" s="6">
        <v>0.4943408889267713</v>
      </c>
      <c r="R1208" s="6">
        <v>0.49897297408068797</v>
      </c>
      <c r="S1208" s="6">
        <v>0.50489609977968242</v>
      </c>
      <c r="T1208" s="6">
        <v>0.51265760364901747</v>
      </c>
      <c r="U1208" s="6">
        <v>0.52342740849801961</v>
      </c>
      <c r="V1208" s="6">
        <v>0.54027848710865856</v>
      </c>
      <c r="W1208" s="6">
        <v>0.56426934737220535</v>
      </c>
      <c r="X1208" s="6">
        <v>0.61844497565622736</v>
      </c>
      <c r="Y1208" s="6">
        <v>0.73966006234524728</v>
      </c>
      <c r="Z1208" s="6">
        <v>1.0547046483136335</v>
      </c>
      <c r="AA1208" s="6">
        <v>1.9157870466415081</v>
      </c>
      <c r="AB1208" s="6">
        <v>9.3204713795249265</v>
      </c>
      <c r="AC1208" s="6">
        <v>-3.3510143103738148</v>
      </c>
      <c r="AD1208" s="6">
        <v>-1.4386744424315803</v>
      </c>
      <c r="AE1208" s="6">
        <v>-0.92505791523391878</v>
      </c>
      <c r="AF1208" s="6">
        <v>-0.68633658755000904</v>
      </c>
      <c r="AG1208" s="6">
        <v>-0.54840924356908793</v>
      </c>
      <c r="AH1208" s="6">
        <v>-0.45856687214801523</v>
      </c>
      <c r="AI1208" s="6">
        <v>-0.39539655414291952</v>
      </c>
    </row>
    <row r="1209" spans="3:56" ht="15" customHeight="1">
      <c r="C1209" s="19"/>
      <c r="D1209" s="88" t="str">
        <v>Tanzania w 50/50 sharing</v>
      </c>
      <c r="E1209" s="11" t="s">
        <v>30</v>
      </c>
      <c r="F1209" s="99">
        <f>F1208+1</f>
        <v>2</v>
      </c>
      <c r="G1209" s="6">
        <v>0.45522721736322164</v>
      </c>
      <c r="H1209" s="6">
        <v>0.45332227416897108</v>
      </c>
      <c r="I1209" s="6">
        <v>0.45121955024511662</v>
      </c>
      <c r="J1209" s="6">
        <v>0.44888655715912285</v>
      </c>
      <c r="K1209" s="6">
        <v>0.44628327868186468</v>
      </c>
      <c r="L1209" s="6">
        <v>0.44335985642007808</v>
      </c>
      <c r="M1209" s="6">
        <v>0.44265576601567252</v>
      </c>
      <c r="N1209" s="6">
        <v>0.43937676770855699</v>
      </c>
      <c r="O1209" s="6">
        <v>0.43562895640145988</v>
      </c>
      <c r="P1209" s="6">
        <v>0.43128038821061415</v>
      </c>
      <c r="Q1209" s="6">
        <v>0.42615964608095719</v>
      </c>
      <c r="R1209" s="6">
        <v>0.42500858524808721</v>
      </c>
      <c r="S1209" s="6">
        <v>0.41917800831488622</v>
      </c>
      <c r="T1209" s="6">
        <v>0.41794140390595064</v>
      </c>
      <c r="U1209" s="6">
        <v>0.41861802384375335</v>
      </c>
      <c r="V1209" s="6">
        <v>0.42352489707420432</v>
      </c>
      <c r="W1209" s="6">
        <v>0.45496933637267822</v>
      </c>
      <c r="X1209" s="6">
        <v>0.53536891297387068</v>
      </c>
      <c r="Y1209" s="6">
        <v>0.71326288523923354</v>
      </c>
      <c r="Z1209" s="6">
        <v>0.62349078674746772</v>
      </c>
      <c r="AA1209" s="6">
        <v>1.1315625182379714</v>
      </c>
      <c r="AB1209" s="6">
        <v>5.5006110523321334</v>
      </c>
      <c r="AC1209" s="6">
        <v>-1.9124610439180973</v>
      </c>
      <c r="AD1209" s="6">
        <v>-0.79767517416392453</v>
      </c>
      <c r="AE1209" s="6">
        <v>-0.51289968986421519</v>
      </c>
      <c r="AF1209" s="6">
        <v>-0.38054027753227387</v>
      </c>
      <c r="AG1209" s="6">
        <v>-0.30406624661538451</v>
      </c>
      <c r="AH1209" s="6">
        <v>-0.25425300370502901</v>
      </c>
      <c r="AI1209" s="6">
        <v>-0.21922812239636211</v>
      </c>
    </row>
    <row r="1210" spans="3:56" ht="15" customHeight="1">
      <c r="C1210" s="19"/>
      <c r="D1210" s="88" t="str">
        <v>Ecuador</v>
      </c>
      <c r="E1210" s="11" t="s">
        <v>30</v>
      </c>
      <c r="F1210" s="99">
        <f t="shared" ref="F1210:F1218" si="807">F1209+1</f>
        <v>3</v>
      </c>
      <c r="G1210" s="6">
        <v>0.49573884193367768</v>
      </c>
      <c r="H1210" s="6">
        <v>0.49515796544938423</v>
      </c>
      <c r="I1210" s="6">
        <v>0.49456379509571274</v>
      </c>
      <c r="J1210" s="6">
        <v>0.49408188161189742</v>
      </c>
      <c r="K1210" s="6">
        <v>0.49360253864733566</v>
      </c>
      <c r="L1210" s="6">
        <v>0.49312477725476045</v>
      </c>
      <c r="M1210" s="6">
        <v>0.49258677765045145</v>
      </c>
      <c r="N1210" s="6">
        <v>0.49200010945048789</v>
      </c>
      <c r="O1210" s="6">
        <v>0.49172147868907362</v>
      </c>
      <c r="P1210" s="6">
        <v>0.49139976649029116</v>
      </c>
      <c r="Q1210" s="6">
        <v>0.49147151688704949</v>
      </c>
      <c r="R1210" s="6">
        <v>0.49192462774211737</v>
      </c>
      <c r="S1210" s="6">
        <v>0.49306489664171887</v>
      </c>
      <c r="T1210" s="6">
        <v>0.49607690084073741</v>
      </c>
      <c r="U1210" s="6">
        <v>0.50160298581947871</v>
      </c>
      <c r="V1210" s="6">
        <v>0.51281206007007718</v>
      </c>
      <c r="W1210" s="6">
        <v>0.53207766601736639</v>
      </c>
      <c r="X1210" s="6">
        <v>0.56970487883669774</v>
      </c>
      <c r="Y1210" s="6">
        <v>0.63866521624615635</v>
      </c>
      <c r="Z1210" s="6">
        <v>0.82612328879632424</v>
      </c>
      <c r="AA1210" s="6">
        <v>1.4493409900190193</v>
      </c>
      <c r="AB1210" s="6">
        <v>7.0513022966357655</v>
      </c>
      <c r="AC1210" s="6">
        <v>-2.4952187490065096</v>
      </c>
      <c r="AD1210" s="6">
        <v>-1.0681000890350658</v>
      </c>
      <c r="AE1210" s="6">
        <v>-0.68696386781801166</v>
      </c>
      <c r="AF1210" s="6">
        <v>-0.509817417228137</v>
      </c>
      <c r="AG1210" s="6">
        <v>-0.40746653110261682</v>
      </c>
      <c r="AH1210" s="6">
        <v>-0.34079776143619811</v>
      </c>
      <c r="AI1210" s="6">
        <v>-0.29392135652589407</v>
      </c>
    </row>
    <row r="1211" spans="3:56" ht="15" customHeight="1">
      <c r="C1211" s="19"/>
      <c r="D1211" s="88" t="str">
        <v>Philippines FTAA</v>
      </c>
      <c r="E1211" s="11" t="s">
        <v>30</v>
      </c>
      <c r="F1211" s="99">
        <f t="shared" si="807"/>
        <v>4</v>
      </c>
      <c r="G1211" s="6">
        <v>0.47642746255923196</v>
      </c>
      <c r="H1211" s="6">
        <v>0.47640765132928942</v>
      </c>
      <c r="I1211" s="6">
        <v>0.47638578319837283</v>
      </c>
      <c r="J1211" s="6">
        <v>0.47636152028984075</v>
      </c>
      <c r="K1211" s="6">
        <v>0.47633444643867662</v>
      </c>
      <c r="L1211" s="6">
        <v>0.47630404312228253</v>
      </c>
      <c r="M1211" s="6">
        <v>0.47626965592960424</v>
      </c>
      <c r="N1211" s="6">
        <v>0.47623044692503741</v>
      </c>
      <c r="O1211" s="6">
        <v>0.47618532546272041</v>
      </c>
      <c r="P1211" s="6">
        <v>0.4417228236529267</v>
      </c>
      <c r="Q1211" s="6">
        <v>0.44381162879585007</v>
      </c>
      <c r="R1211" s="6">
        <v>0.44832171204553312</v>
      </c>
      <c r="S1211" s="6">
        <v>0.4543698075117239</v>
      </c>
      <c r="T1211" s="6">
        <v>0.43982626227714056</v>
      </c>
      <c r="U1211" s="6">
        <v>0.45614266107167456</v>
      </c>
      <c r="V1211" s="6">
        <v>0.4575964293969968</v>
      </c>
      <c r="W1211" s="6">
        <v>0.48054973170174153</v>
      </c>
      <c r="X1211" s="6">
        <v>0.51351092570198908</v>
      </c>
      <c r="Y1211" s="6">
        <v>0.59867544263142791</v>
      </c>
      <c r="Z1211" s="6">
        <v>0.79796960727736566</v>
      </c>
      <c r="AA1211" s="6">
        <v>1.4124238589078097</v>
      </c>
      <c r="AB1211" s="6">
        <v>6.8093446588564301</v>
      </c>
      <c r="AC1211" s="6">
        <v>-2.4434973655769698</v>
      </c>
      <c r="AD1211" s="6">
        <v>-1.0373137715214491</v>
      </c>
      <c r="AE1211" s="6">
        <v>-0.66119808061096486</v>
      </c>
      <c r="AF1211" s="6">
        <v>-0.48638509788475309</v>
      </c>
      <c r="AG1211" s="6">
        <v>-0.3853824324139285</v>
      </c>
      <c r="AH1211" s="6">
        <v>-0.31959185946558388</v>
      </c>
      <c r="AI1211" s="6">
        <v>-0.27333293565105105</v>
      </c>
    </row>
    <row r="1212" spans="3:56" ht="15" customHeight="1">
      <c r="C1212" s="19"/>
      <c r="D1212" s="88" t="str">
        <v>Burkina Faso</v>
      </c>
      <c r="E1212" s="11" t="s">
        <v>30</v>
      </c>
      <c r="F1212" s="99">
        <f t="shared" si="807"/>
        <v>5</v>
      </c>
      <c r="G1212" s="6">
        <v>0.39859545178562011</v>
      </c>
      <c r="H1212" s="6">
        <v>0.40042415206669052</v>
      </c>
      <c r="I1212" s="6">
        <v>0.4024427171568058</v>
      </c>
      <c r="J1212" s="6">
        <v>0.40468233518057073</v>
      </c>
      <c r="K1212" s="6">
        <v>0.40718142076875796</v>
      </c>
      <c r="L1212" s="6">
        <v>0.4099878367962545</v>
      </c>
      <c r="M1212" s="6">
        <v>0.41316198949142474</v>
      </c>
      <c r="N1212" s="6">
        <v>0.41678122554489894</v>
      </c>
      <c r="O1212" s="6">
        <v>0.42101482455482392</v>
      </c>
      <c r="P1212" s="6">
        <v>0.42601016207503889</v>
      </c>
      <c r="Q1212" s="6">
        <v>0.43189252016832397</v>
      </c>
      <c r="R1212" s="6">
        <v>0.43913587125121845</v>
      </c>
      <c r="S1212" s="6">
        <v>0.44836128929078733</v>
      </c>
      <c r="T1212" s="6">
        <v>0.45993895003516938</v>
      </c>
      <c r="U1212" s="6">
        <v>0.47538196282245859</v>
      </c>
      <c r="V1212" s="6">
        <v>0.4973615234185258</v>
      </c>
      <c r="W1212" s="6">
        <v>0.52743084057941747</v>
      </c>
      <c r="X1212" s="6">
        <v>0.58354438112292972</v>
      </c>
      <c r="Y1212" s="6">
        <v>0.70097698296495958</v>
      </c>
      <c r="Z1212" s="6">
        <v>1.0125403888034525</v>
      </c>
      <c r="AA1212" s="6">
        <v>1.846098694743574</v>
      </c>
      <c r="AB1212" s="6">
        <v>9.0140957883149344</v>
      </c>
      <c r="AC1212" s="6">
        <v>-3.2602223538062605</v>
      </c>
      <c r="AD1212" s="6">
        <v>-1.40514357343687</v>
      </c>
      <c r="AE1212" s="6">
        <v>-0.90648133908871753</v>
      </c>
      <c r="AF1212" s="6">
        <v>-0.67471054444759448</v>
      </c>
      <c r="AG1212" s="6">
        <v>-0.54079904844784987</v>
      </c>
      <c r="AH1212" s="6">
        <v>-0.45357249848379971</v>
      </c>
      <c r="AI1212" s="6">
        <v>-0.39224142704656445</v>
      </c>
    </row>
    <row r="1213" spans="3:56" ht="15" customHeight="1">
      <c r="C1213" s="19"/>
      <c r="D1213" s="88" t="str">
        <v>DRC</v>
      </c>
      <c r="E1213" s="11" t="s">
        <v>30</v>
      </c>
      <c r="F1213" s="99">
        <f t="shared" si="807"/>
        <v>6</v>
      </c>
      <c r="G1213" s="6">
        <v>0.4297224889317045</v>
      </c>
      <c r="H1213" s="6">
        <v>0.43029418733692615</v>
      </c>
      <c r="I1213" s="6">
        <v>0.43092524232980894</v>
      </c>
      <c r="J1213" s="6">
        <v>0.431625404114518</v>
      </c>
      <c r="K1213" s="6">
        <v>0.43240668208558231</v>
      </c>
      <c r="L1213" s="6">
        <v>0.43328403939990906</v>
      </c>
      <c r="M1213" s="6">
        <v>0.4343532444491694</v>
      </c>
      <c r="N1213" s="6">
        <v>0.4356351867615364</v>
      </c>
      <c r="O1213" s="6">
        <v>0.43718045620818807</v>
      </c>
      <c r="P1213" s="6">
        <v>0.43900713164124161</v>
      </c>
      <c r="Q1213" s="6">
        <v>0.44115816927862772</v>
      </c>
      <c r="R1213" s="6">
        <v>0.44391449865903709</v>
      </c>
      <c r="S1213" s="6">
        <v>0.44756912198194082</v>
      </c>
      <c r="T1213" s="6">
        <v>0.45229390750026832</v>
      </c>
      <c r="U1213" s="6">
        <v>0.45875960227888596</v>
      </c>
      <c r="V1213" s="6">
        <v>0.46792630121577328</v>
      </c>
      <c r="W1213" s="6">
        <v>0.4779076871207617</v>
      </c>
      <c r="X1213" s="6">
        <v>0.49976313242504872</v>
      </c>
      <c r="Y1213" s="6">
        <v>0.54292764175025687</v>
      </c>
      <c r="Z1213" s="6">
        <v>0.68654869619159398</v>
      </c>
      <c r="AA1213" s="6">
        <v>1.1940357447387639</v>
      </c>
      <c r="AB1213" s="6">
        <v>5.8259296686275617</v>
      </c>
      <c r="AC1213" s="6">
        <v>-2.1148883081587244</v>
      </c>
      <c r="AD1213" s="6">
        <v>-0.91160188836835365</v>
      </c>
      <c r="AE1213" s="6">
        <v>-0.5876482265781291</v>
      </c>
      <c r="AF1213" s="6">
        <v>-0.4370793796748344</v>
      </c>
      <c r="AG1213" s="6">
        <v>-0.35008438286776372</v>
      </c>
      <c r="AH1213" s="6">
        <v>-0.29341804978737757</v>
      </c>
      <c r="AI1213" s="6">
        <v>-0.25357459703507113</v>
      </c>
    </row>
    <row r="1214" spans="3:56" ht="15" customHeight="1">
      <c r="C1214" s="19"/>
      <c r="D1214" s="88" t="str">
        <v>Ghana</v>
      </c>
      <c r="E1214" s="11" t="s">
        <v>30</v>
      </c>
      <c r="F1214" s="99">
        <f t="shared" si="807"/>
        <v>7</v>
      </c>
      <c r="G1214" s="6">
        <v>0.45736815064449865</v>
      </c>
      <c r="H1214" s="6">
        <v>0.45784194559764307</v>
      </c>
      <c r="I1214" s="6">
        <v>0.45836493231240999</v>
      </c>
      <c r="J1214" s="6">
        <v>0.45894519126879263</v>
      </c>
      <c r="K1214" s="6">
        <v>0.4595926752504027</v>
      </c>
      <c r="L1214" s="6">
        <v>0.46031978497090487</v>
      </c>
      <c r="M1214" s="6">
        <v>0.46119955066279117</v>
      </c>
      <c r="N1214" s="6">
        <v>0.46238997686087335</v>
      </c>
      <c r="O1214" s="6">
        <v>0.46375991143156292</v>
      </c>
      <c r="P1214" s="6">
        <v>0.46535326835035556</v>
      </c>
      <c r="Q1214" s="6">
        <v>0.46722955717544978</v>
      </c>
      <c r="R1214" s="6">
        <v>0.46952662386857924</v>
      </c>
      <c r="S1214" s="6">
        <v>0.47254613176642124</v>
      </c>
      <c r="T1214" s="6">
        <v>0.47629647375019735</v>
      </c>
      <c r="U1214" s="6">
        <v>0.48180178555270309</v>
      </c>
      <c r="V1214" s="6">
        <v>0.49014798845824797</v>
      </c>
      <c r="W1214" s="6">
        <v>0.50531100769512338</v>
      </c>
      <c r="X1214" s="6">
        <v>0.54921343537527911</v>
      </c>
      <c r="Y1214" s="6">
        <v>0.6253393898863131</v>
      </c>
      <c r="Z1214" s="6">
        <v>0.82935498604203539</v>
      </c>
      <c r="AA1214" s="6">
        <v>1.460883419576458</v>
      </c>
      <c r="AB1214" s="6">
        <v>7.106701774327159</v>
      </c>
      <c r="AC1214" s="6">
        <v>-2.5540111670572392</v>
      </c>
      <c r="AD1214" s="6">
        <v>-1.0963404783215212</v>
      </c>
      <c r="AE1214" s="6">
        <v>-0.70488555866748859</v>
      </c>
      <c r="AF1214" s="6">
        <v>-0.52294313041644847</v>
      </c>
      <c r="AG1214" s="6">
        <v>-0.41782124570854673</v>
      </c>
      <c r="AH1214" s="6">
        <v>-0.34934751789053736</v>
      </c>
      <c r="AI1214" s="6">
        <v>-0.30120200377687673</v>
      </c>
    </row>
    <row r="1215" spans="3:56" ht="15" customHeight="1">
      <c r="C1215" s="19"/>
      <c r="D1215" s="88" t="str">
        <v>South Africa (gold)</v>
      </c>
      <c r="E1215" s="11" t="s">
        <v>30</v>
      </c>
      <c r="F1215" s="99">
        <f t="shared" si="807"/>
        <v>8</v>
      </c>
      <c r="G1215" s="6">
        <v>0.45407399428828144</v>
      </c>
      <c r="H1215" s="6">
        <v>0.4541181200632004</v>
      </c>
      <c r="I1215" s="6">
        <v>0.45416682719675711</v>
      </c>
      <c r="J1215" s="6">
        <v>0.45422086824538799</v>
      </c>
      <c r="K1215" s="6">
        <v>0.45428117013810881</v>
      </c>
      <c r="L1215" s="6">
        <v>0.45507991508918794</v>
      </c>
      <c r="M1215" s="6">
        <v>0.45657009424597511</v>
      </c>
      <c r="N1215" s="6">
        <v>0.4571062399254236</v>
      </c>
      <c r="O1215" s="6">
        <v>0.4577232328161932</v>
      </c>
      <c r="P1215" s="6">
        <v>0.4586012634611345</v>
      </c>
      <c r="Q1215" s="6">
        <v>0.45500296741377666</v>
      </c>
      <c r="R1215" s="6">
        <v>0.45219546860948506</v>
      </c>
      <c r="S1215" s="6">
        <v>0.44795703333725145</v>
      </c>
      <c r="T1215" s="6">
        <v>0.44224706682490156</v>
      </c>
      <c r="U1215" s="6">
        <v>0.43891475115612788</v>
      </c>
      <c r="V1215" s="6">
        <v>0.43361948771066372</v>
      </c>
      <c r="W1215" s="6">
        <v>0.42980422008715935</v>
      </c>
      <c r="X1215" s="6">
        <v>0.43167675552415335</v>
      </c>
      <c r="Y1215" s="6">
        <v>0.45589443286992465</v>
      </c>
      <c r="Z1215" s="6">
        <v>0.55220416259214067</v>
      </c>
      <c r="AA1215" s="6">
        <v>0.91127213778558547</v>
      </c>
      <c r="AB1215" s="6">
        <v>4.0764664482894624</v>
      </c>
      <c r="AC1215" s="6">
        <v>-1.3157470672043776</v>
      </c>
      <c r="AD1215" s="6">
        <v>-0.5696364202766121</v>
      </c>
      <c r="AE1215" s="6">
        <v>-0.37282515356104806</v>
      </c>
      <c r="AF1215" s="6">
        <v>-0.28135020210293327</v>
      </c>
      <c r="AG1215" s="6">
        <v>-0.22849821263969008</v>
      </c>
      <c r="AH1215" s="6">
        <v>-0.19407176803015602</v>
      </c>
      <c r="AI1215" s="6">
        <v>-0.16986571225301531</v>
      </c>
    </row>
    <row r="1216" spans="3:56" ht="15" customHeight="1">
      <c r="C1216" s="19"/>
      <c r="D1216" s="88" t="str">
        <v>Indonesia</v>
      </c>
      <c r="E1216" s="11" t="s">
        <v>30</v>
      </c>
      <c r="F1216" s="99">
        <f t="shared" si="807"/>
        <v>9</v>
      </c>
      <c r="G1216" s="6">
        <v>0.40681763369523988</v>
      </c>
      <c r="H1216" s="6">
        <v>0.4082670778296601</v>
      </c>
      <c r="I1216" s="6">
        <v>0.40986701050320951</v>
      </c>
      <c r="J1216" s="6">
        <v>0.41164215170130031</v>
      </c>
      <c r="K1216" s="6">
        <v>0.4136229492025138</v>
      </c>
      <c r="L1216" s="6">
        <v>0.41584733954788933</v>
      </c>
      <c r="M1216" s="6">
        <v>0.41842017692231048</v>
      </c>
      <c r="N1216" s="6">
        <v>0.42145795803971148</v>
      </c>
      <c r="O1216" s="6">
        <v>0.42495381639499674</v>
      </c>
      <c r="P1216" s="6">
        <v>0.42901981357229968</v>
      </c>
      <c r="Q1216" s="6">
        <v>0.43380780863897794</v>
      </c>
      <c r="R1216" s="6">
        <v>0.43972419122426376</v>
      </c>
      <c r="S1216" s="6">
        <v>0.44712962082090407</v>
      </c>
      <c r="T1216" s="6">
        <v>0.45671772828383156</v>
      </c>
      <c r="U1216" s="6">
        <v>0.46950372618713948</v>
      </c>
      <c r="V1216" s="6">
        <v>0.48713397673849879</v>
      </c>
      <c r="W1216" s="6">
        <v>0.5102905251436457</v>
      </c>
      <c r="X1216" s="6">
        <v>0.55105544921220739</v>
      </c>
      <c r="Y1216" s="6">
        <v>0.62479312238492513</v>
      </c>
      <c r="Z1216" s="6">
        <v>0.7994997253390137</v>
      </c>
      <c r="AA1216" s="6">
        <v>1.4080632521758623</v>
      </c>
      <c r="AB1216" s="6">
        <v>6.8892806745661623</v>
      </c>
      <c r="AC1216" s="6">
        <v>-2.4617115492414525</v>
      </c>
      <c r="AD1216" s="6">
        <v>-1.0603251567161862</v>
      </c>
      <c r="AE1216" s="6">
        <v>-0.68550098790427449</v>
      </c>
      <c r="AF1216" s="6">
        <v>-0.51128828545289418</v>
      </c>
      <c r="AG1216" s="6">
        <v>-0.41063244724193343</v>
      </c>
      <c r="AH1216" s="6">
        <v>-0.34506778876856031</v>
      </c>
      <c r="AI1216" s="6">
        <v>-0.29896771081929302</v>
      </c>
    </row>
    <row r="1217" spans="3:56" ht="15" customHeight="1">
      <c r="C1217" s="19"/>
      <c r="D1217" s="88" t="str">
        <v>Peru</v>
      </c>
      <c r="E1217" s="11" t="s">
        <v>30</v>
      </c>
      <c r="F1217" s="99">
        <f t="shared" si="807"/>
        <v>10</v>
      </c>
      <c r="G1217" s="6">
        <v>0.40197236462980557</v>
      </c>
      <c r="H1217" s="6">
        <v>0.39877616162892687</v>
      </c>
      <c r="I1217" s="6">
        <v>0.39524811284735295</v>
      </c>
      <c r="J1217" s="6">
        <v>0.39133370766981884</v>
      </c>
      <c r="K1217" s="6">
        <v>0.38706219568164801</v>
      </c>
      <c r="L1217" s="6">
        <v>0.38250509160917734</v>
      </c>
      <c r="M1217" s="6">
        <v>0.37774809360581568</v>
      </c>
      <c r="N1217" s="6">
        <v>0.37280742532795558</v>
      </c>
      <c r="O1217" s="6">
        <v>0.36769729738215712</v>
      </c>
      <c r="P1217" s="6">
        <v>0.3623525199892651</v>
      </c>
      <c r="Q1217" s="6">
        <v>0.35668082639443238</v>
      </c>
      <c r="R1217" s="6">
        <v>0.35054921275852469</v>
      </c>
      <c r="S1217" s="6">
        <v>0.34387731434274682</v>
      </c>
      <c r="T1217" s="6">
        <v>0.33641009132221134</v>
      </c>
      <c r="U1217" s="6">
        <v>0.32803605028982602</v>
      </c>
      <c r="V1217" s="6">
        <v>0.31815119812418474</v>
      </c>
      <c r="W1217" s="6">
        <v>0.30377346133112304</v>
      </c>
      <c r="X1217" s="6">
        <v>0.28742153761198286</v>
      </c>
      <c r="Y1217" s="6">
        <v>0.27142712082932663</v>
      </c>
      <c r="Z1217" s="6">
        <v>0.25286096348150361</v>
      </c>
      <c r="AA1217" s="6">
        <v>0.26372724117535168</v>
      </c>
      <c r="AB1217" s="6">
        <v>0.91015899371305187</v>
      </c>
      <c r="AC1217" s="6">
        <v>-0.31249699539750364</v>
      </c>
      <c r="AD1217" s="6">
        <v>-0.13160363397334002</v>
      </c>
      <c r="AE1217" s="6">
        <v>-8.3517249667274668E-2</v>
      </c>
      <c r="AF1217" s="6">
        <v>-6.1167412975503002E-2</v>
      </c>
      <c r="AG1217" s="6">
        <v>-4.825422401492075E-2</v>
      </c>
      <c r="AH1217" s="6">
        <v>-3.9842900448887268E-2</v>
      </c>
      <c r="AI1217" s="6">
        <v>-3.3928697872690997E-2</v>
      </c>
    </row>
    <row r="1218" spans="3:56" ht="15" customHeight="1">
      <c r="C1218" s="19"/>
      <c r="D1218" s="88" t="str">
        <v>Western Australia</v>
      </c>
      <c r="E1218" s="11" t="s">
        <v>30</v>
      </c>
      <c r="F1218" s="99">
        <f t="shared" si="807"/>
        <v>11</v>
      </c>
      <c r="G1218" s="6">
        <v>0.30957511494740192</v>
      </c>
      <c r="H1218" s="6">
        <v>0.31091128779574578</v>
      </c>
      <c r="I1218" s="6">
        <v>0.31238618879179525</v>
      </c>
      <c r="J1218" s="6">
        <v>0.31402260610139654</v>
      </c>
      <c r="K1218" s="6">
        <v>0.31584860806748633</v>
      </c>
      <c r="L1218" s="6">
        <v>0.31789916656300043</v>
      </c>
      <c r="M1218" s="6">
        <v>0.32021841848836324</v>
      </c>
      <c r="N1218" s="6">
        <v>0.32286287859834301</v>
      </c>
      <c r="O1218" s="6">
        <v>0.32595776430427764</v>
      </c>
      <c r="P1218" s="6">
        <v>0.32963129696418841</v>
      </c>
      <c r="Q1218" s="6">
        <v>0.33395713770778668</v>
      </c>
      <c r="R1218" s="6">
        <v>0.33912596073924595</v>
      </c>
      <c r="S1218" s="6">
        <v>0.34555163857030258</v>
      </c>
      <c r="T1218" s="6">
        <v>0.35356217970416837</v>
      </c>
      <c r="U1218" s="6">
        <v>0.36377851439504544</v>
      </c>
      <c r="V1218" s="6">
        <v>0.37725719498534971</v>
      </c>
      <c r="W1218" s="6">
        <v>0.3942349453701105</v>
      </c>
      <c r="X1218" s="6">
        <v>0.42118097937633403</v>
      </c>
      <c r="Y1218" s="6">
        <v>0.4661497136586259</v>
      </c>
      <c r="Z1218" s="6">
        <v>0.5680822734754114</v>
      </c>
      <c r="AA1218" s="6">
        <v>0.96682784637539942</v>
      </c>
      <c r="AB1218" s="6">
        <v>4.7354141204016917</v>
      </c>
      <c r="AC1218" s="6">
        <v>-1.7138961785972699</v>
      </c>
      <c r="AD1218" s="6">
        <v>-0.74051716420301172</v>
      </c>
      <c r="AE1218" s="6">
        <v>-0.47907580201067201</v>
      </c>
      <c r="AF1218" s="6">
        <v>-0.35756174280668052</v>
      </c>
      <c r="AG1218" s="6">
        <v>-0.28735389164836678</v>
      </c>
      <c r="AH1218" s="6">
        <v>-0.24162227920382404</v>
      </c>
      <c r="AI1218" s="6">
        <v>-0.20946728980057275</v>
      </c>
    </row>
    <row r="1219" spans="3:56" ht="15" customHeight="1">
      <c r="C1219" s="19"/>
      <c r="G1219" s="19"/>
      <c r="H1219" s="19"/>
      <c r="I1219" s="19"/>
      <c r="J1219" s="19"/>
      <c r="K1219" s="19"/>
      <c r="L1219" s="19"/>
      <c r="M1219" s="19"/>
      <c r="N1219" s="19"/>
      <c r="O1219" s="19"/>
      <c r="P1219" s="19"/>
      <c r="Q1219" s="19"/>
      <c r="R1219" s="19"/>
      <c r="S1219" s="19"/>
    </row>
    <row r="1220" spans="3:56" ht="15" customHeight="1">
      <c r="C1220" s="169"/>
      <c r="D1220" s="463" t="s">
        <v>761</v>
      </c>
      <c r="E1220" s="463"/>
      <c r="F1220" s="556"/>
      <c r="G1220" s="556"/>
      <c r="H1220" s="556"/>
      <c r="I1220" s="556"/>
      <c r="J1220" s="556"/>
      <c r="K1220" s="556"/>
      <c r="L1220" s="556"/>
      <c r="M1220" s="556"/>
      <c r="N1220" s="556"/>
      <c r="O1220" s="556"/>
      <c r="P1220" s="556"/>
      <c r="Q1220" s="556"/>
      <c r="R1220" s="556"/>
      <c r="S1220" s="556"/>
      <c r="T1220" s="556"/>
      <c r="U1220" s="556"/>
      <c r="V1220" s="556"/>
      <c r="W1220" s="556"/>
      <c r="X1220" s="556"/>
      <c r="Y1220" s="556"/>
      <c r="Z1220" s="556"/>
      <c r="AA1220" s="556"/>
      <c r="AB1220" s="556"/>
      <c r="AC1220" s="556"/>
      <c r="AD1220" s="556"/>
      <c r="AE1220" s="556"/>
      <c r="AF1220" s="556"/>
      <c r="AG1220" s="556"/>
      <c r="AH1220" s="556"/>
      <c r="AI1220" s="556"/>
      <c r="AJ1220" s="464"/>
      <c r="AK1220" s="464"/>
      <c r="AL1220" s="464"/>
      <c r="AM1220" s="464"/>
      <c r="AN1220" s="464"/>
      <c r="AO1220" s="464"/>
      <c r="AP1220" s="464"/>
      <c r="AQ1220" s="464"/>
      <c r="AR1220" s="464"/>
      <c r="AS1220" s="464"/>
      <c r="AT1220" s="464"/>
      <c r="AU1220" s="464"/>
      <c r="AV1220" s="464"/>
      <c r="AW1220" s="464"/>
      <c r="AX1220" s="464"/>
      <c r="AY1220" s="464"/>
      <c r="AZ1220" s="464"/>
      <c r="BA1220" s="464"/>
      <c r="BB1220" s="464"/>
      <c r="BC1220" s="464"/>
      <c r="BD1220" s="464"/>
    </row>
    <row r="1221" spans="3:56" ht="15" customHeight="1">
      <c r="C1221" s="19"/>
      <c r="G1221" s="19"/>
      <c r="H1221" s="19"/>
      <c r="I1221" s="19"/>
      <c r="J1221" s="19"/>
      <c r="K1221" s="19"/>
      <c r="L1221" s="19"/>
      <c r="M1221" s="19"/>
      <c r="N1221" s="19"/>
      <c r="O1221" s="19"/>
      <c r="P1221" s="19"/>
      <c r="Q1221" s="19"/>
      <c r="R1221" s="19"/>
      <c r="S1221" s="19"/>
    </row>
    <row r="1222" spans="3:56" ht="15" customHeight="1">
      <c r="C1222" s="19"/>
      <c r="F1222" s="61"/>
      <c r="G1222" s="173" t="str">
        <f t="shared" ref="G1222:Q1222" si="808">G991</f>
        <v>Tanzania w/o sharing</v>
      </c>
      <c r="H1222" s="173" t="str">
        <f t="shared" si="808"/>
        <v>Tanzania w 50/50 sharing</v>
      </c>
      <c r="I1222" s="173" t="str">
        <f t="shared" si="808"/>
        <v>Ecuador</v>
      </c>
      <c r="J1222" s="173" t="str">
        <f t="shared" si="808"/>
        <v>Philippines FTAA</v>
      </c>
      <c r="K1222" s="173" t="str">
        <f t="shared" si="808"/>
        <v>Burkina Faso</v>
      </c>
      <c r="L1222" s="173" t="str">
        <f t="shared" si="808"/>
        <v>DRC</v>
      </c>
      <c r="M1222" s="173" t="str">
        <f t="shared" si="808"/>
        <v>Ghana</v>
      </c>
      <c r="N1222" s="173" t="str">
        <f t="shared" si="808"/>
        <v>South Africa (gold)</v>
      </c>
      <c r="O1222" s="173" t="str">
        <f t="shared" si="808"/>
        <v>Indonesia</v>
      </c>
      <c r="P1222" s="173" t="str">
        <f t="shared" si="808"/>
        <v>Peru</v>
      </c>
      <c r="Q1222" s="173" t="str">
        <f t="shared" si="808"/>
        <v>Western Australia</v>
      </c>
      <c r="R1222" s="19"/>
      <c r="S1222" s="19"/>
    </row>
    <row r="1223" spans="3:56" ht="15" customHeight="1">
      <c r="C1223" s="19"/>
      <c r="D1223" s="9" t="s">
        <v>5</v>
      </c>
      <c r="F1223" s="61"/>
      <c r="G1223" s="174">
        <f t="shared" ref="G1223:Q1223" si="809">SUM(G993:G995)</f>
        <v>233.92500000000001</v>
      </c>
      <c r="H1223" s="174">
        <f t="shared" si="809"/>
        <v>233.92500000000001</v>
      </c>
      <c r="I1223" s="174">
        <f t="shared" si="809"/>
        <v>189.125</v>
      </c>
      <c r="J1223" s="174">
        <f t="shared" si="809"/>
        <v>102.71250000000002</v>
      </c>
      <c r="K1223" s="174">
        <f t="shared" si="809"/>
        <v>293.77499999999998</v>
      </c>
      <c r="L1223" s="174">
        <f t="shared" si="809"/>
        <v>189.125</v>
      </c>
      <c r="M1223" s="174">
        <f t="shared" si="809"/>
        <v>205.5</v>
      </c>
      <c r="N1223" s="174">
        <f t="shared" si="809"/>
        <v>230.58499999999998</v>
      </c>
      <c r="O1223" s="174">
        <f t="shared" si="809"/>
        <v>260.99250000000012</v>
      </c>
      <c r="P1223" s="174">
        <f t="shared" si="809"/>
        <v>0</v>
      </c>
      <c r="Q1223" s="174">
        <f t="shared" si="809"/>
        <v>189.125</v>
      </c>
      <c r="R1223" s="19"/>
      <c r="S1223" s="19"/>
    </row>
    <row r="1224" spans="3:56" ht="15" customHeight="1">
      <c r="C1224" s="19"/>
      <c r="D1224" s="88" t="s">
        <v>417</v>
      </c>
      <c r="F1224" s="84"/>
      <c r="G1224" s="174">
        <f t="shared" ref="G1224:Q1224" si="810">SUM(G996:G998)</f>
        <v>896.00000000000023</v>
      </c>
      <c r="H1224" s="174">
        <f t="shared" si="810"/>
        <v>896.00000000000023</v>
      </c>
      <c r="I1224" s="174">
        <f t="shared" si="810"/>
        <v>638.25750000000016</v>
      </c>
      <c r="J1224" s="174">
        <f t="shared" si="810"/>
        <v>896.00000000000034</v>
      </c>
      <c r="K1224" s="174">
        <f t="shared" si="810"/>
        <v>768</v>
      </c>
      <c r="L1224" s="174">
        <f t="shared" si="810"/>
        <v>486.4000000000002</v>
      </c>
      <c r="M1224" s="174">
        <f t="shared" si="810"/>
        <v>640</v>
      </c>
      <c r="N1224" s="174">
        <f t="shared" si="810"/>
        <v>822.09388888888918</v>
      </c>
      <c r="O1224" s="174">
        <f t="shared" si="810"/>
        <v>478.69312499999984</v>
      </c>
      <c r="P1224" s="174">
        <f t="shared" si="810"/>
        <v>0</v>
      </c>
      <c r="Q1224" s="174">
        <f t="shared" si="810"/>
        <v>320</v>
      </c>
      <c r="R1224" s="19"/>
      <c r="S1224" s="19"/>
    </row>
    <row r="1225" spans="3:56" ht="15" customHeight="1">
      <c r="C1225" s="19"/>
      <c r="D1225" s="88" t="s">
        <v>762</v>
      </c>
      <c r="F1225" s="84"/>
      <c r="G1225" s="174">
        <f t="shared" ref="G1225:Q1225" si="811">SUM(G999:G1000)</f>
        <v>0</v>
      </c>
      <c r="H1225" s="174">
        <f t="shared" si="811"/>
        <v>0</v>
      </c>
      <c r="I1225" s="174">
        <f t="shared" si="811"/>
        <v>0</v>
      </c>
      <c r="J1225" s="174">
        <f t="shared" si="811"/>
        <v>0</v>
      </c>
      <c r="K1225" s="174">
        <f t="shared" si="811"/>
        <v>0</v>
      </c>
      <c r="L1225" s="174">
        <f t="shared" si="811"/>
        <v>0</v>
      </c>
      <c r="M1225" s="174">
        <f t="shared" si="811"/>
        <v>0</v>
      </c>
      <c r="N1225" s="174">
        <f t="shared" si="811"/>
        <v>0</v>
      </c>
      <c r="O1225" s="174">
        <f t="shared" si="811"/>
        <v>0</v>
      </c>
      <c r="P1225" s="174">
        <f t="shared" si="811"/>
        <v>560.5467500000002</v>
      </c>
      <c r="Q1225" s="174">
        <f t="shared" si="811"/>
        <v>0</v>
      </c>
      <c r="R1225" s="19"/>
      <c r="S1225" s="19"/>
    </row>
    <row r="1226" spans="3:56" ht="15" customHeight="1">
      <c r="C1226" s="19"/>
      <c r="D1226" s="88" t="s">
        <v>763</v>
      </c>
      <c r="E1226" s="7"/>
      <c r="F1226" s="7"/>
      <c r="G1226" s="174">
        <f t="shared" ref="G1226:Q1226" si="812">G1001 + G1002 + G1003 + G1004 + G1005 + G1006 + G1007 + G1008 + G1009 + G1010</f>
        <v>2199.1949356780547</v>
      </c>
      <c r="H1226" s="174">
        <f t="shared" si="812"/>
        <v>1768.4947466983313</v>
      </c>
      <c r="I1226" s="174">
        <f t="shared" si="812"/>
        <v>2367.6929532437548</v>
      </c>
      <c r="J1226" s="174">
        <f t="shared" si="812"/>
        <v>2000.2576554304419</v>
      </c>
      <c r="K1226" s="174">
        <f t="shared" si="812"/>
        <v>1841.0427616432887</v>
      </c>
      <c r="L1226" s="174">
        <f t="shared" si="812"/>
        <v>2236.520536748792</v>
      </c>
      <c r="M1226" s="174">
        <f t="shared" si="812"/>
        <v>2290.8013593713622</v>
      </c>
      <c r="N1226" s="174">
        <f t="shared" si="812"/>
        <v>2071.9183142001311</v>
      </c>
      <c r="O1226" s="174">
        <f t="shared" si="812"/>
        <v>2077.0821635992347</v>
      </c>
      <c r="P1226" s="174">
        <f t="shared" si="812"/>
        <v>1757.5461847000208</v>
      </c>
      <c r="Q1226" s="174">
        <f t="shared" si="812"/>
        <v>1617.4920306301838</v>
      </c>
      <c r="R1226" s="19"/>
      <c r="S1226" s="19"/>
    </row>
    <row r="1227" spans="3:56" ht="15" customHeight="1">
      <c r="C1227" s="19"/>
      <c r="D1227" s="88"/>
      <c r="E1227" s="7"/>
      <c r="F1227" s="7"/>
      <c r="G1227" s="7"/>
      <c r="H1227" s="144"/>
      <c r="I1227" s="7"/>
      <c r="J1227" s="19"/>
      <c r="K1227" s="19"/>
      <c r="L1227" s="19"/>
      <c r="M1227" s="19"/>
      <c r="N1227" s="19"/>
      <c r="O1227" s="19"/>
      <c r="P1227" s="19"/>
      <c r="Q1227" s="19"/>
      <c r="R1227" s="19"/>
      <c r="S1227" s="19"/>
    </row>
    <row r="1228" spans="3:56" ht="15" customHeight="1">
      <c r="C1228" s="19"/>
      <c r="D1228" s="88"/>
      <c r="E1228" s="7"/>
      <c r="F1228" s="7"/>
      <c r="G1228" s="7"/>
      <c r="H1228" s="144"/>
      <c r="I1228" s="7"/>
      <c r="J1228" s="19"/>
      <c r="K1228" s="19"/>
      <c r="L1228" s="19"/>
      <c r="M1228" s="19"/>
      <c r="N1228" s="19"/>
      <c r="O1228" s="19"/>
      <c r="P1228" s="19"/>
      <c r="Q1228" s="19"/>
      <c r="R1228" s="19"/>
      <c r="S1228" s="19"/>
    </row>
    <row r="1229" spans="3:56" ht="15" customHeight="1">
      <c r="C1229" s="19"/>
      <c r="F1229" s="61"/>
      <c r="G1229" s="173" t="str">
        <f t="shared" ref="G1229:Q1229" si="813">G1222</f>
        <v>Tanzania w/o sharing</v>
      </c>
      <c r="H1229" s="173" t="str">
        <f t="shared" si="813"/>
        <v>Tanzania w 50/50 sharing</v>
      </c>
      <c r="I1229" s="173" t="str">
        <f t="shared" si="813"/>
        <v>Ecuador</v>
      </c>
      <c r="J1229" s="173" t="str">
        <f t="shared" si="813"/>
        <v>Philippines FTAA</v>
      </c>
      <c r="K1229" s="173" t="str">
        <f t="shared" si="813"/>
        <v>Burkina Faso</v>
      </c>
      <c r="L1229" s="173" t="str">
        <f t="shared" si="813"/>
        <v>DRC</v>
      </c>
      <c r="M1229" s="173" t="str">
        <f t="shared" si="813"/>
        <v>Ghana</v>
      </c>
      <c r="N1229" s="173" t="str">
        <f t="shared" si="813"/>
        <v>South Africa (gold)</v>
      </c>
      <c r="O1229" s="173" t="str">
        <f t="shared" si="813"/>
        <v>Indonesia</v>
      </c>
      <c r="P1229" s="173" t="str">
        <f t="shared" si="813"/>
        <v>Peru</v>
      </c>
      <c r="Q1229" s="173" t="str">
        <f t="shared" si="813"/>
        <v>Western Australia</v>
      </c>
      <c r="R1229" s="19"/>
      <c r="S1229" s="19"/>
    </row>
    <row r="1230" spans="3:56" ht="15" customHeight="1">
      <c r="C1230" s="19"/>
      <c r="D1230" s="9" t="s">
        <v>5</v>
      </c>
      <c r="F1230" s="61"/>
      <c r="G1230" s="163">
        <f t="shared" ref="G1230:Q1230" si="814">G1223/SUM(G$1223:G$1226)</f>
        <v>7.0266317981828905E-2</v>
      </c>
      <c r="H1230" s="163">
        <f t="shared" si="814"/>
        <v>8.0707771973493603E-2</v>
      </c>
      <c r="I1230" s="163">
        <f t="shared" si="814"/>
        <v>5.9192655312097102E-2</v>
      </c>
      <c r="J1230" s="163">
        <f t="shared" si="814"/>
        <v>3.424925713715804E-2</v>
      </c>
      <c r="K1230" s="163">
        <f t="shared" si="814"/>
        <v>0.10120339067847428</v>
      </c>
      <c r="L1230" s="163">
        <f t="shared" si="814"/>
        <v>6.4945756380977535E-2</v>
      </c>
      <c r="M1230" s="163">
        <f t="shared" si="814"/>
        <v>6.5523040184247552E-2</v>
      </c>
      <c r="N1230" s="163">
        <f t="shared" si="814"/>
        <v>7.379671202804651E-2</v>
      </c>
      <c r="O1230" s="163">
        <f t="shared" si="814"/>
        <v>9.2656732676494588E-2</v>
      </c>
      <c r="P1230" s="163">
        <f t="shared" si="814"/>
        <v>0</v>
      </c>
      <c r="Q1230" s="163">
        <f t="shared" si="814"/>
        <v>8.8932326448996929E-2</v>
      </c>
      <c r="R1230" s="19"/>
      <c r="S1230" s="19"/>
    </row>
    <row r="1231" spans="3:56" ht="15" customHeight="1">
      <c r="C1231" s="19"/>
      <c r="D1231" s="88" t="s">
        <v>417</v>
      </c>
      <c r="F1231" s="84"/>
      <c r="G1231" s="163">
        <f t="shared" ref="G1231:Q1231" si="815">G1224/SUM(G$1223:G$1226)</f>
        <v>0.26914019840426939</v>
      </c>
      <c r="H1231" s="163">
        <f t="shared" si="815"/>
        <v>0.30913396895693185</v>
      </c>
      <c r="I1231" s="163">
        <f t="shared" si="815"/>
        <v>0.19976288802570163</v>
      </c>
      <c r="J1231" s="163">
        <f t="shared" si="815"/>
        <v>0.29876922862254945</v>
      </c>
      <c r="K1231" s="163">
        <f t="shared" si="815"/>
        <v>0.26457051839356055</v>
      </c>
      <c r="L1231" s="163">
        <f t="shared" si="815"/>
        <v>0.16703035507578312</v>
      </c>
      <c r="M1231" s="163">
        <f t="shared" si="815"/>
        <v>0.20406202295824055</v>
      </c>
      <c r="N1231" s="163">
        <f t="shared" si="815"/>
        <v>0.26310395723204122</v>
      </c>
      <c r="O1231" s="163">
        <f t="shared" si="815"/>
        <v>0.16994412068239806</v>
      </c>
      <c r="P1231" s="163">
        <f t="shared" si="815"/>
        <v>0</v>
      </c>
      <c r="Q1231" s="163">
        <f t="shared" si="815"/>
        <v>0.15047373146690821</v>
      </c>
      <c r="R1231" s="19"/>
      <c r="S1231" s="19"/>
    </row>
    <row r="1232" spans="3:56" ht="15" customHeight="1">
      <c r="C1232" s="19"/>
      <c r="D1232" s="88" t="s">
        <v>762</v>
      </c>
      <c r="F1232" s="84"/>
      <c r="G1232" s="163">
        <f t="shared" ref="G1232:Q1232" si="816">G1225/SUM(G$1223:G$1226)</f>
        <v>0</v>
      </c>
      <c r="H1232" s="163">
        <f t="shared" si="816"/>
        <v>0</v>
      </c>
      <c r="I1232" s="163">
        <f t="shared" si="816"/>
        <v>0</v>
      </c>
      <c r="J1232" s="163">
        <f t="shared" si="816"/>
        <v>0</v>
      </c>
      <c r="K1232" s="163">
        <f t="shared" si="816"/>
        <v>0</v>
      </c>
      <c r="L1232" s="163">
        <f t="shared" si="816"/>
        <v>0</v>
      </c>
      <c r="M1232" s="163">
        <f t="shared" si="816"/>
        <v>0</v>
      </c>
      <c r="N1232" s="163">
        <f t="shared" si="816"/>
        <v>0</v>
      </c>
      <c r="O1232" s="163">
        <f t="shared" si="816"/>
        <v>0</v>
      </c>
      <c r="P1232" s="163">
        <f t="shared" si="816"/>
        <v>0.24181375198942973</v>
      </c>
      <c r="Q1232" s="163">
        <f t="shared" si="816"/>
        <v>0</v>
      </c>
      <c r="R1232" s="19"/>
      <c r="S1232" s="19"/>
    </row>
    <row r="1233" spans="3:56" ht="15" customHeight="1">
      <c r="C1233" s="19"/>
      <c r="D1233" s="88" t="s">
        <v>763</v>
      </c>
      <c r="E1233" s="7"/>
      <c r="F1233" s="7"/>
      <c r="G1233" s="163">
        <f t="shared" ref="G1233:Q1233" si="817">G1226/SUM(G$1223:G$1226)</f>
        <v>0.66059348361390169</v>
      </c>
      <c r="H1233" s="163">
        <f t="shared" si="817"/>
        <v>0.61015825906957455</v>
      </c>
      <c r="I1233" s="163">
        <f t="shared" si="817"/>
        <v>0.7410444566622012</v>
      </c>
      <c r="J1233" s="163">
        <f t="shared" si="817"/>
        <v>0.66698151424029262</v>
      </c>
      <c r="K1233" s="163">
        <f t="shared" si="817"/>
        <v>0.63422609092796522</v>
      </c>
      <c r="L1233" s="163">
        <f t="shared" si="817"/>
        <v>0.76802388854323933</v>
      </c>
      <c r="M1233" s="163">
        <f t="shared" si="817"/>
        <v>0.73041493685751191</v>
      </c>
      <c r="N1233" s="163">
        <f t="shared" si="817"/>
        <v>0.66309933073991234</v>
      </c>
      <c r="O1233" s="163">
        <f t="shared" si="817"/>
        <v>0.73739914664110728</v>
      </c>
      <c r="P1233" s="163">
        <f t="shared" si="817"/>
        <v>0.75818624801057033</v>
      </c>
      <c r="Q1233" s="163">
        <f t="shared" si="817"/>
        <v>0.76059394208409481</v>
      </c>
      <c r="R1233" s="19"/>
      <c r="S1233" s="19"/>
    </row>
    <row r="1234" spans="3:56" ht="15" customHeight="1">
      <c r="C1234" s="19"/>
      <c r="D1234" s="88"/>
      <c r="E1234" s="7"/>
      <c r="F1234" s="7"/>
      <c r="G1234" s="7"/>
      <c r="H1234" s="144"/>
      <c r="I1234" s="7"/>
      <c r="J1234" s="19"/>
      <c r="K1234" s="19"/>
      <c r="L1234" s="19"/>
      <c r="M1234" s="19"/>
      <c r="N1234" s="19"/>
      <c r="O1234" s="19"/>
      <c r="P1234" s="19"/>
      <c r="Q1234" s="19"/>
      <c r="R1234" s="19"/>
      <c r="S1234" s="19"/>
    </row>
    <row r="1235" spans="3:56" s="72" customFormat="1" ht="15" customHeight="1">
      <c r="C1235" s="78"/>
      <c r="D1235" s="74" t="s">
        <v>764</v>
      </c>
      <c r="E1235" s="74"/>
      <c r="F1235" s="75"/>
      <c r="G1235" s="76"/>
      <c r="H1235" s="76"/>
      <c r="I1235" s="76"/>
      <c r="J1235" s="76"/>
      <c r="K1235" s="76"/>
      <c r="L1235" s="76"/>
      <c r="M1235" s="76"/>
      <c r="N1235" s="76"/>
      <c r="O1235" s="76"/>
      <c r="P1235" s="76"/>
      <c r="Q1235" s="76"/>
      <c r="R1235" s="76"/>
      <c r="S1235" s="76"/>
      <c r="T1235" s="77"/>
      <c r="U1235" s="77"/>
    </row>
    <row r="1236" spans="3:56" s="68" customFormat="1" ht="15" customHeight="1">
      <c r="C1236" s="21">
        <f>SUM(G1236:BD1236)</f>
        <v>29.925000000000001</v>
      </c>
      <c r="D1236" s="79" t="s">
        <v>5</v>
      </c>
      <c r="E1236" s="52" t="s">
        <v>289</v>
      </c>
      <c r="F1236" s="80"/>
      <c r="G1236" s="19">
        <f t="shared" ref="G1236:AL1236" si="818">IF(G$631 = 0, SUM(G969:G971), 0)</f>
        <v>0</v>
      </c>
      <c r="H1236" s="19">
        <f t="shared" si="818"/>
        <v>0</v>
      </c>
      <c r="I1236" s="19">
        <f t="shared" si="818"/>
        <v>2.8125000000000004</v>
      </c>
      <c r="J1236" s="19">
        <f t="shared" si="818"/>
        <v>11.25</v>
      </c>
      <c r="K1236" s="19">
        <f t="shared" si="818"/>
        <v>6.2775000000000007</v>
      </c>
      <c r="L1236" s="19">
        <f t="shared" si="818"/>
        <v>9.5850000000000009</v>
      </c>
      <c r="M1236" s="19">
        <f t="shared" si="818"/>
        <v>0</v>
      </c>
      <c r="N1236" s="19">
        <f t="shared" si="818"/>
        <v>0</v>
      </c>
      <c r="O1236" s="19">
        <f t="shared" si="818"/>
        <v>0</v>
      </c>
      <c r="P1236" s="19">
        <f t="shared" si="818"/>
        <v>0</v>
      </c>
      <c r="Q1236" s="19">
        <f t="shared" si="818"/>
        <v>0</v>
      </c>
      <c r="R1236" s="19">
        <f t="shared" si="818"/>
        <v>0</v>
      </c>
      <c r="S1236" s="19">
        <f t="shared" si="818"/>
        <v>0</v>
      </c>
      <c r="T1236" s="19">
        <f t="shared" si="818"/>
        <v>0</v>
      </c>
      <c r="U1236" s="19">
        <f t="shared" si="818"/>
        <v>0</v>
      </c>
      <c r="V1236" s="19">
        <f t="shared" si="818"/>
        <v>0</v>
      </c>
      <c r="W1236" s="19">
        <f t="shared" si="818"/>
        <v>0</v>
      </c>
      <c r="X1236" s="19">
        <f t="shared" si="818"/>
        <v>0</v>
      </c>
      <c r="Y1236" s="19">
        <f t="shared" si="818"/>
        <v>0</v>
      </c>
      <c r="Z1236" s="19">
        <f t="shared" si="818"/>
        <v>0</v>
      </c>
      <c r="AA1236" s="19">
        <f t="shared" si="818"/>
        <v>0</v>
      </c>
      <c r="AB1236" s="19">
        <f t="shared" si="818"/>
        <v>0</v>
      </c>
      <c r="AC1236" s="19">
        <f t="shared" si="818"/>
        <v>0</v>
      </c>
      <c r="AD1236" s="19">
        <f t="shared" si="818"/>
        <v>0</v>
      </c>
      <c r="AE1236" s="19">
        <f t="shared" si="818"/>
        <v>0</v>
      </c>
      <c r="AF1236" s="19">
        <f t="shared" si="818"/>
        <v>0</v>
      </c>
      <c r="AG1236" s="19">
        <f t="shared" si="818"/>
        <v>0</v>
      </c>
      <c r="AH1236" s="19">
        <f t="shared" si="818"/>
        <v>0</v>
      </c>
      <c r="AI1236" s="19">
        <f t="shared" si="818"/>
        <v>0</v>
      </c>
      <c r="AJ1236" s="19">
        <f t="shared" si="818"/>
        <v>0</v>
      </c>
      <c r="AK1236" s="19">
        <f t="shared" si="818"/>
        <v>0</v>
      </c>
      <c r="AL1236" s="19">
        <f t="shared" si="818"/>
        <v>0</v>
      </c>
      <c r="AM1236" s="19">
        <f t="shared" ref="AM1236:BD1236" si="819">IF(AM$631 = 0, SUM(AM969:AM971), 0)</f>
        <v>0</v>
      </c>
      <c r="AN1236" s="19">
        <f t="shared" si="819"/>
        <v>0</v>
      </c>
      <c r="AO1236" s="19">
        <f t="shared" si="819"/>
        <v>0</v>
      </c>
      <c r="AP1236" s="19">
        <f t="shared" si="819"/>
        <v>0</v>
      </c>
      <c r="AQ1236" s="19">
        <f t="shared" si="819"/>
        <v>0</v>
      </c>
      <c r="AR1236" s="19">
        <f t="shared" si="819"/>
        <v>0</v>
      </c>
      <c r="AS1236" s="19">
        <f t="shared" si="819"/>
        <v>0</v>
      </c>
      <c r="AT1236" s="19">
        <f t="shared" si="819"/>
        <v>0</v>
      </c>
      <c r="AU1236" s="19">
        <f t="shared" si="819"/>
        <v>0</v>
      </c>
      <c r="AV1236" s="19">
        <f t="shared" si="819"/>
        <v>0</v>
      </c>
      <c r="AW1236" s="19">
        <f t="shared" si="819"/>
        <v>0</v>
      </c>
      <c r="AX1236" s="19">
        <f t="shared" si="819"/>
        <v>0</v>
      </c>
      <c r="AY1236" s="19">
        <f t="shared" si="819"/>
        <v>0</v>
      </c>
      <c r="AZ1236" s="19">
        <f t="shared" si="819"/>
        <v>0</v>
      </c>
      <c r="BA1236" s="19">
        <f t="shared" si="819"/>
        <v>0</v>
      </c>
      <c r="BB1236" s="19">
        <f t="shared" si="819"/>
        <v>0</v>
      </c>
      <c r="BC1236" s="19">
        <f t="shared" si="819"/>
        <v>0</v>
      </c>
      <c r="BD1236" s="19">
        <f t="shared" si="819"/>
        <v>0</v>
      </c>
    </row>
    <row r="1237" spans="3:56" s="68" customFormat="1" ht="15" customHeight="1">
      <c r="C1237" s="21">
        <f t="shared" ref="C1237:C1239" si="820">SUM(G1237:BD1237)</f>
        <v>56</v>
      </c>
      <c r="D1237" s="79" t="s">
        <v>417</v>
      </c>
      <c r="E1237" s="52" t="s">
        <v>289</v>
      </c>
      <c r="F1237" s="80"/>
      <c r="G1237" s="19">
        <f t="shared" ref="G1237:AL1237" si="821">IF(G$631 = 0, SUM(G972:G974), 0)</f>
        <v>0</v>
      </c>
      <c r="H1237" s="19">
        <f t="shared" si="821"/>
        <v>0</v>
      </c>
      <c r="I1237" s="19">
        <f t="shared" si="821"/>
        <v>0</v>
      </c>
      <c r="J1237" s="19">
        <f t="shared" si="821"/>
        <v>0</v>
      </c>
      <c r="K1237" s="19">
        <f t="shared" si="821"/>
        <v>16.8</v>
      </c>
      <c r="L1237" s="19">
        <f t="shared" si="821"/>
        <v>39.199999999999996</v>
      </c>
      <c r="M1237" s="19">
        <f t="shared" si="821"/>
        <v>0</v>
      </c>
      <c r="N1237" s="19">
        <f t="shared" si="821"/>
        <v>0</v>
      </c>
      <c r="O1237" s="19">
        <f t="shared" si="821"/>
        <v>0</v>
      </c>
      <c r="P1237" s="19">
        <f t="shared" si="821"/>
        <v>0</v>
      </c>
      <c r="Q1237" s="19">
        <f t="shared" si="821"/>
        <v>0</v>
      </c>
      <c r="R1237" s="19">
        <f t="shared" si="821"/>
        <v>0</v>
      </c>
      <c r="S1237" s="19">
        <f t="shared" si="821"/>
        <v>0</v>
      </c>
      <c r="T1237" s="19">
        <f t="shared" si="821"/>
        <v>0</v>
      </c>
      <c r="U1237" s="19">
        <f t="shared" si="821"/>
        <v>0</v>
      </c>
      <c r="V1237" s="19">
        <f t="shared" si="821"/>
        <v>0</v>
      </c>
      <c r="W1237" s="19">
        <f t="shared" si="821"/>
        <v>0</v>
      </c>
      <c r="X1237" s="19">
        <f t="shared" si="821"/>
        <v>0</v>
      </c>
      <c r="Y1237" s="19">
        <f t="shared" si="821"/>
        <v>0</v>
      </c>
      <c r="Z1237" s="19">
        <f t="shared" si="821"/>
        <v>0</v>
      </c>
      <c r="AA1237" s="19">
        <f t="shared" si="821"/>
        <v>0</v>
      </c>
      <c r="AB1237" s="19">
        <f t="shared" si="821"/>
        <v>0</v>
      </c>
      <c r="AC1237" s="19">
        <f t="shared" si="821"/>
        <v>0</v>
      </c>
      <c r="AD1237" s="19">
        <f t="shared" si="821"/>
        <v>0</v>
      </c>
      <c r="AE1237" s="19">
        <f t="shared" si="821"/>
        <v>0</v>
      </c>
      <c r="AF1237" s="19">
        <f t="shared" si="821"/>
        <v>0</v>
      </c>
      <c r="AG1237" s="19">
        <f t="shared" si="821"/>
        <v>0</v>
      </c>
      <c r="AH1237" s="19">
        <f t="shared" si="821"/>
        <v>0</v>
      </c>
      <c r="AI1237" s="19">
        <f t="shared" si="821"/>
        <v>0</v>
      </c>
      <c r="AJ1237" s="19">
        <f t="shared" si="821"/>
        <v>0</v>
      </c>
      <c r="AK1237" s="19">
        <f t="shared" si="821"/>
        <v>0</v>
      </c>
      <c r="AL1237" s="19">
        <f t="shared" si="821"/>
        <v>0</v>
      </c>
      <c r="AM1237" s="19">
        <f t="shared" ref="AM1237:BD1237" si="822">IF(AM$631 = 0, SUM(AM972:AM974), 0)</f>
        <v>0</v>
      </c>
      <c r="AN1237" s="19">
        <f t="shared" si="822"/>
        <v>0</v>
      </c>
      <c r="AO1237" s="19">
        <f t="shared" si="822"/>
        <v>0</v>
      </c>
      <c r="AP1237" s="19">
        <f t="shared" si="822"/>
        <v>0</v>
      </c>
      <c r="AQ1237" s="19">
        <f t="shared" si="822"/>
        <v>0</v>
      </c>
      <c r="AR1237" s="19">
        <f t="shared" si="822"/>
        <v>0</v>
      </c>
      <c r="AS1237" s="19">
        <f t="shared" si="822"/>
        <v>0</v>
      </c>
      <c r="AT1237" s="19">
        <f t="shared" si="822"/>
        <v>0</v>
      </c>
      <c r="AU1237" s="19">
        <f t="shared" si="822"/>
        <v>0</v>
      </c>
      <c r="AV1237" s="19">
        <f t="shared" si="822"/>
        <v>0</v>
      </c>
      <c r="AW1237" s="19">
        <f t="shared" si="822"/>
        <v>0</v>
      </c>
      <c r="AX1237" s="19">
        <f t="shared" si="822"/>
        <v>0</v>
      </c>
      <c r="AY1237" s="19">
        <f t="shared" si="822"/>
        <v>0</v>
      </c>
      <c r="AZ1237" s="19">
        <f t="shared" si="822"/>
        <v>0</v>
      </c>
      <c r="BA1237" s="19">
        <f t="shared" si="822"/>
        <v>0</v>
      </c>
      <c r="BB1237" s="19">
        <f t="shared" si="822"/>
        <v>0</v>
      </c>
      <c r="BC1237" s="19">
        <f t="shared" si="822"/>
        <v>0</v>
      </c>
      <c r="BD1237" s="19">
        <f t="shared" si="822"/>
        <v>0</v>
      </c>
    </row>
    <row r="1238" spans="3:56" s="68" customFormat="1" ht="15" customHeight="1">
      <c r="C1238" s="21">
        <f t="shared" si="820"/>
        <v>0</v>
      </c>
      <c r="D1238" s="79" t="s">
        <v>762</v>
      </c>
      <c r="E1238" s="52" t="s">
        <v>289</v>
      </c>
      <c r="F1238" s="80"/>
      <c r="G1238" s="19">
        <f t="shared" ref="G1238:AL1238" si="823">IF(G$631 = 0, SUM(G975:G976), 0)</f>
        <v>0</v>
      </c>
      <c r="H1238" s="19">
        <f t="shared" si="823"/>
        <v>0</v>
      </c>
      <c r="I1238" s="19">
        <f t="shared" si="823"/>
        <v>0</v>
      </c>
      <c r="J1238" s="19">
        <f t="shared" si="823"/>
        <v>0</v>
      </c>
      <c r="K1238" s="19">
        <f t="shared" si="823"/>
        <v>0</v>
      </c>
      <c r="L1238" s="19">
        <f t="shared" si="823"/>
        <v>0</v>
      </c>
      <c r="M1238" s="19">
        <f t="shared" si="823"/>
        <v>0</v>
      </c>
      <c r="N1238" s="19">
        <f t="shared" si="823"/>
        <v>0</v>
      </c>
      <c r="O1238" s="19">
        <f t="shared" si="823"/>
        <v>0</v>
      </c>
      <c r="P1238" s="19">
        <f t="shared" si="823"/>
        <v>0</v>
      </c>
      <c r="Q1238" s="19">
        <f t="shared" si="823"/>
        <v>0</v>
      </c>
      <c r="R1238" s="19">
        <f t="shared" si="823"/>
        <v>0</v>
      </c>
      <c r="S1238" s="19">
        <f t="shared" si="823"/>
        <v>0</v>
      </c>
      <c r="T1238" s="19">
        <f t="shared" si="823"/>
        <v>0</v>
      </c>
      <c r="U1238" s="19">
        <f t="shared" si="823"/>
        <v>0</v>
      </c>
      <c r="V1238" s="19">
        <f t="shared" si="823"/>
        <v>0</v>
      </c>
      <c r="W1238" s="19">
        <f t="shared" si="823"/>
        <v>0</v>
      </c>
      <c r="X1238" s="19">
        <f t="shared" si="823"/>
        <v>0</v>
      </c>
      <c r="Y1238" s="19">
        <f t="shared" si="823"/>
        <v>0</v>
      </c>
      <c r="Z1238" s="19">
        <f t="shared" si="823"/>
        <v>0</v>
      </c>
      <c r="AA1238" s="19">
        <f t="shared" si="823"/>
        <v>0</v>
      </c>
      <c r="AB1238" s="19">
        <f t="shared" si="823"/>
        <v>0</v>
      </c>
      <c r="AC1238" s="19">
        <f t="shared" si="823"/>
        <v>0</v>
      </c>
      <c r="AD1238" s="19">
        <f t="shared" si="823"/>
        <v>0</v>
      </c>
      <c r="AE1238" s="19">
        <f t="shared" si="823"/>
        <v>0</v>
      </c>
      <c r="AF1238" s="19">
        <f t="shared" si="823"/>
        <v>0</v>
      </c>
      <c r="AG1238" s="19">
        <f t="shared" si="823"/>
        <v>0</v>
      </c>
      <c r="AH1238" s="19">
        <f t="shared" si="823"/>
        <v>0</v>
      </c>
      <c r="AI1238" s="19">
        <f t="shared" si="823"/>
        <v>0</v>
      </c>
      <c r="AJ1238" s="19">
        <f t="shared" si="823"/>
        <v>0</v>
      </c>
      <c r="AK1238" s="19">
        <f t="shared" si="823"/>
        <v>0</v>
      </c>
      <c r="AL1238" s="19">
        <f t="shared" si="823"/>
        <v>0</v>
      </c>
      <c r="AM1238" s="19">
        <f t="shared" ref="AM1238:BD1238" si="824">IF(AM$631 = 0, SUM(AM975:AM976), 0)</f>
        <v>0</v>
      </c>
      <c r="AN1238" s="19">
        <f t="shared" si="824"/>
        <v>0</v>
      </c>
      <c r="AO1238" s="19">
        <f t="shared" si="824"/>
        <v>0</v>
      </c>
      <c r="AP1238" s="19">
        <f t="shared" si="824"/>
        <v>0</v>
      </c>
      <c r="AQ1238" s="19">
        <f t="shared" si="824"/>
        <v>0</v>
      </c>
      <c r="AR1238" s="19">
        <f t="shared" si="824"/>
        <v>0</v>
      </c>
      <c r="AS1238" s="19">
        <f t="shared" si="824"/>
        <v>0</v>
      </c>
      <c r="AT1238" s="19">
        <f t="shared" si="824"/>
        <v>0</v>
      </c>
      <c r="AU1238" s="19">
        <f t="shared" si="824"/>
        <v>0</v>
      </c>
      <c r="AV1238" s="19">
        <f t="shared" si="824"/>
        <v>0</v>
      </c>
      <c r="AW1238" s="19">
        <f t="shared" si="824"/>
        <v>0</v>
      </c>
      <c r="AX1238" s="19">
        <f t="shared" si="824"/>
        <v>0</v>
      </c>
      <c r="AY1238" s="19">
        <f t="shared" si="824"/>
        <v>0</v>
      </c>
      <c r="AZ1238" s="19">
        <f t="shared" si="824"/>
        <v>0</v>
      </c>
      <c r="BA1238" s="19">
        <f t="shared" si="824"/>
        <v>0</v>
      </c>
      <c r="BB1238" s="19">
        <f t="shared" si="824"/>
        <v>0</v>
      </c>
      <c r="BC1238" s="19">
        <f t="shared" si="824"/>
        <v>0</v>
      </c>
      <c r="BD1238" s="19">
        <f t="shared" si="824"/>
        <v>0</v>
      </c>
    </row>
    <row r="1239" spans="3:56" s="68" customFormat="1" ht="15" customHeight="1">
      <c r="C1239" s="21">
        <f t="shared" si="820"/>
        <v>37.581448752172676</v>
      </c>
      <c r="D1239" s="79" t="s">
        <v>763</v>
      </c>
      <c r="E1239" s="52" t="s">
        <v>289</v>
      </c>
      <c r="F1239" s="80"/>
      <c r="G1239" s="19">
        <f t="shared" ref="G1239:AL1239" si="825">IF(G$631 = 0, SUM(G978:G986), 0)</f>
        <v>0</v>
      </c>
      <c r="H1239" s="19">
        <f t="shared" si="825"/>
        <v>0</v>
      </c>
      <c r="I1239" s="19">
        <f t="shared" si="825"/>
        <v>0</v>
      </c>
      <c r="J1239" s="19">
        <f t="shared" si="825"/>
        <v>0</v>
      </c>
      <c r="K1239" s="19">
        <f t="shared" si="825"/>
        <v>1.5474048442906576</v>
      </c>
      <c r="L1239" s="19">
        <f t="shared" si="825"/>
        <v>36.034043907882015</v>
      </c>
      <c r="M1239" s="19">
        <f t="shared" si="825"/>
        <v>0</v>
      </c>
      <c r="N1239" s="19">
        <f t="shared" si="825"/>
        <v>0</v>
      </c>
      <c r="O1239" s="19">
        <f t="shared" si="825"/>
        <v>0</v>
      </c>
      <c r="P1239" s="19">
        <f t="shared" si="825"/>
        <v>0</v>
      </c>
      <c r="Q1239" s="19">
        <f t="shared" si="825"/>
        <v>0</v>
      </c>
      <c r="R1239" s="19">
        <f t="shared" si="825"/>
        <v>0</v>
      </c>
      <c r="S1239" s="19">
        <f t="shared" si="825"/>
        <v>0</v>
      </c>
      <c r="T1239" s="19">
        <f t="shared" si="825"/>
        <v>0</v>
      </c>
      <c r="U1239" s="19">
        <f t="shared" si="825"/>
        <v>0</v>
      </c>
      <c r="V1239" s="19">
        <f t="shared" si="825"/>
        <v>0</v>
      </c>
      <c r="W1239" s="19">
        <f t="shared" si="825"/>
        <v>0</v>
      </c>
      <c r="X1239" s="19">
        <f t="shared" si="825"/>
        <v>0</v>
      </c>
      <c r="Y1239" s="19">
        <f t="shared" si="825"/>
        <v>0</v>
      </c>
      <c r="Z1239" s="19">
        <f t="shared" si="825"/>
        <v>0</v>
      </c>
      <c r="AA1239" s="19">
        <f t="shared" si="825"/>
        <v>0</v>
      </c>
      <c r="AB1239" s="19">
        <f t="shared" si="825"/>
        <v>0</v>
      </c>
      <c r="AC1239" s="19">
        <f t="shared" si="825"/>
        <v>0</v>
      </c>
      <c r="AD1239" s="19">
        <f t="shared" si="825"/>
        <v>0</v>
      </c>
      <c r="AE1239" s="19">
        <f t="shared" si="825"/>
        <v>0</v>
      </c>
      <c r="AF1239" s="19">
        <f t="shared" si="825"/>
        <v>0</v>
      </c>
      <c r="AG1239" s="19">
        <f t="shared" si="825"/>
        <v>0</v>
      </c>
      <c r="AH1239" s="19">
        <f t="shared" si="825"/>
        <v>0</v>
      </c>
      <c r="AI1239" s="19">
        <f t="shared" si="825"/>
        <v>0</v>
      </c>
      <c r="AJ1239" s="19">
        <f t="shared" si="825"/>
        <v>0</v>
      </c>
      <c r="AK1239" s="19">
        <f t="shared" si="825"/>
        <v>0</v>
      </c>
      <c r="AL1239" s="19">
        <f t="shared" si="825"/>
        <v>0</v>
      </c>
      <c r="AM1239" s="19">
        <f t="shared" ref="AM1239:BD1239" si="826">IF(AM$631 = 0, SUM(AM978:AM986), 0)</f>
        <v>0</v>
      </c>
      <c r="AN1239" s="19">
        <f t="shared" si="826"/>
        <v>0</v>
      </c>
      <c r="AO1239" s="19">
        <f t="shared" si="826"/>
        <v>0</v>
      </c>
      <c r="AP1239" s="19">
        <f t="shared" si="826"/>
        <v>0</v>
      </c>
      <c r="AQ1239" s="19">
        <f t="shared" si="826"/>
        <v>0</v>
      </c>
      <c r="AR1239" s="19">
        <f t="shared" si="826"/>
        <v>0</v>
      </c>
      <c r="AS1239" s="19">
        <f t="shared" si="826"/>
        <v>0</v>
      </c>
      <c r="AT1239" s="19">
        <f t="shared" si="826"/>
        <v>0</v>
      </c>
      <c r="AU1239" s="19">
        <f t="shared" si="826"/>
        <v>0</v>
      </c>
      <c r="AV1239" s="19">
        <f t="shared" si="826"/>
        <v>0</v>
      </c>
      <c r="AW1239" s="19">
        <f t="shared" si="826"/>
        <v>0</v>
      </c>
      <c r="AX1239" s="19">
        <f t="shared" si="826"/>
        <v>0</v>
      </c>
      <c r="AY1239" s="19">
        <f t="shared" si="826"/>
        <v>0</v>
      </c>
      <c r="AZ1239" s="19">
        <f t="shared" si="826"/>
        <v>0</v>
      </c>
      <c r="BA1239" s="19">
        <f t="shared" si="826"/>
        <v>0</v>
      </c>
      <c r="BB1239" s="19">
        <f t="shared" si="826"/>
        <v>0</v>
      </c>
      <c r="BC1239" s="19">
        <f t="shared" si="826"/>
        <v>0</v>
      </c>
      <c r="BD1239" s="19">
        <f t="shared" si="826"/>
        <v>0</v>
      </c>
    </row>
    <row r="1240" spans="3:56" s="68" customFormat="1" ht="15" customHeight="1">
      <c r="C1240" s="21"/>
      <c r="D1240" s="79"/>
      <c r="E1240" s="52"/>
      <c r="F1240" s="80"/>
      <c r="G1240" s="19"/>
      <c r="H1240" s="19"/>
      <c r="I1240" s="19"/>
      <c r="J1240" s="19"/>
      <c r="K1240" s="19"/>
      <c r="L1240" s="19"/>
      <c r="M1240" s="19"/>
      <c r="N1240" s="19"/>
      <c r="O1240" s="19"/>
      <c r="P1240" s="19"/>
      <c r="Q1240" s="19"/>
      <c r="R1240" s="19"/>
      <c r="S1240" s="19"/>
      <c r="T1240" s="19"/>
      <c r="U1240" s="19"/>
      <c r="V1240" s="19"/>
      <c r="W1240" s="19"/>
      <c r="X1240" s="19"/>
      <c r="Y1240" s="19"/>
      <c r="Z1240" s="19"/>
      <c r="AA1240" s="19"/>
      <c r="AB1240" s="19"/>
      <c r="AC1240" s="19"/>
      <c r="AD1240" s="19"/>
      <c r="AE1240" s="19"/>
      <c r="AF1240" s="19"/>
      <c r="AG1240" s="19"/>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row>
    <row r="1241" spans="3:56" s="68" customFormat="1" ht="15" customHeight="1">
      <c r="C1241" s="21"/>
      <c r="D1241" s="433" t="s">
        <v>765</v>
      </c>
      <c r="E1241" s="52"/>
      <c r="F1241" s="80"/>
      <c r="G1241" s="19"/>
      <c r="H1241" s="19"/>
      <c r="I1241" s="19"/>
      <c r="J1241" s="19"/>
      <c r="K1241" s="19"/>
      <c r="L1241" s="19"/>
      <c r="M1241" s="19"/>
      <c r="N1241" s="19"/>
      <c r="O1241" s="19"/>
      <c r="P1241" s="19"/>
      <c r="Q1241" s="19"/>
      <c r="R1241" s="19"/>
      <c r="S1241" s="19"/>
      <c r="T1241" s="19"/>
      <c r="U1241" s="19"/>
      <c r="V1241" s="19"/>
      <c r="W1241" s="19"/>
      <c r="X1241" s="19"/>
      <c r="Y1241" s="19"/>
      <c r="Z1241" s="19"/>
      <c r="AA1241" s="19"/>
      <c r="AB1241" s="19"/>
      <c r="AC1241" s="19"/>
      <c r="AD1241" s="19"/>
      <c r="AE1241" s="19"/>
      <c r="AF1241" s="19"/>
      <c r="AG1241" s="19"/>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row>
    <row r="1242" spans="3:56" s="68" customFormat="1" ht="15" customHeight="1">
      <c r="D1242" s="79" t="s">
        <v>5</v>
      </c>
      <c r="E1242" s="52"/>
      <c r="F1242" s="80"/>
      <c r="G1242" s="359">
        <f>C1236/$C$988</f>
        <v>8.9888620951425885E-3</v>
      </c>
      <c r="H1242" s="19"/>
      <c r="I1242" s="19"/>
      <c r="J1242" s="19"/>
      <c r="K1242" s="19"/>
      <c r="L1242" s="19"/>
      <c r="M1242" s="19"/>
      <c r="N1242" s="19"/>
      <c r="O1242" s="19"/>
      <c r="P1242" s="19"/>
      <c r="Q1242" s="19"/>
      <c r="R1242" s="19"/>
      <c r="S1242" s="19"/>
      <c r="T1242" s="19"/>
      <c r="U1242" s="19"/>
      <c r="V1242" s="19"/>
      <c r="W1242" s="19"/>
      <c r="X1242" s="19"/>
      <c r="Y1242" s="19"/>
      <c r="Z1242" s="19"/>
      <c r="AA1242" s="19"/>
      <c r="AB1242" s="19"/>
      <c r="AC1242" s="19"/>
      <c r="AD1242" s="19"/>
      <c r="AE1242" s="19"/>
      <c r="AF1242" s="19"/>
      <c r="AG1242" s="19"/>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row>
    <row r="1243" spans="3:56" s="68" customFormat="1" ht="15" customHeight="1">
      <c r="D1243" s="79" t="s">
        <v>417</v>
      </c>
      <c r="E1243" s="52"/>
      <c r="F1243" s="80"/>
      <c r="G1243" s="359">
        <f>C1237/$C$988</f>
        <v>1.682126240026683E-2</v>
      </c>
      <c r="H1243" s="19"/>
      <c r="I1243" s="19"/>
      <c r="J1243" s="19"/>
      <c r="K1243" s="19"/>
      <c r="L1243" s="19"/>
      <c r="M1243" s="19"/>
      <c r="N1243" s="19"/>
      <c r="O1243" s="19"/>
      <c r="P1243" s="19"/>
      <c r="Q1243" s="19"/>
      <c r="R1243" s="19"/>
      <c r="S1243" s="19"/>
      <c r="T1243" s="19"/>
      <c r="U1243" s="19"/>
      <c r="V1243" s="19"/>
      <c r="W1243" s="19"/>
      <c r="X1243" s="19"/>
      <c r="Y1243" s="19"/>
      <c r="Z1243" s="19"/>
      <c r="AA1243" s="19"/>
      <c r="AB1243" s="19"/>
      <c r="AC1243" s="19"/>
      <c r="AD1243" s="19"/>
      <c r="AE1243" s="19"/>
      <c r="AF1243" s="19"/>
      <c r="AG1243" s="19"/>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row>
    <row r="1244" spans="3:56" s="68" customFormat="1" ht="15" customHeight="1">
      <c r="D1244" s="79" t="s">
        <v>762</v>
      </c>
      <c r="E1244" s="52"/>
      <c r="F1244" s="80"/>
      <c r="G1244" s="359">
        <f>C1238/$C$988</f>
        <v>0</v>
      </c>
      <c r="H1244" s="19"/>
      <c r="I1244" s="19"/>
      <c r="J1244" s="19"/>
      <c r="K1244" s="19"/>
      <c r="L1244" s="19"/>
      <c r="M1244" s="19"/>
      <c r="N1244" s="19"/>
      <c r="O1244" s="19"/>
      <c r="P1244" s="19"/>
      <c r="Q1244" s="19"/>
      <c r="R1244" s="19"/>
      <c r="S1244" s="19"/>
      <c r="T1244" s="19"/>
      <c r="U1244" s="19"/>
      <c r="V1244" s="19"/>
      <c r="W1244" s="19"/>
      <c r="X1244" s="19"/>
      <c r="Y1244" s="19"/>
      <c r="Z1244" s="19"/>
      <c r="AA1244" s="19"/>
      <c r="AB1244" s="19"/>
      <c r="AC1244" s="19"/>
      <c r="AD1244" s="19"/>
      <c r="AE1244" s="19"/>
      <c r="AF1244" s="19"/>
      <c r="AG1244" s="19"/>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row>
    <row r="1245" spans="3:56" s="72" customFormat="1" ht="15" customHeight="1">
      <c r="D1245" s="79" t="s">
        <v>763</v>
      </c>
      <c r="E1245" s="74"/>
      <c r="F1245" s="75"/>
      <c r="G1245" s="359">
        <f>(C988 - SUM(C1236:C1238))/$C$988</f>
        <v>0.97418987550459057</v>
      </c>
      <c r="H1245" s="76"/>
      <c r="I1245" s="76"/>
      <c r="J1245" s="76"/>
      <c r="K1245" s="76"/>
      <c r="L1245" s="76"/>
      <c r="M1245" s="76"/>
      <c r="N1245" s="76"/>
      <c r="O1245" s="76"/>
      <c r="P1245" s="76"/>
      <c r="Q1245" s="76"/>
      <c r="R1245" s="76"/>
      <c r="S1245" s="76"/>
      <c r="T1245" s="77"/>
      <c r="U1245" s="77"/>
    </row>
    <row r="1246" spans="3:56" s="72" customFormat="1" ht="15" customHeight="1">
      <c r="C1246" s="78"/>
      <c r="D1246" s="79"/>
      <c r="E1246" s="74"/>
      <c r="F1246" s="75"/>
      <c r="G1246" s="76"/>
      <c r="H1246" s="76"/>
      <c r="I1246" s="76"/>
      <c r="J1246" s="76"/>
      <c r="K1246" s="76"/>
      <c r="L1246" s="76"/>
      <c r="M1246" s="76"/>
      <c r="N1246" s="76"/>
      <c r="O1246" s="76"/>
      <c r="P1246" s="76"/>
      <c r="Q1246" s="76"/>
      <c r="R1246" s="76"/>
      <c r="S1246" s="76"/>
      <c r="T1246" s="77"/>
      <c r="U1246" s="77"/>
    </row>
    <row r="1247" spans="3:56" ht="15" customHeight="1">
      <c r="C1247" s="169"/>
      <c r="D1247" s="463" t="str">
        <f>"Breakeven price - selected regime: "&amp;Inputs!E15</f>
        <v>Breakeven price - selected regime: Tanzania w/o sharing</v>
      </c>
      <c r="E1247" s="463"/>
      <c r="F1247" s="556"/>
      <c r="G1247" s="556"/>
      <c r="H1247" s="556"/>
      <c r="I1247" s="556"/>
      <c r="J1247" s="556"/>
      <c r="K1247" s="556"/>
      <c r="L1247" s="556"/>
      <c r="M1247" s="556"/>
      <c r="N1247" s="556"/>
      <c r="O1247" s="556"/>
      <c r="P1247" s="556"/>
      <c r="Q1247" s="556"/>
      <c r="R1247" s="556"/>
      <c r="S1247" s="556"/>
      <c r="T1247" s="556"/>
      <c r="U1247" s="556"/>
      <c r="V1247" s="556"/>
      <c r="W1247" s="556"/>
      <c r="X1247" s="556"/>
      <c r="Y1247" s="556"/>
      <c r="Z1247" s="556"/>
      <c r="AA1247" s="556"/>
      <c r="AB1247" s="556"/>
      <c r="AC1247" s="556"/>
      <c r="AD1247" s="556"/>
      <c r="AE1247" s="556"/>
      <c r="AF1247" s="556"/>
      <c r="AG1247" s="556"/>
      <c r="AH1247" s="556"/>
      <c r="AI1247" s="556"/>
      <c r="AJ1247" s="464"/>
      <c r="AK1247" s="464"/>
      <c r="AL1247" s="464"/>
      <c r="AM1247" s="464"/>
      <c r="AN1247" s="464"/>
      <c r="AO1247" s="464"/>
      <c r="AP1247" s="464"/>
      <c r="AQ1247" s="464"/>
      <c r="AR1247" s="464"/>
      <c r="AS1247" s="464"/>
      <c r="AT1247" s="464"/>
      <c r="AU1247" s="464"/>
      <c r="AV1247" s="464"/>
      <c r="AW1247" s="464"/>
      <c r="AX1247" s="464"/>
      <c r="AY1247" s="464"/>
      <c r="AZ1247" s="464"/>
      <c r="BA1247" s="464"/>
      <c r="BB1247" s="464"/>
      <c r="BC1247" s="464"/>
      <c r="BD1247" s="464"/>
    </row>
    <row r="1248" spans="3:56" ht="15" customHeight="1">
      <c r="D1248" s="11" t="s">
        <v>715</v>
      </c>
      <c r="E1248" s="11" t="s">
        <v>30</v>
      </c>
      <c r="F1248" s="93">
        <f>ROUND(C943,3)</f>
        <v>0.25800000000000001</v>
      </c>
      <c r="G1248" s="2" t="str">
        <f>Inputs!E200*100&amp;"% post-tax IRR"</f>
        <v>8% post-tax IRR</v>
      </c>
    </row>
    <row r="1249" spans="1:57" ht="15" customHeight="1">
      <c r="D1249" s="11" t="s">
        <v>766</v>
      </c>
      <c r="E1249" s="11" t="s">
        <v>298</v>
      </c>
      <c r="F1249" s="71">
        <f>Inputs!F210</f>
        <v>1600</v>
      </c>
      <c r="G1249" s="64" t="s">
        <v>767</v>
      </c>
    </row>
    <row r="1250" spans="1:57" ht="15" customHeight="1">
      <c r="F1250" s="78"/>
      <c r="G1250" s="64"/>
    </row>
    <row r="1251" spans="1:57" ht="33" customHeight="1">
      <c r="D1251" s="94" t="s">
        <v>768</v>
      </c>
      <c r="E1251" s="11" t="s">
        <v>769</v>
      </c>
      <c r="F1251" s="532">
        <v>1300</v>
      </c>
    </row>
    <row r="1252" spans="1:57" ht="15" customHeight="1">
      <c r="F1252" s="50"/>
    </row>
    <row r="1253" spans="1:57" ht="15" customHeight="1">
      <c r="C1253" s="169"/>
      <c r="D1253" s="463" t="str">
        <f>"Marginal Effective Tax Rate (METR) - selected regime: "&amp;Inputs!E15</f>
        <v>Marginal Effective Tax Rate (METR) - selected regime: Tanzania w/o sharing</v>
      </c>
      <c r="E1253" s="463"/>
      <c r="F1253" s="556"/>
      <c r="G1253" s="556"/>
      <c r="H1253" s="556"/>
      <c r="I1253" s="556"/>
      <c r="J1253" s="556"/>
      <c r="K1253" s="556"/>
      <c r="L1253" s="556"/>
      <c r="M1253" s="556"/>
      <c r="N1253" s="556"/>
      <c r="O1253" s="556"/>
      <c r="P1253" s="556"/>
      <c r="Q1253" s="556"/>
      <c r="R1253" s="556"/>
      <c r="S1253" s="556"/>
      <c r="T1253" s="556"/>
      <c r="U1253" s="556"/>
      <c r="V1253" s="556"/>
      <c r="W1253" s="556"/>
      <c r="X1253" s="556"/>
      <c r="Y1253" s="556"/>
      <c r="Z1253" s="556"/>
      <c r="AA1253" s="556"/>
      <c r="AB1253" s="556"/>
      <c r="AC1253" s="556"/>
      <c r="AD1253" s="556"/>
      <c r="AE1253" s="556"/>
      <c r="AF1253" s="556"/>
      <c r="AG1253" s="556"/>
      <c r="AH1253" s="556"/>
      <c r="AI1253" s="556"/>
      <c r="AJ1253" s="464"/>
      <c r="AK1253" s="464"/>
      <c r="AL1253" s="464"/>
      <c r="AM1253" s="464"/>
      <c r="AN1253" s="464"/>
      <c r="AO1253" s="464"/>
      <c r="AP1253" s="464"/>
      <c r="AQ1253" s="464"/>
      <c r="AR1253" s="464"/>
      <c r="AS1253" s="464"/>
      <c r="AT1253" s="464"/>
      <c r="AU1253" s="464"/>
      <c r="AV1253" s="464"/>
      <c r="AW1253" s="464"/>
      <c r="AX1253" s="464"/>
      <c r="AY1253" s="464"/>
      <c r="AZ1253" s="464"/>
      <c r="BA1253" s="464"/>
      <c r="BB1253" s="464"/>
      <c r="BC1253" s="464"/>
      <c r="BD1253" s="464"/>
    </row>
    <row r="1254" spans="1:57" ht="15" customHeight="1">
      <c r="D1254" s="11" t="s">
        <v>770</v>
      </c>
      <c r="E1254" s="11" t="s">
        <v>30</v>
      </c>
      <c r="F1254" s="560">
        <f>F1248</f>
        <v>0.25800000000000001</v>
      </c>
    </row>
    <row r="1255" spans="1:57" ht="15" customHeight="1">
      <c r="D1255" s="11" t="s">
        <v>771</v>
      </c>
      <c r="E1255" s="11" t="s">
        <v>30</v>
      </c>
      <c r="F1255" s="561">
        <f>(F1256-F1254)</f>
        <v>0.16024065307800206</v>
      </c>
    </row>
    <row r="1256" spans="1:57" ht="15" customHeight="1">
      <c r="D1256" s="11" t="s">
        <v>772</v>
      </c>
      <c r="E1256" s="11" t="s">
        <v>30</v>
      </c>
      <c r="F1256" s="560">
        <f>C27</f>
        <v>0.41824065307800207</v>
      </c>
    </row>
    <row r="1257" spans="1:57" s="136" customFormat="1" ht="15" customHeight="1">
      <c r="A1257" s="83"/>
      <c r="B1257" s="9"/>
      <c r="C1257" s="9"/>
      <c r="D1257" s="9" t="s">
        <v>773</v>
      </c>
      <c r="E1257" s="9" t="s">
        <v>30</v>
      </c>
      <c r="F1257" s="562">
        <f>F1255/F1256</f>
        <v>0.38313026698558905</v>
      </c>
      <c r="G1257" s="9"/>
      <c r="H1257" s="9"/>
      <c r="I1257" s="9"/>
      <c r="J1257" s="9"/>
      <c r="K1257" s="9"/>
      <c r="L1257" s="9"/>
      <c r="M1257" s="9"/>
      <c r="N1257" s="9"/>
      <c r="O1257" s="9"/>
      <c r="P1257" s="9"/>
      <c r="Q1257" s="9"/>
      <c r="R1257" s="9"/>
      <c r="S1257" s="9"/>
      <c r="T1257" s="9"/>
      <c r="U1257" s="9"/>
      <c r="V1257" s="9"/>
      <c r="W1257" s="9"/>
      <c r="X1257" s="9"/>
      <c r="Y1257" s="9"/>
      <c r="Z1257" s="9"/>
      <c r="AA1257" s="9"/>
      <c r="AB1257" s="9"/>
      <c r="AC1257" s="9"/>
      <c r="AD1257" s="9"/>
      <c r="AE1257" s="9"/>
      <c r="AF1257" s="9"/>
      <c r="AG1257" s="9"/>
      <c r="AH1257" s="9"/>
      <c r="AI1257" s="9"/>
      <c r="AJ1257" s="9"/>
      <c r="AK1257" s="9"/>
      <c r="AL1257" s="9"/>
      <c r="AM1257" s="9"/>
      <c r="AN1257" s="9"/>
      <c r="AO1257" s="9"/>
      <c r="AP1257" s="9"/>
      <c r="AQ1257" s="9"/>
      <c r="AR1257" s="9"/>
      <c r="AS1257" s="9"/>
      <c r="AT1257" s="9"/>
      <c r="AU1257" s="9"/>
      <c r="AV1257" s="9"/>
      <c r="AW1257" s="9"/>
      <c r="AX1257" s="9"/>
      <c r="AY1257" s="9"/>
      <c r="AZ1257" s="9"/>
      <c r="BA1257" s="9"/>
      <c r="BB1257" s="9"/>
      <c r="BC1257" s="9"/>
      <c r="BD1257" s="9"/>
      <c r="BE1257" s="9"/>
    </row>
    <row r="1258" spans="1:57" ht="15" customHeight="1">
      <c r="F1258" s="5"/>
    </row>
    <row r="1259" spans="1:57" ht="15" customHeight="1">
      <c r="C1259" s="169"/>
      <c r="D1259" s="463" t="s">
        <v>774</v>
      </c>
      <c r="E1259" s="463"/>
      <c r="F1259" s="556"/>
      <c r="G1259" s="556"/>
      <c r="H1259" s="556"/>
      <c r="I1259" s="556"/>
      <c r="J1259" s="556"/>
      <c r="K1259" s="556"/>
      <c r="L1259" s="556"/>
      <c r="M1259" s="556"/>
      <c r="N1259" s="556"/>
      <c r="O1259" s="556"/>
      <c r="P1259" s="556"/>
      <c r="Q1259" s="556"/>
      <c r="R1259" s="556"/>
      <c r="S1259" s="556"/>
      <c r="T1259" s="556"/>
      <c r="U1259" s="556"/>
      <c r="V1259" s="556"/>
      <c r="W1259" s="556"/>
      <c r="X1259" s="556"/>
      <c r="Y1259" s="556"/>
      <c r="Z1259" s="556"/>
      <c r="AA1259" s="556"/>
      <c r="AB1259" s="556"/>
      <c r="AC1259" s="556"/>
      <c r="AD1259" s="556"/>
      <c r="AE1259" s="556"/>
      <c r="AF1259" s="556"/>
      <c r="AG1259" s="556"/>
      <c r="AH1259" s="556"/>
      <c r="AI1259" s="556"/>
      <c r="AJ1259" s="464"/>
      <c r="AK1259" s="464"/>
      <c r="AL1259" s="464"/>
      <c r="AM1259" s="464"/>
      <c r="AN1259" s="464"/>
      <c r="AO1259" s="464"/>
      <c r="AP1259" s="464"/>
      <c r="AQ1259" s="464"/>
      <c r="AR1259" s="464"/>
      <c r="AS1259" s="464"/>
      <c r="AT1259" s="464"/>
      <c r="AU1259" s="464"/>
      <c r="AV1259" s="464"/>
      <c r="AW1259" s="464"/>
      <c r="AX1259" s="464"/>
      <c r="AY1259" s="464"/>
      <c r="AZ1259" s="464"/>
      <c r="BA1259" s="464"/>
      <c r="BB1259" s="464"/>
      <c r="BC1259" s="464"/>
      <c r="BD1259" s="464"/>
    </row>
    <row r="1260" spans="1:57" s="90" customFormat="1" ht="15" customHeight="1">
      <c r="A1260" s="89"/>
      <c r="G1260" s="96" t="s">
        <v>766</v>
      </c>
      <c r="H1260" s="97" t="s">
        <v>65</v>
      </c>
    </row>
    <row r="1261" spans="1:57" ht="15" customHeight="1">
      <c r="E1261" s="102">
        <v>1</v>
      </c>
      <c r="F1261" s="88" t="str">
        <f t="array" ref="F1261:F1271">TRANSPOSE(Inputs!G15:Q15)</f>
        <v>Tanzania w/o sharing</v>
      </c>
      <c r="G1261" s="91">
        <v>1211.2723219814243</v>
      </c>
      <c r="H1261" s="32">
        <v>0.47809673028295824</v>
      </c>
    </row>
    <row r="1262" spans="1:57" ht="15" customHeight="1">
      <c r="E1262" s="102">
        <v>2</v>
      </c>
      <c r="F1262" s="88" t="str">
        <v>Tanzania w 50/50 sharing</v>
      </c>
      <c r="G1262" s="91">
        <v>1162.3114197034388</v>
      </c>
      <c r="H1262" s="32">
        <v>0.41335149123979403</v>
      </c>
    </row>
    <row r="1263" spans="1:57" ht="15" customHeight="1">
      <c r="E1263" s="102">
        <v>3</v>
      </c>
      <c r="F1263" s="88" t="str">
        <v>Ecuador</v>
      </c>
      <c r="G1263" s="91">
        <v>1206.6729722221196</v>
      </c>
      <c r="H1263" s="32">
        <v>0.47274391900230373</v>
      </c>
      <c r="O1263" s="50"/>
      <c r="Q1263" s="50"/>
    </row>
    <row r="1264" spans="1:57" ht="15" customHeight="1">
      <c r="E1264" s="102">
        <v>4</v>
      </c>
      <c r="F1264" s="88" t="str">
        <v>Philippines FTAA</v>
      </c>
      <c r="G1264" s="91">
        <v>1164.4394181943451</v>
      </c>
      <c r="H1264" s="32">
        <v>0.41657009273230627</v>
      </c>
    </row>
    <row r="1265" spans="3:56" ht="15" customHeight="1">
      <c r="E1265" s="102">
        <v>5</v>
      </c>
      <c r="F1265" s="88" t="str">
        <v>Burkina Faso</v>
      </c>
      <c r="G1265" s="91">
        <v>1168.3208829216596</v>
      </c>
      <c r="H1265" s="32">
        <v>0.42233317710778862</v>
      </c>
    </row>
    <row r="1266" spans="3:56" ht="15" customHeight="1">
      <c r="E1266" s="102">
        <v>6</v>
      </c>
      <c r="F1266" s="88" t="str">
        <v>DRC</v>
      </c>
      <c r="G1266" s="91">
        <v>1170.6575246875029</v>
      </c>
      <c r="H1266" s="32">
        <v>0.42573728069406819</v>
      </c>
    </row>
    <row r="1267" spans="3:56" ht="15" customHeight="1">
      <c r="E1267" s="102">
        <v>7</v>
      </c>
      <c r="F1267" s="88" t="str">
        <v>Ghana</v>
      </c>
      <c r="G1267" s="91">
        <v>1180.0227848850029</v>
      </c>
      <c r="H1267" s="32">
        <v>0.43891218411506616</v>
      </c>
    </row>
    <row r="1268" spans="3:56" ht="15" customHeight="1">
      <c r="E1268" s="102">
        <v>8</v>
      </c>
      <c r="F1268" s="88" t="str">
        <v>South Africa (gold)</v>
      </c>
      <c r="G1268" s="91">
        <v>1156.0851798201929</v>
      </c>
      <c r="H1268" s="32">
        <v>0.4036844832240476</v>
      </c>
    </row>
    <row r="1269" spans="3:56" ht="15" customHeight="1">
      <c r="E1269" s="102">
        <v>9</v>
      </c>
      <c r="F1269" s="88" t="str">
        <v>Indonesia</v>
      </c>
      <c r="G1269" s="91">
        <v>1188.4555648551579</v>
      </c>
      <c r="H1269" s="32">
        <v>0.45017199831322069</v>
      </c>
    </row>
    <row r="1270" spans="3:56" ht="15" customHeight="1">
      <c r="D1270" s="88"/>
      <c r="E1270" s="102">
        <v>10</v>
      </c>
      <c r="F1270" s="88" t="str">
        <v>Peru</v>
      </c>
      <c r="G1270" s="91">
        <v>1100.5098530558757</v>
      </c>
      <c r="H1270" s="32">
        <v>0.29655477692863863</v>
      </c>
      <c r="I1270" s="101"/>
    </row>
    <row r="1271" spans="3:56" ht="15" customHeight="1">
      <c r="D1271" s="88"/>
      <c r="E1271" s="102">
        <v>11</v>
      </c>
      <c r="F1271" s="88" t="str">
        <v>Western Australia</v>
      </c>
      <c r="G1271" s="91">
        <v>1131.8947636800619</v>
      </c>
      <c r="H1271" s="32">
        <v>0.36217405951455028</v>
      </c>
      <c r="I1271" s="101"/>
    </row>
    <row r="1272" spans="3:56" ht="15" customHeight="1">
      <c r="D1272" s="88"/>
      <c r="G1272" s="100"/>
      <c r="I1272" s="101"/>
    </row>
    <row r="1273" spans="3:56" ht="15" customHeight="1">
      <c r="D1273" s="88"/>
      <c r="G1273" s="100"/>
      <c r="I1273" s="101"/>
    </row>
    <row r="1274" spans="3:56" ht="15" customHeight="1">
      <c r="C1274" s="169"/>
      <c r="D1274" s="463" t="s">
        <v>775</v>
      </c>
      <c r="E1274" s="463"/>
      <c r="F1274" s="556"/>
      <c r="G1274" s="556"/>
      <c r="H1274" s="556"/>
      <c r="I1274" s="556"/>
      <c r="J1274" s="556"/>
      <c r="K1274" s="556"/>
      <c r="L1274" s="556"/>
      <c r="M1274" s="556"/>
      <c r="N1274" s="556"/>
      <c r="O1274" s="556"/>
      <c r="P1274" s="556"/>
      <c r="Q1274" s="556"/>
      <c r="R1274" s="556"/>
      <c r="S1274" s="556"/>
      <c r="T1274" s="556"/>
      <c r="U1274" s="556"/>
      <c r="V1274" s="556"/>
      <c r="W1274" s="556"/>
      <c r="X1274" s="556"/>
      <c r="Y1274" s="556"/>
      <c r="Z1274" s="556"/>
      <c r="AA1274" s="556"/>
      <c r="AB1274" s="556"/>
      <c r="AC1274" s="556"/>
      <c r="AD1274" s="556"/>
      <c r="AE1274" s="556"/>
      <c r="AF1274" s="556"/>
      <c r="AG1274" s="556"/>
      <c r="AH1274" s="556"/>
      <c r="AI1274" s="556"/>
      <c r="AJ1274" s="464"/>
      <c r="AK1274" s="464"/>
      <c r="AL1274" s="464"/>
      <c r="AM1274" s="464"/>
      <c r="AN1274" s="464"/>
      <c r="AO1274" s="464"/>
      <c r="AP1274" s="464"/>
      <c r="AQ1274" s="464"/>
      <c r="AR1274" s="464"/>
      <c r="AS1274" s="464"/>
      <c r="AT1274" s="464"/>
      <c r="AU1274" s="464"/>
      <c r="AV1274" s="464"/>
      <c r="AW1274" s="464"/>
      <c r="AX1274" s="464"/>
      <c r="AY1274" s="464"/>
      <c r="AZ1274" s="464"/>
      <c r="BA1274" s="464"/>
      <c r="BB1274" s="464"/>
      <c r="BC1274" s="464"/>
      <c r="BD1274" s="464"/>
    </row>
    <row r="1275" spans="3:56" ht="15" customHeight="1">
      <c r="D1275" s="11" t="s">
        <v>776</v>
      </c>
      <c r="E1275" s="497">
        <v>0.1</v>
      </c>
    </row>
    <row r="1276" spans="3:56" ht="15" customHeight="1">
      <c r="D1276" s="11" t="s">
        <v>777</v>
      </c>
      <c r="E1276" s="497">
        <v>0.1</v>
      </c>
    </row>
    <row r="1277" spans="3:56" ht="15" customHeight="1">
      <c r="D1277" s="11" t="s">
        <v>778</v>
      </c>
      <c r="E1277" s="102">
        <f>Mineral_price</f>
        <v>1600</v>
      </c>
    </row>
    <row r="1278" spans="3:56" ht="15" customHeight="1">
      <c r="D1278" s="11" t="s">
        <v>779</v>
      </c>
      <c r="E1278" s="102">
        <f>Inputs!B229</f>
        <v>700</v>
      </c>
    </row>
    <row r="1279" spans="3:56" ht="15" customHeight="1">
      <c r="D1279" s="11" t="s">
        <v>780</v>
      </c>
      <c r="E1279" s="113">
        <f>F992</f>
        <v>1</v>
      </c>
    </row>
    <row r="1280" spans="3:56" ht="15" customHeight="1"/>
    <row r="1281" spans="4:58" ht="15.75" customHeight="1">
      <c r="D1281" s="11" t="s">
        <v>781</v>
      </c>
      <c r="E1281" s="113">
        <v>1600</v>
      </c>
    </row>
    <row r="1282" spans="4:58" ht="15" customHeight="1"/>
    <row r="1283" spans="4:58" ht="15" customHeight="1"/>
    <row r="1284" spans="4:58" ht="15" customHeight="1"/>
    <row r="1285" spans="4:58" ht="15" customHeight="1">
      <c r="G1285" s="310"/>
      <c r="H1285" s="306"/>
      <c r="I1285" s="306"/>
      <c r="J1285" s="306"/>
      <c r="K1285" s="306"/>
      <c r="L1285" s="306"/>
      <c r="M1285" s="306"/>
      <c r="N1285" s="306"/>
      <c r="O1285" s="306"/>
      <c r="P1285" s="306"/>
      <c r="Q1285" s="306"/>
      <c r="R1285" s="306"/>
      <c r="S1285" s="306"/>
      <c r="T1285" s="306"/>
      <c r="U1285" s="306"/>
      <c r="V1285" s="306"/>
      <c r="W1285" s="306"/>
      <c r="X1285" s="306"/>
      <c r="Y1285" s="306"/>
      <c r="Z1285" s="306"/>
      <c r="AA1285" s="287"/>
      <c r="AB1285" s="287"/>
      <c r="AC1285" s="287"/>
      <c r="AD1285" s="287"/>
      <c r="AE1285" s="287"/>
      <c r="AF1285" s="287"/>
      <c r="AG1285" s="287"/>
      <c r="AH1285" s="287"/>
      <c r="AI1285" s="287"/>
      <c r="AJ1285" s="287"/>
      <c r="AK1285" s="287"/>
      <c r="AL1285" s="287"/>
      <c r="AM1285" s="287"/>
      <c r="AN1285" s="287"/>
      <c r="AO1285" s="287"/>
      <c r="AP1285" s="287"/>
      <c r="AQ1285" s="287"/>
      <c r="AR1285" s="287"/>
      <c r="AS1285" s="287"/>
      <c r="AT1285" s="287"/>
      <c r="AU1285" s="287"/>
      <c r="AV1285" s="287"/>
      <c r="AW1285" s="287"/>
      <c r="AX1285" s="287"/>
      <c r="AY1285" s="287"/>
      <c r="AZ1285" s="287"/>
      <c r="BA1285" s="287"/>
      <c r="BB1285" s="287"/>
      <c r="BC1285" s="287"/>
      <c r="BD1285" s="287"/>
      <c r="BE1285" s="287"/>
      <c r="BF1285" s="471"/>
    </row>
    <row r="1286" spans="4:58" ht="15" customHeight="1">
      <c r="F1286" s="307"/>
      <c r="G1286" s="305"/>
      <c r="H1286" s="305"/>
      <c r="I1286" s="305"/>
      <c r="J1286" s="305"/>
      <c r="K1286" s="305"/>
      <c r="L1286" s="305"/>
      <c r="M1286" s="305"/>
      <c r="N1286" s="305"/>
      <c r="O1286" s="305"/>
      <c r="P1286" s="305"/>
      <c r="Q1286" s="305"/>
      <c r="R1286" s="305"/>
      <c r="S1286" s="305"/>
      <c r="T1286" s="305"/>
      <c r="U1286" s="305"/>
      <c r="V1286" s="305"/>
      <c r="W1286" s="305"/>
      <c r="X1286" s="305"/>
      <c r="Y1286" s="305"/>
      <c r="Z1286" s="305"/>
      <c r="AA1286" s="287"/>
      <c r="AB1286" s="287"/>
      <c r="AC1286" s="287"/>
      <c r="AD1286" s="287"/>
      <c r="AE1286" s="287"/>
      <c r="AF1286" s="287"/>
      <c r="AG1286" s="287"/>
      <c r="AH1286" s="287"/>
      <c r="AI1286" s="287"/>
      <c r="AJ1286" s="287"/>
      <c r="AK1286" s="287"/>
      <c r="AL1286" s="287"/>
      <c r="AM1286" s="287"/>
      <c r="AN1286" s="287"/>
      <c r="AO1286" s="287"/>
      <c r="AP1286" s="287"/>
      <c r="AQ1286" s="287"/>
      <c r="AR1286" s="287"/>
      <c r="AS1286" s="287"/>
      <c r="AT1286" s="287"/>
      <c r="AU1286" s="287"/>
      <c r="AV1286" s="287"/>
      <c r="AW1286" s="287"/>
      <c r="AX1286" s="287"/>
      <c r="AY1286" s="287"/>
      <c r="AZ1286" s="287"/>
      <c r="BA1286" s="287"/>
      <c r="BB1286" s="287"/>
      <c r="BC1286" s="287"/>
      <c r="BD1286" s="287"/>
      <c r="BE1286" s="287"/>
      <c r="BF1286" s="471"/>
    </row>
    <row r="1287" spans="4:58" ht="15" customHeight="1">
      <c r="F1287" s="307"/>
      <c r="G1287" s="305"/>
      <c r="H1287" s="305"/>
      <c r="I1287" s="305"/>
      <c r="J1287" s="305"/>
      <c r="K1287" s="305"/>
      <c r="L1287" s="305"/>
      <c r="M1287" s="305"/>
      <c r="N1287" s="305"/>
      <c r="O1287" s="305"/>
      <c r="P1287" s="305"/>
      <c r="Q1287" s="305"/>
      <c r="R1287" s="305"/>
      <c r="S1287" s="305"/>
      <c r="T1287" s="305"/>
      <c r="U1287" s="305"/>
      <c r="V1287" s="305"/>
      <c r="W1287" s="305"/>
      <c r="X1287" s="305"/>
      <c r="Y1287" s="305"/>
      <c r="Z1287" s="305"/>
      <c r="AA1287" s="287"/>
      <c r="AB1287" s="287"/>
      <c r="AC1287" s="287"/>
      <c r="AD1287" s="287"/>
      <c r="AE1287" s="287"/>
      <c r="AF1287" s="287"/>
      <c r="AG1287" s="287"/>
      <c r="AH1287" s="287"/>
      <c r="AI1287" s="287"/>
      <c r="AJ1287" s="287"/>
      <c r="AK1287" s="287"/>
      <c r="AL1287" s="287"/>
      <c r="AM1287" s="287"/>
      <c r="AN1287" s="287"/>
      <c r="AO1287" s="287"/>
      <c r="AP1287" s="287"/>
      <c r="AQ1287" s="287"/>
      <c r="AR1287" s="287"/>
      <c r="AS1287" s="287"/>
      <c r="AT1287" s="287"/>
      <c r="AU1287" s="287"/>
      <c r="AV1287" s="287"/>
      <c r="AW1287" s="287"/>
      <c r="AX1287" s="287"/>
      <c r="AY1287" s="287"/>
      <c r="AZ1287" s="287"/>
      <c r="BA1287" s="287"/>
      <c r="BB1287" s="287"/>
      <c r="BC1287" s="287"/>
      <c r="BD1287" s="287"/>
      <c r="BE1287" s="287"/>
      <c r="BF1287" s="471"/>
    </row>
    <row r="1288" spans="4:58" ht="15" customHeight="1">
      <c r="F1288" s="307"/>
      <c r="G1288" s="305"/>
      <c r="H1288" s="305"/>
      <c r="I1288" s="305"/>
      <c r="J1288" s="305"/>
      <c r="K1288" s="305"/>
      <c r="L1288" s="305"/>
      <c r="M1288" s="305"/>
      <c r="N1288" s="305"/>
      <c r="O1288" s="305"/>
      <c r="P1288" s="305"/>
      <c r="Q1288" s="305"/>
      <c r="R1288" s="305"/>
      <c r="S1288" s="305"/>
      <c r="T1288" s="305"/>
      <c r="U1288" s="305"/>
      <c r="V1288" s="305"/>
      <c r="W1288" s="305"/>
      <c r="X1288" s="305"/>
      <c r="Y1288" s="305"/>
      <c r="Z1288" s="305"/>
      <c r="AA1288" s="287"/>
      <c r="AB1288" s="287"/>
      <c r="AC1288" s="287"/>
      <c r="AD1288" s="287"/>
      <c r="AE1288" s="287"/>
      <c r="AF1288" s="287"/>
      <c r="AG1288" s="287"/>
      <c r="AH1288" s="287"/>
      <c r="AI1288" s="287"/>
      <c r="AJ1288" s="287"/>
      <c r="AK1288" s="287"/>
      <c r="AL1288" s="287"/>
      <c r="AM1288" s="287"/>
      <c r="AN1288" s="287"/>
      <c r="AO1288" s="287"/>
      <c r="AP1288" s="287"/>
      <c r="AQ1288" s="287"/>
      <c r="AR1288" s="287"/>
      <c r="AS1288" s="287"/>
      <c r="AT1288" s="287"/>
      <c r="AU1288" s="287"/>
      <c r="AV1288" s="287"/>
      <c r="AW1288" s="287"/>
      <c r="AX1288" s="287"/>
      <c r="AY1288" s="287"/>
      <c r="AZ1288" s="287"/>
      <c r="BA1288" s="287"/>
      <c r="BB1288" s="287"/>
      <c r="BC1288" s="287"/>
      <c r="BD1288" s="287"/>
      <c r="BE1288" s="287"/>
      <c r="BF1288" s="471"/>
    </row>
    <row r="1289" spans="4:58" ht="15" customHeight="1">
      <c r="D1289" s="301"/>
      <c r="E1289" s="302"/>
      <c r="F1289" s="307"/>
      <c r="G1289" s="305"/>
      <c r="H1289" s="305"/>
      <c r="I1289" s="305"/>
      <c r="J1289" s="305"/>
      <c r="K1289" s="305"/>
      <c r="L1289" s="305"/>
      <c r="M1289" s="305"/>
      <c r="N1289" s="305"/>
      <c r="O1289" s="305"/>
      <c r="P1289" s="305"/>
      <c r="Q1289" s="305"/>
      <c r="R1289" s="305"/>
      <c r="S1289" s="305"/>
      <c r="T1289" s="305"/>
      <c r="U1289" s="305"/>
      <c r="V1289" s="305"/>
      <c r="W1289" s="305"/>
      <c r="X1289" s="305"/>
      <c r="Y1289" s="305"/>
      <c r="Z1289" s="305"/>
      <c r="AA1289" s="287"/>
      <c r="AB1289" s="287"/>
      <c r="AC1289" s="287"/>
      <c r="AD1289" s="287"/>
      <c r="AE1289" s="287"/>
      <c r="AF1289" s="287"/>
      <c r="AG1289" s="287"/>
      <c r="AH1289" s="287"/>
      <c r="AI1289" s="287"/>
      <c r="AJ1289" s="287"/>
      <c r="AK1289" s="287"/>
      <c r="AL1289" s="287"/>
      <c r="AM1289" s="287"/>
      <c r="AN1289" s="287"/>
      <c r="AO1289" s="287"/>
      <c r="AP1289" s="287"/>
      <c r="AQ1289" s="287"/>
      <c r="AR1289" s="287"/>
      <c r="AS1289" s="287"/>
      <c r="AT1289" s="287"/>
      <c r="AU1289" s="287"/>
      <c r="AV1289" s="287"/>
      <c r="AW1289" s="287"/>
      <c r="AX1289" s="287"/>
      <c r="AY1289" s="287"/>
      <c r="AZ1289" s="287"/>
      <c r="BA1289" s="287"/>
      <c r="BB1289" s="287"/>
      <c r="BC1289" s="287"/>
      <c r="BD1289" s="287"/>
      <c r="BE1289" s="287"/>
      <c r="BF1289" s="471"/>
    </row>
    <row r="1290" spans="4:58" ht="15" customHeight="1">
      <c r="D1290" s="303"/>
      <c r="E1290" s="302"/>
      <c r="F1290" s="307"/>
      <c r="G1290" s="305"/>
      <c r="H1290" s="305"/>
      <c r="I1290" s="305"/>
      <c r="J1290" s="305"/>
      <c r="K1290" s="305"/>
      <c r="L1290" s="305"/>
      <c r="M1290" s="305"/>
      <c r="N1290" s="305"/>
      <c r="O1290" s="305"/>
      <c r="P1290" s="305"/>
      <c r="Q1290" s="305"/>
      <c r="R1290" s="305"/>
      <c r="S1290" s="305"/>
      <c r="T1290" s="305"/>
      <c r="U1290" s="305"/>
      <c r="V1290" s="305"/>
      <c r="W1290" s="305"/>
      <c r="X1290" s="305"/>
      <c r="Y1290" s="305"/>
      <c r="Z1290" s="305"/>
      <c r="AA1290" s="287"/>
      <c r="AB1290" s="287"/>
      <c r="AC1290" s="287"/>
      <c r="AD1290" s="287"/>
      <c r="AE1290" s="287"/>
      <c r="AF1290" s="287"/>
      <c r="AG1290" s="287"/>
      <c r="AH1290" s="287"/>
      <c r="AI1290" s="287"/>
      <c r="AJ1290" s="287"/>
      <c r="AK1290" s="287"/>
      <c r="AL1290" s="287"/>
      <c r="AM1290" s="287"/>
      <c r="AN1290" s="287"/>
      <c r="AO1290" s="287"/>
      <c r="AP1290" s="287"/>
      <c r="AQ1290" s="287"/>
      <c r="AR1290" s="287"/>
      <c r="AS1290" s="287"/>
      <c r="AT1290" s="287"/>
      <c r="AU1290" s="287"/>
      <c r="AV1290" s="287"/>
      <c r="AW1290" s="287"/>
      <c r="AX1290" s="287"/>
      <c r="AY1290" s="287"/>
      <c r="AZ1290" s="287"/>
      <c r="BA1290" s="287"/>
      <c r="BB1290" s="287"/>
      <c r="BC1290" s="287"/>
      <c r="BD1290" s="287"/>
      <c r="BE1290" s="287"/>
      <c r="BF1290" s="471"/>
    </row>
    <row r="1291" spans="4:58" ht="15" customHeight="1">
      <c r="D1291" s="303"/>
      <c r="E1291" s="302"/>
      <c r="F1291" s="307"/>
      <c r="G1291" s="305"/>
      <c r="H1291" s="305"/>
      <c r="I1291" s="305"/>
      <c r="J1291" s="305"/>
      <c r="K1291" s="305"/>
      <c r="L1291" s="305"/>
      <c r="M1291" s="305"/>
      <c r="N1291" s="305"/>
      <c r="O1291" s="305"/>
      <c r="P1291" s="305"/>
      <c r="Q1291" s="305"/>
      <c r="R1291" s="305"/>
      <c r="S1291" s="305"/>
      <c r="T1291" s="305"/>
      <c r="U1291" s="305"/>
      <c r="V1291" s="305"/>
      <c r="W1291" s="305"/>
      <c r="X1291" s="305"/>
      <c r="Y1291" s="305"/>
      <c r="Z1291" s="305"/>
      <c r="AA1291" s="287"/>
      <c r="AB1291" s="287"/>
      <c r="AC1291" s="287"/>
      <c r="AD1291" s="287"/>
      <c r="AE1291" s="287"/>
      <c r="AF1291" s="287"/>
      <c r="AG1291" s="287"/>
      <c r="AH1291" s="287"/>
      <c r="AI1291" s="287"/>
      <c r="AJ1291" s="287"/>
      <c r="AK1291" s="287"/>
      <c r="AL1291" s="287"/>
      <c r="AM1291" s="287"/>
      <c r="AN1291" s="287"/>
      <c r="AO1291" s="287"/>
      <c r="AP1291" s="287"/>
      <c r="AQ1291" s="287"/>
      <c r="AR1291" s="287"/>
      <c r="AS1291" s="287"/>
      <c r="AT1291" s="287"/>
      <c r="AU1291" s="287"/>
      <c r="AV1291" s="287"/>
      <c r="AW1291" s="287"/>
      <c r="AX1291" s="287"/>
      <c r="AY1291" s="287"/>
      <c r="AZ1291" s="287"/>
      <c r="BA1291" s="287"/>
      <c r="BB1291" s="287"/>
      <c r="BC1291" s="287"/>
      <c r="BD1291" s="287"/>
      <c r="BE1291" s="287"/>
      <c r="BF1291" s="471"/>
    </row>
    <row r="1292" spans="4:58" ht="15" customHeight="1">
      <c r="D1292" s="303"/>
      <c r="E1292" s="302"/>
      <c r="F1292" s="307"/>
      <c r="G1292" s="305"/>
      <c r="H1292" s="305"/>
      <c r="I1292" s="305"/>
      <c r="J1292" s="305"/>
      <c r="K1292" s="305"/>
      <c r="L1292" s="305"/>
      <c r="M1292" s="305"/>
      <c r="N1292" s="305"/>
      <c r="O1292" s="305"/>
      <c r="P1292" s="305"/>
      <c r="Q1292" s="305"/>
      <c r="R1292" s="305"/>
      <c r="S1292" s="305"/>
      <c r="T1292" s="305"/>
      <c r="U1292" s="305"/>
      <c r="V1292" s="305"/>
      <c r="W1292" s="305"/>
      <c r="X1292" s="305"/>
      <c r="Y1292" s="305"/>
      <c r="Z1292" s="305"/>
      <c r="AA1292" s="287"/>
      <c r="AB1292" s="287"/>
      <c r="AC1292" s="287"/>
      <c r="AD1292" s="287"/>
      <c r="AE1292" s="287"/>
      <c r="AF1292" s="287"/>
      <c r="AG1292" s="287"/>
      <c r="AH1292" s="287"/>
      <c r="AI1292" s="287"/>
      <c r="AJ1292" s="287"/>
      <c r="AK1292" s="287"/>
      <c r="AL1292" s="287"/>
      <c r="AM1292" s="287"/>
      <c r="AN1292" s="287"/>
      <c r="AO1292" s="287"/>
      <c r="AP1292" s="287"/>
      <c r="AQ1292" s="287"/>
      <c r="AR1292" s="287"/>
      <c r="AS1292" s="287"/>
      <c r="AT1292" s="287"/>
      <c r="AU1292" s="287"/>
      <c r="AV1292" s="287"/>
      <c r="AW1292" s="287"/>
      <c r="AX1292" s="287"/>
      <c r="AY1292" s="287"/>
      <c r="AZ1292" s="287"/>
      <c r="BA1292" s="287"/>
      <c r="BB1292" s="287"/>
      <c r="BC1292" s="287"/>
      <c r="BD1292" s="287"/>
      <c r="BE1292" s="287"/>
      <c r="BF1292" s="471"/>
    </row>
    <row r="1293" spans="4:58" ht="15" customHeight="1">
      <c r="D1293" s="303"/>
      <c r="E1293" s="303"/>
      <c r="F1293" s="307"/>
      <c r="G1293" s="305"/>
      <c r="H1293" s="305"/>
      <c r="I1293" s="305"/>
      <c r="J1293" s="305"/>
      <c r="K1293" s="305"/>
      <c r="L1293" s="305"/>
      <c r="M1293" s="305"/>
      <c r="N1293" s="305"/>
      <c r="O1293" s="305"/>
      <c r="P1293" s="305"/>
      <c r="Q1293" s="305"/>
      <c r="R1293" s="305"/>
      <c r="S1293" s="305"/>
      <c r="T1293" s="305"/>
      <c r="U1293" s="305"/>
      <c r="V1293" s="305"/>
      <c r="W1293" s="305"/>
      <c r="X1293" s="305"/>
      <c r="Y1293" s="305"/>
      <c r="Z1293" s="305"/>
      <c r="AA1293" s="287"/>
      <c r="AB1293" s="287"/>
      <c r="AC1293" s="287"/>
      <c r="AD1293" s="287"/>
      <c r="AE1293" s="287"/>
      <c r="AF1293" s="287"/>
      <c r="AG1293" s="287"/>
      <c r="AH1293" s="287"/>
      <c r="AI1293" s="287"/>
      <c r="AJ1293" s="287"/>
      <c r="AK1293" s="287"/>
      <c r="AL1293" s="287"/>
      <c r="AM1293" s="287"/>
      <c r="AN1293" s="287"/>
      <c r="AO1293" s="287"/>
      <c r="AP1293" s="287"/>
      <c r="AQ1293" s="287"/>
      <c r="AR1293" s="287"/>
      <c r="AS1293" s="287"/>
      <c r="AT1293" s="287"/>
      <c r="AU1293" s="287"/>
      <c r="AV1293" s="287"/>
      <c r="AW1293" s="287"/>
      <c r="AX1293" s="287"/>
      <c r="AY1293" s="287"/>
      <c r="AZ1293" s="287"/>
      <c r="BA1293" s="287"/>
      <c r="BB1293" s="287"/>
      <c r="BC1293" s="287"/>
      <c r="BD1293" s="287"/>
      <c r="BE1293" s="287"/>
      <c r="BF1293" s="471"/>
    </row>
    <row r="1294" spans="4:58" ht="15" customHeight="1">
      <c r="D1294" s="303"/>
      <c r="E1294" s="303"/>
      <c r="F1294" s="307"/>
      <c r="G1294" s="305"/>
      <c r="H1294" s="305"/>
      <c r="I1294" s="305"/>
      <c r="J1294" s="305"/>
      <c r="K1294" s="305"/>
      <c r="L1294" s="305"/>
      <c r="M1294" s="305"/>
      <c r="N1294" s="305"/>
      <c r="O1294" s="305"/>
      <c r="P1294" s="305"/>
      <c r="Q1294" s="305"/>
      <c r="R1294" s="305"/>
      <c r="S1294" s="305"/>
      <c r="T1294" s="305"/>
      <c r="U1294" s="305"/>
      <c r="V1294" s="305"/>
      <c r="W1294" s="305"/>
      <c r="X1294" s="305"/>
      <c r="Y1294" s="305"/>
      <c r="Z1294" s="305"/>
      <c r="AA1294" s="287"/>
      <c r="AB1294" s="287"/>
      <c r="AC1294" s="287"/>
      <c r="AD1294" s="287"/>
      <c r="AE1294" s="287"/>
      <c r="AF1294" s="287"/>
      <c r="AG1294" s="287"/>
      <c r="AH1294" s="287"/>
      <c r="AI1294" s="287"/>
      <c r="AJ1294" s="287"/>
      <c r="AK1294" s="287"/>
      <c r="AL1294" s="287"/>
      <c r="AM1294" s="287"/>
      <c r="AN1294" s="287"/>
      <c r="AO1294" s="287"/>
      <c r="AP1294" s="287"/>
      <c r="AQ1294" s="287"/>
      <c r="AR1294" s="287"/>
      <c r="AS1294" s="287"/>
      <c r="AT1294" s="287"/>
      <c r="AU1294" s="287"/>
      <c r="AV1294" s="287"/>
      <c r="AW1294" s="287"/>
      <c r="AX1294" s="287"/>
      <c r="AY1294" s="287"/>
      <c r="AZ1294" s="287"/>
      <c r="BA1294" s="287"/>
      <c r="BB1294" s="287"/>
      <c r="BC1294" s="287"/>
      <c r="BD1294" s="287"/>
      <c r="BE1294" s="287"/>
      <c r="BF1294" s="471"/>
    </row>
    <row r="1295" spans="4:58" ht="15" customHeight="1">
      <c r="D1295" s="303"/>
      <c r="E1295" s="303"/>
      <c r="F1295" s="307"/>
      <c r="G1295" s="305"/>
      <c r="H1295" s="305"/>
      <c r="I1295" s="305"/>
      <c r="J1295" s="305"/>
      <c r="K1295" s="305"/>
      <c r="L1295" s="305"/>
      <c r="M1295" s="305"/>
      <c r="N1295" s="305"/>
      <c r="O1295" s="305"/>
      <c r="P1295" s="305"/>
      <c r="Q1295" s="305"/>
      <c r="R1295" s="305"/>
      <c r="S1295" s="305"/>
      <c r="T1295" s="305"/>
      <c r="U1295" s="305"/>
      <c r="V1295" s="305"/>
      <c r="W1295" s="305"/>
      <c r="X1295" s="305"/>
      <c r="Y1295" s="305"/>
      <c r="Z1295" s="305"/>
      <c r="AA1295" s="287"/>
      <c r="AB1295" s="287"/>
      <c r="AC1295" s="287"/>
      <c r="AD1295" s="287"/>
      <c r="AE1295" s="287"/>
      <c r="AF1295" s="287"/>
      <c r="AG1295" s="287"/>
      <c r="AH1295" s="287"/>
      <c r="AI1295" s="287"/>
      <c r="AJ1295" s="287"/>
      <c r="AK1295" s="287"/>
      <c r="AL1295" s="287"/>
      <c r="AM1295" s="287"/>
      <c r="AN1295" s="287"/>
      <c r="AO1295" s="287"/>
      <c r="AP1295" s="287"/>
      <c r="AQ1295" s="287"/>
      <c r="AR1295" s="287"/>
      <c r="AS1295" s="287"/>
      <c r="AT1295" s="287"/>
      <c r="AU1295" s="287"/>
      <c r="AV1295" s="287"/>
      <c r="AW1295" s="287"/>
      <c r="AX1295" s="287"/>
      <c r="AY1295" s="287"/>
      <c r="AZ1295" s="287"/>
      <c r="BA1295" s="287"/>
      <c r="BB1295" s="287"/>
      <c r="BC1295" s="287"/>
      <c r="BD1295" s="287"/>
      <c r="BE1295" s="287"/>
      <c r="BF1295" s="471"/>
    </row>
    <row r="1296" spans="4:58" ht="15" customHeight="1">
      <c r="D1296" s="303"/>
      <c r="E1296" s="303"/>
      <c r="F1296" s="307"/>
      <c r="G1296" s="305"/>
      <c r="H1296" s="305"/>
      <c r="I1296" s="305"/>
      <c r="J1296" s="305"/>
      <c r="K1296" s="305"/>
      <c r="L1296" s="305"/>
      <c r="M1296" s="305"/>
      <c r="N1296" s="305"/>
      <c r="O1296" s="305"/>
      <c r="P1296" s="305"/>
      <c r="Q1296" s="305"/>
      <c r="R1296" s="305"/>
      <c r="S1296" s="305"/>
      <c r="T1296" s="305"/>
      <c r="U1296" s="305"/>
      <c r="V1296" s="305"/>
      <c r="W1296" s="305"/>
      <c r="X1296" s="305"/>
      <c r="Y1296" s="305"/>
      <c r="Z1296" s="305"/>
      <c r="AA1296" s="287"/>
      <c r="AB1296" s="287"/>
      <c r="AC1296" s="287"/>
      <c r="AD1296" s="287"/>
      <c r="AE1296" s="287"/>
      <c r="AF1296" s="287"/>
      <c r="AG1296" s="287"/>
      <c r="AH1296" s="287"/>
      <c r="AI1296" s="287"/>
      <c r="AJ1296" s="287"/>
      <c r="AK1296" s="287"/>
      <c r="AL1296" s="287"/>
      <c r="AM1296" s="287"/>
      <c r="AN1296" s="287"/>
      <c r="AO1296" s="287"/>
      <c r="AP1296" s="287"/>
      <c r="AQ1296" s="287"/>
      <c r="AR1296" s="287"/>
      <c r="AS1296" s="287"/>
      <c r="AT1296" s="287"/>
      <c r="AU1296" s="287"/>
      <c r="AV1296" s="287"/>
      <c r="AW1296" s="287"/>
      <c r="AX1296" s="287"/>
      <c r="AY1296" s="287"/>
      <c r="AZ1296" s="287"/>
      <c r="BA1296" s="287"/>
      <c r="BB1296" s="287"/>
      <c r="BC1296" s="287"/>
      <c r="BD1296" s="287"/>
      <c r="BE1296" s="287"/>
      <c r="BF1296" s="471"/>
    </row>
    <row r="1297" spans="4:58" ht="15" customHeight="1">
      <c r="D1297" s="303"/>
      <c r="E1297" s="303"/>
      <c r="F1297" s="287"/>
      <c r="G1297" s="287"/>
      <c r="H1297" s="287"/>
      <c r="I1297" s="287"/>
      <c r="J1297" s="287"/>
      <c r="K1297" s="287"/>
      <c r="L1297" s="287"/>
      <c r="M1297" s="287"/>
      <c r="N1297" s="287"/>
      <c r="O1297" s="287"/>
      <c r="P1297" s="287"/>
      <c r="Q1297" s="287"/>
      <c r="R1297" s="287"/>
      <c r="S1297" s="287"/>
      <c r="T1297" s="287"/>
      <c r="U1297" s="287"/>
      <c r="V1297" s="287"/>
      <c r="W1297" s="287"/>
      <c r="X1297" s="287"/>
      <c r="Y1297" s="287"/>
      <c r="Z1297" s="287"/>
      <c r="AA1297" s="287"/>
      <c r="AB1297" s="287"/>
      <c r="AC1297" s="287"/>
      <c r="AD1297" s="287"/>
      <c r="AE1297" s="287"/>
      <c r="AF1297" s="287"/>
      <c r="AG1297" s="287"/>
      <c r="AH1297" s="287"/>
      <c r="AI1297" s="287"/>
      <c r="AJ1297" s="287"/>
      <c r="AK1297" s="287"/>
      <c r="AL1297" s="287"/>
      <c r="AM1297" s="287"/>
      <c r="AN1297" s="287"/>
      <c r="AO1297" s="287"/>
      <c r="AP1297" s="287"/>
      <c r="AQ1297" s="287"/>
      <c r="AR1297" s="287"/>
      <c r="AS1297" s="287"/>
      <c r="AT1297" s="287"/>
      <c r="AU1297" s="287"/>
      <c r="AV1297" s="287"/>
      <c r="AW1297" s="287"/>
      <c r="AX1297" s="287"/>
      <c r="AY1297" s="287"/>
      <c r="AZ1297" s="287"/>
      <c r="BA1297" s="287"/>
      <c r="BB1297" s="287"/>
      <c r="BC1297" s="287"/>
      <c r="BD1297" s="287"/>
      <c r="BE1297" s="287"/>
      <c r="BF1297" s="471"/>
    </row>
    <row r="1298" spans="4:58" ht="15" customHeight="1">
      <c r="D1298" s="303"/>
      <c r="E1298" s="303"/>
      <c r="F1298" s="287"/>
      <c r="G1298" s="287"/>
      <c r="H1298" s="287"/>
      <c r="I1298" s="287"/>
      <c r="J1298" s="287"/>
      <c r="K1298" s="287"/>
      <c r="L1298" s="287"/>
      <c r="M1298" s="287"/>
      <c r="N1298" s="287"/>
      <c r="O1298" s="287"/>
      <c r="P1298" s="287"/>
      <c r="Q1298" s="287"/>
      <c r="R1298" s="287"/>
      <c r="S1298" s="287"/>
      <c r="T1298" s="287"/>
      <c r="U1298" s="287"/>
      <c r="V1298" s="287"/>
      <c r="W1298" s="287"/>
      <c r="X1298" s="287"/>
      <c r="Y1298" s="287"/>
      <c r="Z1298" s="287"/>
      <c r="AA1298" s="287"/>
      <c r="AB1298" s="287"/>
      <c r="AC1298" s="287"/>
      <c r="AD1298" s="287"/>
      <c r="AE1298" s="287"/>
      <c r="AF1298" s="287"/>
      <c r="AG1298" s="287"/>
      <c r="AH1298" s="287"/>
      <c r="AI1298" s="287"/>
      <c r="AJ1298" s="287"/>
      <c r="AK1298" s="287"/>
      <c r="AL1298" s="287"/>
      <c r="AM1298" s="287"/>
      <c r="AN1298" s="287"/>
      <c r="AO1298" s="287"/>
      <c r="AP1298" s="287"/>
      <c r="AQ1298" s="287"/>
      <c r="AR1298" s="287"/>
      <c r="AS1298" s="287"/>
      <c r="AT1298" s="287"/>
      <c r="AU1298" s="287"/>
      <c r="AV1298" s="287"/>
      <c r="AW1298" s="287"/>
      <c r="AX1298" s="287"/>
      <c r="AY1298" s="287"/>
      <c r="AZ1298" s="287"/>
      <c r="BA1298" s="287"/>
      <c r="BB1298" s="287"/>
      <c r="BC1298" s="287"/>
      <c r="BD1298" s="287"/>
      <c r="BE1298" s="287"/>
      <c r="BF1298" s="471"/>
    </row>
    <row r="1299" spans="4:58" ht="15" customHeight="1">
      <c r="D1299" s="303"/>
      <c r="E1299" s="303"/>
      <c r="F1299" s="287"/>
      <c r="G1299" s="287"/>
      <c r="H1299" s="287"/>
      <c r="I1299" s="287"/>
      <c r="J1299" s="287"/>
      <c r="K1299" s="287"/>
      <c r="L1299" s="287"/>
      <c r="M1299" s="287"/>
      <c r="N1299" s="287"/>
      <c r="O1299" s="287"/>
      <c r="P1299" s="287"/>
      <c r="Q1299" s="287"/>
      <c r="R1299" s="287"/>
      <c r="S1299" s="287"/>
      <c r="T1299" s="287"/>
      <c r="U1299" s="287"/>
      <c r="V1299" s="287"/>
      <c r="W1299" s="287"/>
      <c r="X1299" s="287"/>
      <c r="Y1299" s="287"/>
      <c r="Z1299" s="287"/>
      <c r="AA1299" s="287"/>
      <c r="AB1299" s="287"/>
      <c r="AC1299" s="287"/>
      <c r="AD1299" s="287"/>
      <c r="AE1299" s="287"/>
      <c r="AF1299" s="287"/>
      <c r="AG1299" s="287"/>
      <c r="AH1299" s="287"/>
      <c r="AI1299" s="287"/>
      <c r="AJ1299" s="287"/>
      <c r="AK1299" s="287"/>
      <c r="AL1299" s="287"/>
      <c r="AM1299" s="287"/>
      <c r="AN1299" s="287"/>
      <c r="AO1299" s="287"/>
      <c r="AP1299" s="287"/>
      <c r="AQ1299" s="287"/>
      <c r="AR1299" s="287"/>
      <c r="AS1299" s="287"/>
      <c r="AT1299" s="287"/>
      <c r="AU1299" s="287"/>
      <c r="AV1299" s="287"/>
      <c r="AW1299" s="287"/>
      <c r="AX1299" s="287"/>
      <c r="AY1299" s="287"/>
      <c r="AZ1299" s="287"/>
      <c r="BA1299" s="287"/>
      <c r="BB1299" s="287"/>
      <c r="BC1299" s="287"/>
      <c r="BD1299" s="287"/>
      <c r="BE1299" s="287"/>
      <c r="BF1299" s="471"/>
    </row>
    <row r="1300" spans="4:58" ht="15" customHeight="1">
      <c r="D1300" s="303"/>
      <c r="E1300" s="303"/>
      <c r="F1300" s="287"/>
      <c r="G1300" s="287"/>
      <c r="H1300" s="287"/>
      <c r="I1300" s="287"/>
      <c r="J1300" s="287"/>
      <c r="K1300" s="287"/>
      <c r="L1300" s="287"/>
      <c r="M1300" s="287"/>
      <c r="N1300" s="287"/>
      <c r="O1300" s="287"/>
      <c r="P1300" s="287"/>
      <c r="Q1300" s="287"/>
      <c r="R1300" s="287"/>
      <c r="S1300" s="287"/>
      <c r="T1300" s="287"/>
      <c r="U1300" s="287"/>
      <c r="V1300" s="287"/>
      <c r="W1300" s="287"/>
      <c r="X1300" s="287"/>
      <c r="Y1300" s="287"/>
      <c r="Z1300" s="287"/>
      <c r="AA1300" s="287"/>
      <c r="AB1300" s="287"/>
      <c r="AC1300" s="287"/>
      <c r="AD1300" s="287"/>
      <c r="AE1300" s="287"/>
      <c r="AF1300" s="287"/>
      <c r="AG1300" s="287"/>
      <c r="AH1300" s="287"/>
      <c r="AI1300" s="287"/>
      <c r="AJ1300" s="287"/>
      <c r="AK1300" s="287"/>
      <c r="AL1300" s="287"/>
      <c r="AM1300" s="287"/>
      <c r="AN1300" s="287"/>
      <c r="AO1300" s="287"/>
      <c r="AP1300" s="287"/>
      <c r="AQ1300" s="287"/>
      <c r="AR1300" s="287"/>
      <c r="AS1300" s="287"/>
      <c r="AT1300" s="287"/>
      <c r="AU1300" s="287"/>
      <c r="AV1300" s="287"/>
      <c r="AW1300" s="287"/>
      <c r="AX1300" s="287"/>
      <c r="AY1300" s="287"/>
      <c r="AZ1300" s="287"/>
      <c r="BA1300" s="287"/>
      <c r="BB1300" s="287"/>
      <c r="BC1300" s="287"/>
      <c r="BD1300" s="287"/>
      <c r="BE1300" s="287"/>
      <c r="BF1300" s="471"/>
    </row>
    <row r="1301" spans="4:58" ht="15" customHeight="1">
      <c r="D1301" s="303"/>
      <c r="E1301" s="303"/>
      <c r="F1301" s="287"/>
      <c r="G1301" s="287"/>
      <c r="H1301" s="287"/>
      <c r="I1301" s="287"/>
      <c r="J1301" s="287"/>
      <c r="K1301" s="287"/>
      <c r="L1301" s="287"/>
      <c r="M1301" s="287"/>
      <c r="N1301" s="287"/>
      <c r="O1301" s="287"/>
      <c r="P1301" s="287"/>
      <c r="Q1301" s="287"/>
      <c r="R1301" s="287"/>
      <c r="S1301" s="287"/>
      <c r="T1301" s="287"/>
      <c r="U1301" s="287"/>
      <c r="V1301" s="287"/>
      <c r="W1301" s="287"/>
      <c r="X1301" s="287"/>
      <c r="Y1301" s="287"/>
      <c r="Z1301" s="287"/>
      <c r="AA1301" s="287"/>
      <c r="AB1301" s="287"/>
      <c r="AC1301" s="287"/>
      <c r="AD1301" s="287"/>
      <c r="AE1301" s="287"/>
      <c r="AF1301" s="287"/>
      <c r="AG1301" s="287"/>
      <c r="AH1301" s="287"/>
      <c r="AI1301" s="287"/>
      <c r="AJ1301" s="287"/>
      <c r="AK1301" s="287"/>
      <c r="AL1301" s="287"/>
      <c r="AM1301" s="287"/>
      <c r="AN1301" s="287"/>
      <c r="AO1301" s="287"/>
      <c r="AP1301" s="287"/>
      <c r="AQ1301" s="287"/>
      <c r="AR1301" s="287"/>
      <c r="AS1301" s="287"/>
      <c r="AT1301" s="287"/>
      <c r="AU1301" s="287"/>
      <c r="AV1301" s="287"/>
      <c r="AW1301" s="287"/>
      <c r="AX1301" s="287"/>
      <c r="AY1301" s="287"/>
      <c r="AZ1301" s="287"/>
      <c r="BA1301" s="287"/>
      <c r="BB1301" s="287"/>
      <c r="BC1301" s="287"/>
      <c r="BD1301" s="287"/>
      <c r="BE1301" s="287"/>
      <c r="BF1301" s="471"/>
    </row>
    <row r="1302" spans="4:58" ht="15" customHeight="1">
      <c r="D1302" s="303"/>
      <c r="E1302" s="303"/>
      <c r="F1302" s="287"/>
      <c r="G1302" s="287"/>
      <c r="H1302" s="287"/>
      <c r="I1302" s="287"/>
      <c r="J1302" s="287"/>
      <c r="K1302" s="287"/>
      <c r="L1302" s="287"/>
      <c r="M1302" s="287"/>
      <c r="N1302" s="287"/>
      <c r="O1302" s="287"/>
      <c r="P1302" s="287"/>
      <c r="Q1302" s="287"/>
      <c r="R1302" s="287"/>
      <c r="S1302" s="287"/>
      <c r="T1302" s="287"/>
      <c r="U1302" s="287"/>
      <c r="V1302" s="287"/>
      <c r="W1302" s="287"/>
      <c r="X1302" s="287"/>
      <c r="Y1302" s="287"/>
      <c r="Z1302" s="287"/>
      <c r="AA1302" s="287"/>
      <c r="AB1302" s="287"/>
      <c r="AC1302" s="287"/>
      <c r="AD1302" s="287"/>
      <c r="AE1302" s="287"/>
      <c r="AF1302" s="287"/>
      <c r="AG1302" s="287"/>
      <c r="AH1302" s="287"/>
      <c r="AI1302" s="287"/>
      <c r="AJ1302" s="287"/>
      <c r="AK1302" s="287"/>
      <c r="AL1302" s="287"/>
      <c r="AM1302" s="287"/>
      <c r="AN1302" s="287"/>
      <c r="AO1302" s="287"/>
      <c r="AP1302" s="287"/>
      <c r="AQ1302" s="287"/>
      <c r="AR1302" s="287"/>
      <c r="AS1302" s="287"/>
      <c r="AT1302" s="287"/>
      <c r="AU1302" s="287"/>
      <c r="AV1302" s="287"/>
      <c r="AW1302" s="287"/>
      <c r="AX1302" s="287"/>
      <c r="AY1302" s="287"/>
      <c r="AZ1302" s="287"/>
      <c r="BA1302" s="287"/>
      <c r="BB1302" s="287"/>
      <c r="BC1302" s="287"/>
      <c r="BD1302" s="287"/>
      <c r="BE1302" s="287"/>
      <c r="BF1302" s="471"/>
    </row>
    <row r="1303" spans="4:58" ht="15" customHeight="1">
      <c r="D1303" s="303"/>
      <c r="E1303" s="303"/>
      <c r="F1303" s="287"/>
      <c r="G1303" s="287"/>
      <c r="H1303" s="287"/>
      <c r="I1303" s="287"/>
      <c r="J1303" s="287"/>
      <c r="K1303" s="287"/>
      <c r="L1303" s="287"/>
      <c r="M1303" s="287"/>
      <c r="N1303" s="287"/>
      <c r="O1303" s="287"/>
      <c r="P1303" s="287"/>
      <c r="Q1303" s="287"/>
      <c r="R1303" s="287"/>
      <c r="S1303" s="287"/>
      <c r="T1303" s="287"/>
      <c r="U1303" s="287"/>
      <c r="V1303" s="287"/>
      <c r="W1303" s="287"/>
      <c r="X1303" s="287"/>
      <c r="Y1303" s="287"/>
      <c r="Z1303" s="287"/>
      <c r="AA1303" s="287"/>
      <c r="AB1303" s="287"/>
      <c r="AC1303" s="287"/>
      <c r="AD1303" s="287"/>
      <c r="AE1303" s="287"/>
      <c r="AF1303" s="287"/>
      <c r="AG1303" s="287"/>
      <c r="AH1303" s="287"/>
      <c r="AI1303" s="287"/>
      <c r="AJ1303" s="287"/>
      <c r="AK1303" s="287"/>
      <c r="AL1303" s="287"/>
      <c r="AM1303" s="287"/>
      <c r="AN1303" s="287"/>
      <c r="AO1303" s="287"/>
      <c r="AP1303" s="287"/>
      <c r="AQ1303" s="287"/>
      <c r="AR1303" s="287"/>
      <c r="AS1303" s="287"/>
      <c r="AT1303" s="287"/>
      <c r="AU1303" s="287"/>
      <c r="AV1303" s="287"/>
      <c r="AW1303" s="287"/>
      <c r="AX1303" s="287"/>
      <c r="AY1303" s="287"/>
      <c r="AZ1303" s="287"/>
      <c r="BA1303" s="287"/>
      <c r="BB1303" s="287"/>
      <c r="BC1303" s="287"/>
      <c r="BD1303" s="287"/>
      <c r="BE1303" s="287"/>
      <c r="BF1303" s="471"/>
    </row>
    <row r="1304" spans="4:58" ht="15" customHeight="1">
      <c r="D1304" s="303"/>
      <c r="E1304" s="303"/>
      <c r="F1304" s="287"/>
      <c r="G1304" s="287"/>
      <c r="H1304" s="287"/>
      <c r="I1304" s="287"/>
      <c r="J1304" s="287"/>
      <c r="K1304" s="287"/>
      <c r="L1304" s="287"/>
      <c r="M1304" s="287"/>
      <c r="N1304" s="287"/>
      <c r="O1304" s="287"/>
      <c r="P1304" s="287"/>
      <c r="Q1304" s="287"/>
      <c r="R1304" s="287"/>
      <c r="S1304" s="287"/>
      <c r="T1304" s="287"/>
      <c r="U1304" s="287"/>
      <c r="V1304" s="287"/>
      <c r="W1304" s="287"/>
      <c r="X1304" s="287"/>
      <c r="Y1304" s="287"/>
      <c r="Z1304" s="287"/>
      <c r="AA1304" s="287"/>
      <c r="AB1304" s="287"/>
      <c r="AC1304" s="287"/>
      <c r="AD1304" s="287"/>
      <c r="AE1304" s="287"/>
      <c r="AF1304" s="287"/>
      <c r="AG1304" s="287"/>
      <c r="AH1304" s="287"/>
      <c r="AI1304" s="287"/>
      <c r="AJ1304" s="287"/>
      <c r="AK1304" s="287"/>
      <c r="AL1304" s="287"/>
      <c r="AM1304" s="287"/>
      <c r="AN1304" s="287"/>
      <c r="AO1304" s="287"/>
      <c r="AP1304" s="287"/>
      <c r="AQ1304" s="287"/>
      <c r="AR1304" s="287"/>
      <c r="AS1304" s="287"/>
      <c r="AT1304" s="287"/>
      <c r="AU1304" s="287"/>
      <c r="AV1304" s="287"/>
      <c r="AW1304" s="287"/>
      <c r="AX1304" s="287"/>
      <c r="AY1304" s="287"/>
      <c r="AZ1304" s="287"/>
      <c r="BA1304" s="287"/>
      <c r="BB1304" s="287"/>
      <c r="BC1304" s="287"/>
      <c r="BD1304" s="287"/>
      <c r="BE1304" s="287"/>
      <c r="BF1304" s="471"/>
    </row>
    <row r="1305" spans="4:58" ht="15" customHeight="1">
      <c r="D1305" s="303"/>
      <c r="E1305" s="303"/>
      <c r="F1305" s="287"/>
      <c r="G1305" s="287"/>
      <c r="H1305" s="287"/>
      <c r="I1305" s="287"/>
      <c r="J1305" s="287"/>
      <c r="K1305" s="287"/>
      <c r="L1305" s="287"/>
      <c r="M1305" s="287"/>
      <c r="N1305" s="287"/>
      <c r="O1305" s="287"/>
      <c r="P1305" s="287"/>
      <c r="Q1305" s="287"/>
      <c r="R1305" s="287"/>
      <c r="S1305" s="287"/>
      <c r="T1305" s="287"/>
      <c r="U1305" s="287"/>
      <c r="V1305" s="287"/>
      <c r="W1305" s="287"/>
      <c r="X1305" s="287"/>
      <c r="Y1305" s="287"/>
      <c r="Z1305" s="287"/>
      <c r="AA1305" s="287"/>
      <c r="AB1305" s="287"/>
      <c r="AC1305" s="287"/>
      <c r="AD1305" s="287"/>
      <c r="AE1305" s="287"/>
      <c r="AF1305" s="287"/>
      <c r="AG1305" s="287"/>
      <c r="AH1305" s="287"/>
      <c r="AI1305" s="287"/>
      <c r="AJ1305" s="287"/>
      <c r="AK1305" s="287"/>
      <c r="AL1305" s="287"/>
      <c r="AM1305" s="287"/>
      <c r="AN1305" s="287"/>
      <c r="AO1305" s="287"/>
      <c r="AP1305" s="287"/>
      <c r="AQ1305" s="287"/>
      <c r="AR1305" s="287"/>
      <c r="AS1305" s="287"/>
      <c r="AT1305" s="287"/>
      <c r="AU1305" s="287"/>
      <c r="AV1305" s="287"/>
      <c r="AW1305" s="287"/>
      <c r="AX1305" s="287"/>
      <c r="AY1305" s="287"/>
      <c r="AZ1305" s="287"/>
      <c r="BA1305" s="287"/>
      <c r="BB1305" s="287"/>
      <c r="BC1305" s="287"/>
      <c r="BD1305" s="287"/>
      <c r="BE1305" s="287"/>
      <c r="BF1305" s="471"/>
    </row>
    <row r="1306" spans="4:58" ht="15" customHeight="1">
      <c r="D1306" s="303"/>
      <c r="E1306" s="303"/>
      <c r="F1306" s="287"/>
      <c r="G1306" s="287"/>
      <c r="H1306" s="287"/>
      <c r="I1306" s="287"/>
      <c r="J1306" s="287"/>
      <c r="K1306" s="287"/>
      <c r="L1306" s="287"/>
      <c r="M1306" s="287"/>
      <c r="N1306" s="287"/>
      <c r="O1306" s="287"/>
      <c r="P1306" s="287"/>
      <c r="Q1306" s="287"/>
      <c r="R1306" s="287"/>
      <c r="S1306" s="287"/>
      <c r="T1306" s="287"/>
      <c r="U1306" s="287"/>
      <c r="V1306" s="287"/>
      <c r="W1306" s="287"/>
      <c r="X1306" s="287"/>
      <c r="Y1306" s="287"/>
      <c r="Z1306" s="287"/>
      <c r="AA1306" s="287"/>
      <c r="AB1306" s="287"/>
      <c r="AC1306" s="287"/>
      <c r="AD1306" s="287"/>
      <c r="AE1306" s="287"/>
      <c r="AF1306" s="287"/>
      <c r="AG1306" s="287"/>
      <c r="AH1306" s="287"/>
      <c r="AI1306" s="287"/>
      <c r="AJ1306" s="287"/>
      <c r="AK1306" s="287"/>
      <c r="AL1306" s="287"/>
      <c r="AM1306" s="287"/>
      <c r="AN1306" s="287"/>
      <c r="AO1306" s="287"/>
      <c r="AP1306" s="287"/>
      <c r="AQ1306" s="287"/>
      <c r="AR1306" s="287"/>
      <c r="AS1306" s="287"/>
      <c r="AT1306" s="287"/>
      <c r="AU1306" s="287"/>
      <c r="AV1306" s="287"/>
      <c r="AW1306" s="287"/>
      <c r="AX1306" s="287"/>
      <c r="AY1306" s="287"/>
      <c r="AZ1306" s="287"/>
      <c r="BA1306" s="287"/>
      <c r="BB1306" s="287"/>
      <c r="BC1306" s="287"/>
      <c r="BD1306" s="287"/>
      <c r="BE1306" s="287"/>
      <c r="BF1306" s="471"/>
    </row>
    <row r="1307" spans="4:58" ht="15" customHeight="1">
      <c r="D1307" s="303"/>
      <c r="E1307" s="303"/>
      <c r="F1307" s="287"/>
      <c r="G1307" s="287"/>
      <c r="H1307" s="287"/>
      <c r="I1307" s="287"/>
      <c r="J1307" s="287"/>
      <c r="K1307" s="287"/>
      <c r="L1307" s="287"/>
      <c r="M1307" s="287"/>
      <c r="N1307" s="287"/>
      <c r="O1307" s="287"/>
      <c r="P1307" s="287"/>
      <c r="Q1307" s="287"/>
      <c r="R1307" s="287"/>
      <c r="S1307" s="287"/>
      <c r="T1307" s="287"/>
      <c r="U1307" s="287"/>
      <c r="V1307" s="287"/>
      <c r="W1307" s="287"/>
      <c r="X1307" s="287"/>
      <c r="Y1307" s="287"/>
      <c r="Z1307" s="287"/>
      <c r="AA1307" s="287"/>
      <c r="AB1307" s="287"/>
      <c r="AC1307" s="287"/>
      <c r="AD1307" s="287"/>
      <c r="AE1307" s="287"/>
      <c r="AF1307" s="287"/>
      <c r="AG1307" s="287"/>
      <c r="AH1307" s="287"/>
      <c r="AI1307" s="287"/>
      <c r="AJ1307" s="287"/>
      <c r="AK1307" s="287"/>
      <c r="AL1307" s="287"/>
      <c r="AM1307" s="287"/>
      <c r="AN1307" s="287"/>
      <c r="AO1307" s="287"/>
      <c r="AP1307" s="287"/>
      <c r="AQ1307" s="287"/>
      <c r="AR1307" s="287"/>
      <c r="AS1307" s="287"/>
      <c r="AT1307" s="287"/>
      <c r="AU1307" s="287"/>
      <c r="AV1307" s="287"/>
      <c r="AW1307" s="287"/>
      <c r="AX1307" s="287"/>
      <c r="AY1307" s="287"/>
      <c r="AZ1307" s="287"/>
      <c r="BA1307" s="287"/>
      <c r="BB1307" s="287"/>
      <c r="BC1307" s="287"/>
      <c r="BD1307" s="287"/>
      <c r="BE1307" s="287"/>
      <c r="BF1307" s="471"/>
    </row>
    <row r="1308" spans="4:58" ht="15" customHeight="1">
      <c r="D1308" s="303"/>
      <c r="E1308" s="303"/>
      <c r="F1308" s="302"/>
      <c r="G1308" s="302"/>
      <c r="H1308" s="302"/>
      <c r="I1308" s="302"/>
      <c r="J1308" s="302"/>
      <c r="K1308" s="302"/>
      <c r="L1308" s="302"/>
      <c r="M1308" s="302"/>
      <c r="N1308" s="302"/>
      <c r="O1308" s="302"/>
    </row>
    <row r="1309" spans="4:58" ht="15" customHeight="1">
      <c r="D1309" s="303"/>
      <c r="E1309" s="302"/>
      <c r="F1309" s="302"/>
      <c r="G1309" s="302"/>
      <c r="H1309" s="302"/>
      <c r="I1309" s="302"/>
      <c r="J1309" s="302"/>
      <c r="K1309" s="302"/>
      <c r="L1309" s="302"/>
      <c r="M1309" s="302"/>
      <c r="N1309" s="302"/>
      <c r="O1309" s="302"/>
    </row>
    <row r="1310" spans="4:58" ht="15" customHeight="1"/>
    <row r="1311" spans="4:58" ht="15" customHeight="1"/>
    <row r="1312" spans="4:58"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sheetData>
  <sortState xmlns:xlrd2="http://schemas.microsoft.com/office/spreadsheetml/2017/richdata2" ref="G1043:H1052">
    <sortCondition ref="G1043:G1052"/>
  </sortState>
  <conditionalFormatting sqref="A937 A929 A917 A924 A59 A51 A25 A17 A6 G956:K956">
    <cfRule type="cellIs" dxfId="16" priority="43" stopIfTrue="1" operator="equal">
      <formula>FALSE</formula>
    </cfRule>
    <cfRule type="cellIs" dxfId="15" priority="44" stopIfTrue="1" operator="equal">
      <formula>TRUE</formula>
    </cfRule>
  </conditionalFormatting>
  <conditionalFormatting sqref="A6">
    <cfRule type="cellIs" dxfId="14" priority="42" operator="equal">
      <formula>FALSE</formula>
    </cfRule>
  </conditionalFormatting>
  <conditionalFormatting sqref="A136">
    <cfRule type="cellIs" dxfId="13" priority="31" stopIfTrue="1" operator="equal">
      <formula>FALSE</formula>
    </cfRule>
    <cfRule type="cellIs" dxfId="12" priority="32" stopIfTrue="1" operator="equal">
      <formula>TRUE</formula>
    </cfRule>
  </conditionalFormatting>
  <conditionalFormatting sqref="J956:K956">
    <cfRule type="cellIs" dxfId="11" priority="25" stopIfTrue="1" operator="equal">
      <formula>FALSE</formula>
    </cfRule>
    <cfRule type="cellIs" dxfId="10" priority="26" stopIfTrue="1" operator="equal">
      <formula>TRUE</formula>
    </cfRule>
  </conditionalFormatting>
  <conditionalFormatting sqref="A665">
    <cfRule type="cellIs" dxfId="9" priority="19" stopIfTrue="1" operator="equal">
      <formula>FALSE</formula>
    </cfRule>
    <cfRule type="cellIs" dxfId="8" priority="20" stopIfTrue="1" operator="equal">
      <formula>TRUE</formula>
    </cfRule>
  </conditionalFormatting>
  <conditionalFormatting sqref="A673">
    <cfRule type="cellIs" dxfId="7" priority="17" stopIfTrue="1" operator="equal">
      <formula>FALSE</formula>
    </cfRule>
    <cfRule type="cellIs" dxfId="6" priority="18" stopIfTrue="1" operator="equal">
      <formula>TRUE</formula>
    </cfRule>
  </conditionalFormatting>
  <conditionalFormatting sqref="A639">
    <cfRule type="cellIs" dxfId="5" priority="15" stopIfTrue="1" operator="equal">
      <formula>FALSE</formula>
    </cfRule>
    <cfRule type="cellIs" dxfId="4" priority="16" stopIfTrue="1" operator="equal">
      <formula>TRUE</formula>
    </cfRule>
  </conditionalFormatting>
  <conditionalFormatting sqref="A652">
    <cfRule type="cellIs" dxfId="3" priority="13" stopIfTrue="1" operator="equal">
      <formula>FALSE</formula>
    </cfRule>
    <cfRule type="cellIs" dxfId="2" priority="14" stopIfTrue="1" operator="equal">
      <formula>TRUE</formula>
    </cfRule>
  </conditionalFormatting>
  <pageMargins left="0.7" right="0.7" top="0.75" bottom="0.75" header="0.3" footer="0.3"/>
  <pageSetup scale="18" orientation="portrait" horizontalDpi="1200" verticalDpi="1200" r:id="rId1"/>
  <ignoredErrors>
    <ignoredError sqref="C829 C971 C849 C877 C872 C808 C976 C981 G651:BD651" 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7" id="{2E527092-14C3-43DF-B016-96728C81D435}">
            <xm:f>$F$1248&gt;=Inputs!$E$200+0.3%</xm:f>
            <x14:dxf>
              <fill>
                <patternFill>
                  <bgColor rgb="FFFF0000"/>
                </patternFill>
              </fill>
            </x14:dxf>
          </x14:cfRule>
          <x14:cfRule type="expression" priority="48" id="{1E6E49FC-80A5-48C7-81CC-BC0A6495DDF9}">
            <xm:f>$F$1248&lt;=Inputs!$E$200-0.3%</xm:f>
            <x14:dxf>
              <fill>
                <patternFill>
                  <bgColor rgb="FFFF0000"/>
                </patternFill>
              </fill>
            </x14:dxf>
          </x14:cfRule>
          <xm:sqref>F1254:F1257 F1248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D7"/>
  <sheetViews>
    <sheetView zoomScale="80" zoomScaleNormal="80" workbookViewId="0">
      <selection activeCell="D24" sqref="D24"/>
    </sheetView>
  </sheetViews>
  <sheetFormatPr defaultColWidth="8.81640625" defaultRowHeight="12.5"/>
  <cols>
    <col min="1" max="1" width="8.81640625" style="235"/>
    <col min="2" max="4" width="13.453125" style="235" customWidth="1"/>
    <col min="5" max="16384" width="8.81640625" style="235"/>
  </cols>
  <sheetData>
    <row r="2" spans="2:4" ht="13">
      <c r="B2" s="247" t="s">
        <v>782</v>
      </c>
      <c r="D2" s="247" t="s">
        <v>783</v>
      </c>
    </row>
    <row r="3" spans="2:4">
      <c r="B3" s="235" t="s">
        <v>74</v>
      </c>
      <c r="D3" s="235" t="s">
        <v>283</v>
      </c>
    </row>
    <row r="4" spans="2:4">
      <c r="B4" s="235" t="s">
        <v>76</v>
      </c>
      <c r="D4" s="235" t="s">
        <v>299</v>
      </c>
    </row>
    <row r="5" spans="2:4">
      <c r="B5" s="235" t="s">
        <v>784</v>
      </c>
      <c r="D5" s="235" t="s">
        <v>300</v>
      </c>
    </row>
    <row r="6" spans="2:4">
      <c r="B6" s="235" t="s">
        <v>785</v>
      </c>
      <c r="D6" s="246" t="s">
        <v>786</v>
      </c>
    </row>
    <row r="7" spans="2:4">
      <c r="B7" s="246" t="s">
        <v>786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4A92370B9737F45875987DB7295F633" ma:contentTypeVersion="14" ma:contentTypeDescription="Create a new document." ma:contentTypeScope="" ma:versionID="72f46d58b6d54e7c12e48164004a78c7">
  <xsd:schema xmlns:xsd="http://www.w3.org/2001/XMLSchema" xmlns:xs="http://www.w3.org/2001/XMLSchema" xmlns:p="http://schemas.microsoft.com/office/2006/metadata/properties" xmlns:ns3="dc5fbcc5-08df-4dc4-95f3-c0ae0c1cf983" xmlns:ns4="923e2a57-7618-4537-8e2d-505ddc7f4e24" targetNamespace="http://schemas.microsoft.com/office/2006/metadata/properties" ma:root="true" ma:fieldsID="4cd054a76a8c52168aa4293e9a1a84a4" ns3:_="" ns4:_="">
    <xsd:import namespace="dc5fbcc5-08df-4dc4-95f3-c0ae0c1cf983"/>
    <xsd:import namespace="923e2a57-7618-4537-8e2d-505ddc7f4e24"/>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5fbcc5-08df-4dc4-95f3-c0ae0c1cf98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23e2a57-7618-4537-8e2d-505ddc7f4e2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AAE640-E013-4B0E-9E40-CBB37C601E03}">
  <ds:schemaRefs>
    <ds:schemaRef ds:uri="http://www.w3.org/XML/1998/namespace"/>
    <ds:schemaRef ds:uri="http://schemas.microsoft.com/office/2006/documentManagement/types"/>
    <ds:schemaRef ds:uri="dc5fbcc5-08df-4dc4-95f3-c0ae0c1cf983"/>
    <ds:schemaRef ds:uri="http://schemas.microsoft.com/office/infopath/2007/PartnerControls"/>
    <ds:schemaRef ds:uri="http://purl.org/dc/terms/"/>
    <ds:schemaRef ds:uri="http://purl.org/dc/elements/1.1/"/>
    <ds:schemaRef ds:uri="http://schemas.microsoft.com/office/2006/metadata/properties"/>
    <ds:schemaRef ds:uri="http://schemas.openxmlformats.org/package/2006/metadata/core-properties"/>
    <ds:schemaRef ds:uri="923e2a57-7618-4537-8e2d-505ddc7f4e24"/>
    <ds:schemaRef ds:uri="http://purl.org/dc/dcmitype/"/>
  </ds:schemaRefs>
</ds:datastoreItem>
</file>

<file path=customXml/itemProps2.xml><?xml version="1.0" encoding="utf-8"?>
<ds:datastoreItem xmlns:ds="http://schemas.openxmlformats.org/officeDocument/2006/customXml" ds:itemID="{F85BEF2B-F57D-431C-8235-68DE5DB398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5fbcc5-08df-4dc4-95f3-c0ae0c1cf983"/>
    <ds:schemaRef ds:uri="923e2a57-7618-4537-8e2d-505ddc7f4e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802C38-91CE-4798-9AB9-4F945F6423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35</vt:i4>
      </vt:variant>
    </vt:vector>
  </HeadingPairs>
  <TitlesOfParts>
    <vt:vector size="40" baseType="lpstr">
      <vt:lpstr>Front</vt:lpstr>
      <vt:lpstr>Results</vt:lpstr>
      <vt:lpstr>Inputs</vt:lpstr>
      <vt:lpstr>Model</vt:lpstr>
      <vt:lpstr>Lists</vt:lpstr>
      <vt:lpstr>AETR_sort_criterion</vt:lpstr>
      <vt:lpstr>AETR_table_raw</vt:lpstr>
      <vt:lpstr>AETR_table_reorder</vt:lpstr>
      <vt:lpstr>AETR_table_reordered_full</vt:lpstr>
      <vt:lpstr>Benefit_sharing</vt:lpstr>
      <vt:lpstr>Breakeven_price</vt:lpstr>
      <vt:lpstr>Breakeven_price_row1</vt:lpstr>
      <vt:lpstr>Breakeven_sort_criterion</vt:lpstr>
      <vt:lpstr>Coeff_sort_criterion</vt:lpstr>
      <vt:lpstr>Coeff_table_raw</vt:lpstr>
      <vt:lpstr>Coeff_table_results</vt:lpstr>
      <vt:lpstr>Goal_seek_price</vt:lpstr>
      <vt:lpstr>Input_prod_taxes</vt:lpstr>
      <vt:lpstr>IRR_for_metr_calc</vt:lpstr>
      <vt:lpstr>METR</vt:lpstr>
      <vt:lpstr>METR_and_Break_even_price_results_table</vt:lpstr>
      <vt:lpstr>METR_and_breakeven_results_table</vt:lpstr>
      <vt:lpstr>METR_and_breakeven_whole_range</vt:lpstr>
      <vt:lpstr>Mineral_price</vt:lpstr>
      <vt:lpstr>Minus_20_sort_criterion</vt:lpstr>
      <vt:lpstr>NPV_sensitivity_table_raw</vt:lpstr>
      <vt:lpstr>NPV_sensitivity_table_results</vt:lpstr>
      <vt:lpstr>Orignal_mineral_price_value</vt:lpstr>
      <vt:lpstr>Model!Price_change</vt:lpstr>
      <vt:lpstr>Price_change_AETR</vt:lpstr>
      <vt:lpstr>Model!Price_change_govbenefit</vt:lpstr>
      <vt:lpstr>Results!Print_Area</vt:lpstr>
      <vt:lpstr>Project_list</vt:lpstr>
      <vt:lpstr>Project_selector</vt:lpstr>
      <vt:lpstr>Regime_list</vt:lpstr>
      <vt:lpstr>Tax_avoidance_costs</vt:lpstr>
      <vt:lpstr>Tax_base</vt:lpstr>
      <vt:lpstr>Tax_regime_selector</vt:lpstr>
      <vt:lpstr>Total_govtrevenue</vt:lpstr>
      <vt:lpstr>TZAsharing_pretrig_rev</vt:lpstr>
    </vt:vector>
  </TitlesOfParts>
  <Manager/>
  <Company>Natural Resource Governance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Mining tax model for Tanzania</dc:title>
  <dc:subject/>
  <dc:creator>Thomas Scurfield</dc:creator>
  <cp:keywords/>
  <dc:description/>
  <cp:lastModifiedBy>Thomas Scurfield</cp:lastModifiedBy>
  <cp:revision/>
  <dcterms:created xsi:type="dcterms:W3CDTF">2015-09-09T20:49:50Z</dcterms:created>
  <dcterms:modified xsi:type="dcterms:W3CDTF">2023-07-27T18:39:35Z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A44787D4-0540-4523-9961-78E4036D8C6D}">
    <vt:lpwstr>{D2E58041-9BCE-49E4-8EF9-6409AEF47A7F}</vt:lpwstr>
  </property>
  <property fmtid="{D5CDD505-2E9C-101B-9397-08002B2CF9AE}" pid="4" name="ContentTypeId">
    <vt:lpwstr>0x010100B4A92370B9737F45875987DB7295F633</vt:lpwstr>
  </property>
</Properties>
</file>